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4F6EEE07-A7FB-4214-9A61-8CCDB0BF5567}" xr6:coauthVersionLast="47" xr6:coauthVersionMax="47" xr10:uidLastSave="{00000000-0000-0000-0000-000000000000}"/>
  <bookViews>
    <workbookView xWindow="28680" yWindow="-120" windowWidth="29040" windowHeight="15720" firstSheet="1" activeTab="13"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BV_Data_An_Cour!$A$1:$X$479</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E180" i="9" l="1"/>
  <c r="E177" i="9"/>
  <c r="S479" i="15" l="1"/>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76" i="15" l="1"/>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P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Q179" i="9"/>
  <c r="P307" i="9"/>
  <c r="P6" i="9"/>
  <c r="P250" i="9" l="1"/>
  <c r="P15" i="9"/>
  <c r="P17" i="9"/>
  <c r="P295" i="9"/>
  <c r="Q72" i="9"/>
  <c r="P177" i="9"/>
  <c r="Q24" i="9"/>
  <c r="O32" i="9" s="1"/>
  <c r="P298" i="9"/>
  <c r="Q41" i="9"/>
  <c r="Q74" i="9" s="1"/>
  <c r="Q105" i="9"/>
  <c r="P174" i="9"/>
  <c r="Q245" i="9"/>
  <c r="Q189" i="9"/>
  <c r="Q13" i="9"/>
  <c r="O31" i="9" s="1"/>
  <c r="P287" i="9"/>
  <c r="Q97" i="9"/>
  <c r="Q108" i="9" s="1"/>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P112" i="9" l="1"/>
  <c r="P97" i="9"/>
  <c r="Q287" i="9"/>
  <c r="Q289" i="9" s="1"/>
  <c r="P289" i="9" s="1"/>
  <c r="Q27" i="9"/>
  <c r="P72" i="9" s="1"/>
  <c r="Q397" i="9"/>
  <c r="P397" i="9" s="1"/>
  <c r="P309" i="9"/>
  <c r="P349" i="9"/>
  <c r="P330" i="9"/>
  <c r="Q351" i="9"/>
  <c r="Q353" i="9" s="1"/>
  <c r="O24" i="9"/>
  <c r="P36" i="9" s="1"/>
  <c r="O112" i="9"/>
  <c r="P13" i="9"/>
  <c r="P304" i="9"/>
  <c r="P153" i="9"/>
  <c r="P118" i="9"/>
  <c r="P122" i="9"/>
  <c r="Q231" i="9"/>
  <c r="Q233" i="9" s="1"/>
  <c r="P233" i="9" s="1"/>
  <c r="P135" i="9"/>
  <c r="Q155" i="9"/>
  <c r="P155" i="9" s="1"/>
  <c r="P186" i="9"/>
  <c r="Q186" i="9"/>
  <c r="P113" i="9"/>
  <c r="P121" i="9"/>
  <c r="O314" i="9"/>
  <c r="P314" i="9" s="1"/>
  <c r="O108" i="9"/>
  <c r="P108" i="9" s="1"/>
  <c r="P116" i="9"/>
  <c r="AL407" i="9"/>
  <c r="P114" i="9"/>
  <c r="O105" i="9"/>
  <c r="P105" i="9" s="1"/>
  <c r="P120" i="9"/>
  <c r="P117" i="9"/>
  <c r="P119" i="9"/>
  <c r="P54" i="9"/>
  <c r="P42"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74" i="9" l="1"/>
  <c r="P41" i="9"/>
  <c r="P27" i="9"/>
  <c r="P351" i="9"/>
  <c r="P31" i="9"/>
  <c r="P40" i="9"/>
  <c r="P24" i="9"/>
  <c r="P32" i="9"/>
  <c r="Q399" i="9"/>
  <c r="P231" i="9"/>
  <c r="P38" i="9"/>
  <c r="P34" i="9"/>
  <c r="P33" i="9"/>
  <c r="P35" i="9"/>
  <c r="P39" i="9"/>
  <c r="P37" i="9"/>
  <c r="P353" i="9"/>
  <c r="Q165" i="9"/>
  <c r="P165" i="9" s="1"/>
  <c r="AL406" i="9"/>
  <c r="AJ407" i="9" s="1"/>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241" i="9" l="1"/>
  <c r="L3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AL476" i="9" s="1"/>
  <c r="C89" i="9"/>
  <c r="AL412" i="9" s="1"/>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D42" i="8"/>
  <c r="AI456" i="9"/>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E201" i="9" l="1"/>
  <c r="AK412" i="9"/>
  <c r="AJ412"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L417" i="9"/>
  <c r="AK417" i="9" s="1"/>
  <c r="AL429" i="9"/>
  <c r="AL449" i="9"/>
  <c r="AL445" i="9"/>
  <c r="AL447" i="9"/>
  <c r="Z440" i="9"/>
  <c r="AL446" i="9"/>
  <c r="AL448" i="9"/>
  <c r="AL434" i="9"/>
  <c r="AL424" i="9"/>
  <c r="AL440" i="9"/>
  <c r="E94" i="9"/>
  <c r="S3" i="5"/>
  <c r="B48" i="21"/>
  <c r="K6" i="21" s="1"/>
  <c r="F9" i="21"/>
  <c r="F13" i="21"/>
  <c r="F15" i="21"/>
  <c r="F24" i="21"/>
  <c r="G24" i="21" s="1"/>
  <c r="H24" i="21" s="1"/>
  <c r="G12" i="21"/>
  <c r="H12" i="21" s="1"/>
  <c r="K11" i="21"/>
  <c r="L11" i="21" s="1"/>
  <c r="M11" i="21" s="1"/>
  <c r="K14" i="2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32"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AI440" i="9"/>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AI463" i="9"/>
  <c r="L11" i="12"/>
  <c r="L75" i="12"/>
  <c r="L43" i="12"/>
  <c r="L5" i="12"/>
  <c r="L76" i="12"/>
  <c r="L46" i="12"/>
  <c r="L23" i="12"/>
  <c r="L12" i="12"/>
  <c r="H4" i="11"/>
  <c r="F9" i="11"/>
  <c r="G9" i="11" s="1"/>
  <c r="D26" i="8"/>
  <c r="L60" i="12"/>
  <c r="J6" i="12"/>
  <c r="L58" i="12"/>
  <c r="L61" i="12"/>
  <c r="L63" i="12"/>
  <c r="F4" i="11"/>
  <c r="F15" i="11"/>
  <c r="G15" i="11" s="1"/>
  <c r="AG3" i="3"/>
  <c r="Q3" i="5"/>
  <c r="AI3" i="3"/>
  <c r="AH3" i="3"/>
  <c r="E42" i="8"/>
  <c r="AO476" i="9"/>
  <c r="S69" i="9"/>
  <c r="R181" i="9"/>
  <c r="AO473" i="9"/>
  <c r="E59" i="8"/>
  <c r="AO475" i="9"/>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23" i="21" l="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N159" i="9"/>
  <c r="K159" i="9"/>
  <c r="J159" i="9" s="1"/>
  <c r="N82" i="9"/>
  <c r="N201" i="9"/>
  <c r="K201" i="9"/>
  <c r="L6" i="21"/>
  <c r="M6" i="21" s="1"/>
  <c r="J23" i="21"/>
  <c r="L23" i="21" s="1"/>
  <c r="M23" i="21" s="1"/>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P244" i="12" a="1"/>
  <c r="P244" i="12" s="1"/>
  <c r="Q222" i="12" a="1"/>
  <c r="Q222" i="12" s="1"/>
  <c r="Q218" i="12" a="1"/>
  <c r="Q218" i="12" s="1"/>
  <c r="S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Q339" i="12" a="1"/>
  <c r="Q339" i="12" s="1"/>
  <c r="Q334" i="12" a="1"/>
  <c r="Q334" i="12" s="1"/>
  <c r="Q329" i="12" a="1"/>
  <c r="Q329" i="12" s="1"/>
  <c r="S329" i="12" s="1"/>
  <c r="Q325" i="12" a="1"/>
  <c r="Q325" i="12" s="1"/>
  <c r="Q321" i="12" a="1"/>
  <c r="Q321" i="12" s="1"/>
  <c r="Q312" i="12" a="1"/>
  <c r="Q312" i="12" s="1"/>
  <c r="Q307" i="12" a="1"/>
  <c r="Q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Q259" i="12" a="1"/>
  <c r="Q259" i="12" s="1"/>
  <c r="Q256" i="12" a="1"/>
  <c r="Q256" i="12" s="1"/>
  <c r="S256" i="12" s="1"/>
  <c r="P247" i="12" a="1"/>
  <c r="P247" i="12" s="1"/>
  <c r="O244" i="12" a="1"/>
  <c r="O244" i="12" s="1"/>
  <c r="R244" i="12" s="1"/>
  <c r="Q214" i="12" a="1"/>
  <c r="Q214" i="12" s="1"/>
  <c r="Q209" i="12" a="1"/>
  <c r="Q209" i="12" s="1"/>
  <c r="S209" i="12" s="1"/>
  <c r="Q205" i="12" a="1"/>
  <c r="Q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Q100" i="12" a="1"/>
  <c r="Q100" i="12" s="1"/>
  <c r="Q80" i="12" a="1"/>
  <c r="Q80" i="12" s="1"/>
  <c r="S80" i="12" s="1"/>
  <c r="Q71" i="12" a="1"/>
  <c r="Q71" i="12" s="1"/>
  <c r="AL477" i="12" a="1"/>
  <c r="AL477" i="12" s="1"/>
  <c r="AO477" i="12" s="1"/>
  <c r="AL460" i="12" a="1"/>
  <c r="AL460" i="12" s="1"/>
  <c r="AL456" i="12" a="1"/>
  <c r="AL456" i="12" s="1"/>
  <c r="AO456" i="12" s="1"/>
  <c r="AL448" i="12" a="1"/>
  <c r="AL448" i="12" s="1"/>
  <c r="O312" i="12" a="1"/>
  <c r="O312" i="12" s="1"/>
  <c r="P312" i="12" s="1"/>
  <c r="O307" i="12" a="1"/>
  <c r="O307" i="12" s="1"/>
  <c r="O302" i="12" a="1"/>
  <c r="O302" i="12" s="1"/>
  <c r="P302" i="12" s="1"/>
  <c r="O300" i="12" a="1"/>
  <c r="O300" i="12" s="1"/>
  <c r="P300" i="12" s="1"/>
  <c r="O298" i="12" a="1"/>
  <c r="O298" i="12" s="1"/>
  <c r="O296" i="12" a="1"/>
  <c r="O296" i="12" s="1"/>
  <c r="Q262" i="12" a="1"/>
  <c r="Q262" i="12" s="1"/>
  <c r="S262" i="12" s="1"/>
  <c r="O247" i="12" a="1"/>
  <c r="O247" i="12" s="1"/>
  <c r="R247" i="12" s="1"/>
  <c r="Q225" i="12" a="1"/>
  <c r="Q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Q333" i="12" a="1"/>
  <c r="Q333" i="12" s="1"/>
  <c r="Q328" i="12" a="1"/>
  <c r="Q328" i="12" s="1"/>
  <c r="S328" i="12" s="1"/>
  <c r="Q324" i="12" a="1"/>
  <c r="Q324" i="12" s="1"/>
  <c r="S324" i="12" s="1"/>
  <c r="Q320" i="12" a="1"/>
  <c r="Q320" i="12" s="1"/>
  <c r="S320" i="12" s="1"/>
  <c r="Q283" i="12" a="1"/>
  <c r="Q283" i="12" s="1"/>
  <c r="S283" i="12" s="1"/>
  <c r="Q279" i="12" a="1"/>
  <c r="Q279" i="12" s="1"/>
  <c r="Q275" i="12" a="1"/>
  <c r="Q275" i="12" s="1"/>
  <c r="Q270" i="12" a="1"/>
  <c r="Q270" i="12" s="1"/>
  <c r="Q228" i="12" a="1"/>
  <c r="Q228" i="12" s="1"/>
  <c r="S228" i="12" s="1"/>
  <c r="Q217" i="12" a="1"/>
  <c r="Q217" i="12" s="1"/>
  <c r="AL440" i="12" s="1"/>
  <c r="Q213" i="12" a="1"/>
  <c r="Q213" i="12" s="1"/>
  <c r="S213" i="12" s="1"/>
  <c r="Q208" i="12" a="1"/>
  <c r="Q208" i="12" s="1"/>
  <c r="S208" i="12" s="1"/>
  <c r="Q204" i="12" a="1"/>
  <c r="Q204" i="12" s="1"/>
  <c r="P181" i="12" a="1"/>
  <c r="P181" i="12" s="1"/>
  <c r="Q159" i="12" a="1"/>
  <c r="Q159" i="12" s="1"/>
  <c r="Q156" i="12" a="1"/>
  <c r="Q156" i="12" s="1"/>
  <c r="S156" i="12" s="1"/>
  <c r="Q133" i="12" a="1"/>
  <c r="Q133" i="12" s="1"/>
  <c r="Q127" i="12" a="1"/>
  <c r="Q127" i="12" s="1"/>
  <c r="Q116" i="12" a="1"/>
  <c r="Q116" i="12" s="1"/>
  <c r="S116" i="12" s="1"/>
  <c r="Q113" i="12" a="1"/>
  <c r="Q113" i="12" s="1"/>
  <c r="Q102" i="12" a="1"/>
  <c r="Q102" i="12" s="1"/>
  <c r="S102" i="12" s="1"/>
  <c r="Q96" i="12" a="1"/>
  <c r="Q96" i="12" s="1"/>
  <c r="S96" i="12" s="1"/>
  <c r="AL469" i="12" a="1"/>
  <c r="AL469" i="12" s="1"/>
  <c r="AL459" i="12" a="1"/>
  <c r="AL459" i="12" s="1"/>
  <c r="AN459" i="12" s="1"/>
  <c r="AO459" i="12" s="1"/>
  <c r="AL455" i="12" a="1"/>
  <c r="AL455" i="12" s="1"/>
  <c r="O360" i="12" a="1"/>
  <c r="O360" i="12" s="1"/>
  <c r="Q261" i="12" a="1"/>
  <c r="Q261" i="12" s="1"/>
  <c r="S261" i="12" s="1"/>
  <c r="Q258" i="12" a="1"/>
  <c r="Q258" i="12" s="1"/>
  <c r="S258" i="12" s="1"/>
  <c r="Q255" i="12" a="1"/>
  <c r="Q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Q140" i="12" a="1"/>
  <c r="Q140" i="12" s="1"/>
  <c r="S140" i="12" s="1"/>
  <c r="Q137" i="12" a="1"/>
  <c r="Q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S336" i="12" s="1"/>
  <c r="Q332" i="12" a="1"/>
  <c r="Q332" i="12" s="1"/>
  <c r="S332" i="12" s="1"/>
  <c r="Q327" i="12" a="1"/>
  <c r="Q327" i="12" s="1"/>
  <c r="Q323" i="12" a="1"/>
  <c r="Q323" i="12" s="1"/>
  <c r="Q319" i="12" a="1"/>
  <c r="Q319" i="12" s="1"/>
  <c r="S319" i="12" s="1"/>
  <c r="Q308" i="12" a="1"/>
  <c r="Q308" i="12" s="1"/>
  <c r="S308" i="12" s="1"/>
  <c r="Q303" i="12" a="1"/>
  <c r="Q303" i="12" s="1"/>
  <c r="S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S227" i="12" s="1"/>
  <c r="Q216" i="12" a="1"/>
  <c r="Q216" i="12" s="1"/>
  <c r="Q212" i="12" a="1"/>
  <c r="Q212" i="12" s="1"/>
  <c r="Q207" i="12" a="1"/>
  <c r="Q207" i="12" s="1"/>
  <c r="S207" i="12" s="1"/>
  <c r="Q203" i="12" a="1"/>
  <c r="Q203" i="12" s="1"/>
  <c r="P188" i="12" a="1"/>
  <c r="P188" i="12" s="1"/>
  <c r="Q158" i="12" a="1"/>
  <c r="Q158" i="12" s="1"/>
  <c r="AL476" i="12" s="1"/>
  <c r="AO476" i="12" s="1"/>
  <c r="Q152" i="12" a="1"/>
  <c r="Q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O303" i="12" a="1"/>
  <c r="O303" i="12" s="1"/>
  <c r="P303" i="12" s="1"/>
  <c r="O301" i="12" a="1"/>
  <c r="O301" i="12" s="1"/>
  <c r="P301" i="12" s="1"/>
  <c r="O299" i="12" a="1"/>
  <c r="O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Q118" i="12" a="1"/>
  <c r="Q118" i="12" s="1"/>
  <c r="S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Q38" i="12" a="1"/>
  <c r="Q38" i="12" s="1"/>
  <c r="S38" i="12" s="1"/>
  <c r="Q32" i="12" a="1"/>
  <c r="Q32" i="12" s="1"/>
  <c r="S32" i="12" s="1"/>
  <c r="Q22" i="12" a="1"/>
  <c r="Q22" i="12" s="1"/>
  <c r="S22" i="12" s="1"/>
  <c r="Q7" i="12" a="1"/>
  <c r="Q7" i="12" s="1"/>
  <c r="S7" i="12" s="1"/>
  <c r="Q322" i="12" a="1"/>
  <c r="Q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Q37" i="12" a="1"/>
  <c r="Q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Q36" i="12" a="1"/>
  <c r="Q36" i="12" s="1"/>
  <c r="S36" i="12" s="1"/>
  <c r="O17" i="12" a="1"/>
  <c r="O17" i="12" s="1"/>
  <c r="R17" i="12" s="1"/>
  <c r="O11" i="12" a="1"/>
  <c r="O11" i="12" s="1"/>
  <c r="P11" i="12" s="1"/>
  <c r="Q95" i="12" a="1"/>
  <c r="Q95" i="12" s="1"/>
  <c r="S95" i="12" s="1"/>
  <c r="Q70" i="12" a="1"/>
  <c r="Q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S389" i="12" s="1"/>
  <c r="J360" i="12"/>
  <c r="L372" i="12"/>
  <c r="L379" i="12"/>
  <c r="L393" i="12"/>
  <c r="L387" i="12"/>
  <c r="L380" i="12"/>
  <c r="S380" i="12" s="1"/>
  <c r="L388" i="12"/>
  <c r="S388" i="12" s="1"/>
  <c r="L376" i="12"/>
  <c r="S376" i="12" s="1"/>
  <c r="L369" i="12"/>
  <c r="L381" i="12"/>
  <c r="S381" i="12" s="1"/>
  <c r="L394" i="12"/>
  <c r="S394" i="12" s="1"/>
  <c r="L367" i="12"/>
  <c r="L370" i="12"/>
  <c r="S370" i="12" s="1"/>
  <c r="L386" i="12"/>
  <c r="S386" i="12" s="1"/>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N83" i="9"/>
  <c r="K307" i="9"/>
  <c r="M307" i="9"/>
  <c r="N163"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25" i="12"/>
  <c r="S281" i="12"/>
  <c r="E24" i="8"/>
  <c r="F12" i="11"/>
  <c r="C40" i="8"/>
  <c r="B5" i="11"/>
  <c r="K301" i="12"/>
  <c r="AF413" i="12"/>
  <c r="AN494" i="9"/>
  <c r="AR459" i="12"/>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L176" i="12"/>
  <c r="V176" i="12"/>
  <c r="L72" i="12"/>
  <c r="S146" i="12"/>
  <c r="S333" i="12"/>
  <c r="J185" i="12"/>
  <c r="D6" i="14"/>
  <c r="D8" i="14"/>
  <c r="S343" i="12"/>
  <c r="S265" i="12"/>
  <c r="S337" i="12"/>
  <c r="D21" i="8"/>
  <c r="D27" i="8" s="1"/>
  <c r="D30" i="8"/>
  <c r="R308" i="9"/>
  <c r="R300" i="12"/>
  <c r="R298" i="12"/>
  <c r="E11" i="8"/>
  <c r="D64" i="8"/>
  <c r="E40" i="8"/>
  <c r="E38" i="8"/>
  <c r="R302" i="9"/>
  <c r="R298" i="9"/>
  <c r="R301" i="12"/>
  <c r="AF412" i="12"/>
  <c r="S37" i="12"/>
  <c r="AF415" i="12"/>
  <c r="E44" i="8"/>
  <c r="U51" i="12"/>
  <c r="K39" i="12"/>
  <c r="F16" i="11"/>
  <c r="G16" i="11" s="1"/>
  <c r="B7" i="11"/>
  <c r="K185" i="12"/>
  <c r="K174" i="12"/>
  <c r="AN454" i="9"/>
  <c r="AO454" i="9" s="1"/>
  <c r="AN455" i="9"/>
  <c r="AO455" i="9" s="1"/>
  <c r="AR460" i="12"/>
  <c r="AN460" i="12"/>
  <c r="AO460" i="12" s="1"/>
  <c r="AF466" i="12"/>
  <c r="AR453" i="12"/>
  <c r="AN496"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205" i="12"/>
  <c r="S220" i="12"/>
  <c r="S66" i="9"/>
  <c r="AF446" i="9"/>
  <c r="AH446" i="9" s="1"/>
  <c r="AI446" i="9" s="1"/>
  <c r="S139" i="9"/>
  <c r="S147" i="9"/>
  <c r="S200" i="9"/>
  <c r="K15" i="12"/>
  <c r="S64" i="12"/>
  <c r="L185" i="12"/>
  <c r="L173" i="12"/>
  <c r="S339" i="12"/>
  <c r="L179" i="12"/>
  <c r="S178" i="12"/>
  <c r="S325" i="12"/>
  <c r="D15" i="14"/>
  <c r="L189" i="12"/>
  <c r="S281" i="9"/>
  <c r="S149" i="9"/>
  <c r="E51" i="8"/>
  <c r="E57" i="8"/>
  <c r="R295" i="9"/>
  <c r="R300" i="9"/>
  <c r="E53" i="8"/>
  <c r="R302" i="12"/>
  <c r="S10" i="12"/>
  <c r="AO440" i="9"/>
  <c r="K8" i="12"/>
  <c r="L362" i="9"/>
  <c r="S360" i="9"/>
  <c r="B6" i="14"/>
  <c r="K297" i="12"/>
  <c r="AN458" i="9"/>
  <c r="AO458" i="9" s="1"/>
  <c r="AN461" i="9"/>
  <c r="AO461" i="9" s="1"/>
  <c r="AN448" i="12"/>
  <c r="AO448" i="12" s="1"/>
  <c r="AR448" i="12"/>
  <c r="AR461" i="12"/>
  <c r="S373" i="9"/>
  <c r="S36" i="9"/>
  <c r="AF414" i="9"/>
  <c r="AH414" i="9" s="1"/>
  <c r="AI414" i="9" s="1"/>
  <c r="S208" i="9"/>
  <c r="S33" i="9"/>
  <c r="AF411" i="9"/>
  <c r="AH411" i="9" s="1"/>
  <c r="AI411" i="9" s="1"/>
  <c r="S385" i="9"/>
  <c r="S259" i="9"/>
  <c r="S214" i="9"/>
  <c r="S327" i="9"/>
  <c r="S278" i="9"/>
  <c r="S318" i="9"/>
  <c r="S363" i="9"/>
  <c r="E54" i="8"/>
  <c r="R307" i="9"/>
  <c r="R303" i="12"/>
  <c r="U50" i="12"/>
  <c r="E45" i="8"/>
  <c r="S245" i="9"/>
  <c r="AO440" i="12"/>
  <c r="D4" i="8"/>
  <c r="S70" i="12"/>
  <c r="D43" i="8"/>
  <c r="D46" i="8" s="1"/>
  <c r="C54" i="8"/>
  <c r="B14" i="11"/>
  <c r="V175" i="12"/>
  <c r="B7" i="14"/>
  <c r="K298" i="12"/>
  <c r="AN493" i="9"/>
  <c r="AO493" i="9" s="1"/>
  <c r="AN492" i="9"/>
  <c r="AN491" i="9"/>
  <c r="AO491" i="9" s="1"/>
  <c r="AR458" i="12"/>
  <c r="AR492" i="12"/>
  <c r="S329" i="9"/>
  <c r="S276" i="9"/>
  <c r="S223" i="9"/>
  <c r="J33" i="10"/>
  <c r="S213" i="9"/>
  <c r="C47" i="8"/>
  <c r="S15" i="9"/>
  <c r="S228" i="9"/>
  <c r="S261" i="9"/>
  <c r="S115" i="9"/>
  <c r="S348" i="9"/>
  <c r="S8" i="9"/>
  <c r="S326" i="9"/>
  <c r="S387" i="9"/>
  <c r="S104" i="12"/>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04" i="12"/>
  <c r="S212" i="12"/>
  <c r="K99" i="12"/>
  <c r="R99" i="12"/>
  <c r="S268" i="12"/>
  <c r="S113" i="12"/>
  <c r="S202" i="12"/>
  <c r="S348" i="12"/>
  <c r="S344" i="12"/>
  <c r="S216" i="12"/>
  <c r="V207" i="12"/>
  <c r="D5" i="14"/>
  <c r="S296" i="12"/>
  <c r="R303" i="9"/>
  <c r="S248" i="9"/>
  <c r="E7" i="8"/>
  <c r="S248" i="12"/>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AF414" i="12"/>
  <c r="S12" i="9"/>
  <c r="S212" i="9"/>
  <c r="S332" i="9"/>
  <c r="S276" i="12"/>
  <c r="AF447" i="9"/>
  <c r="AH447" i="9" s="1"/>
  <c r="AI447" i="9" s="1"/>
  <c r="S67" i="9"/>
  <c r="S140" i="9"/>
  <c r="S148" i="9"/>
  <c r="S267" i="9"/>
  <c r="S199" i="12"/>
  <c r="S274" i="12"/>
  <c r="AF470" i="12"/>
  <c r="L210" i="12"/>
  <c r="S198" i="12"/>
  <c r="K95" i="12"/>
  <c r="S321" i="12"/>
  <c r="S278" i="12"/>
  <c r="S201" i="12"/>
  <c r="S275" i="12"/>
  <c r="V206" i="12"/>
  <c r="S206" i="12"/>
  <c r="S45" i="12"/>
  <c r="R360" i="9"/>
  <c r="E58" i="8"/>
  <c r="E52" i="8"/>
  <c r="R297" i="9"/>
  <c r="R299" i="12"/>
  <c r="S6" i="10"/>
  <c r="R172" i="9"/>
  <c r="AO449" i="9"/>
  <c r="AO479" i="9"/>
  <c r="AO425" i="9"/>
  <c r="AO426" i="9"/>
  <c r="AO451" i="9"/>
  <c r="AO495" i="9"/>
  <c r="AO478" i="9"/>
  <c r="AO497" i="9"/>
  <c r="AO427" i="9"/>
  <c r="AO477" i="9"/>
  <c r="AO450" i="9"/>
  <c r="S156" i="9"/>
  <c r="R175" i="9"/>
  <c r="D56" i="8"/>
  <c r="S46" i="12"/>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00" i="12"/>
  <c r="S123" i="9"/>
  <c r="K38" i="12"/>
  <c r="S120" i="9"/>
  <c r="S343" i="9"/>
  <c r="S201" i="9"/>
  <c r="S347" i="9"/>
  <c r="S259" i="12"/>
  <c r="S160" i="12"/>
  <c r="S76" i="9"/>
  <c r="AF472" i="9"/>
  <c r="AH472" i="9" s="1"/>
  <c r="AI472" i="9" s="1"/>
  <c r="S371" i="9"/>
  <c r="U132" i="12"/>
  <c r="S132" i="12"/>
  <c r="S341" i="12"/>
  <c r="S223" i="12"/>
  <c r="S142" i="9"/>
  <c r="S150" i="9"/>
  <c r="S269" i="9"/>
  <c r="AF440" i="12"/>
  <c r="D4" i="14"/>
  <c r="L304" i="12"/>
  <c r="S295" i="12"/>
  <c r="L122" i="12"/>
  <c r="S215" i="12"/>
  <c r="S323" i="12"/>
  <c r="S115" i="12"/>
  <c r="S222" i="12"/>
  <c r="S301" i="12"/>
  <c r="V208" i="12"/>
  <c r="AR474" i="12"/>
  <c r="E41" i="8"/>
  <c r="R307" i="12"/>
  <c r="R308"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E32" i="10"/>
  <c r="S78" i="9"/>
  <c r="AF470" i="9"/>
  <c r="AH470" i="9" s="1"/>
  <c r="AI470" i="9" s="1"/>
  <c r="S258" i="9"/>
  <c r="L395" i="9"/>
  <c r="K395" i="9" s="1"/>
  <c r="S378" i="9"/>
  <c r="S128" i="12"/>
  <c r="L153" i="12"/>
  <c r="S338" i="12"/>
  <c r="S143" i="9"/>
  <c r="S151" i="9"/>
  <c r="S270" i="9"/>
  <c r="S221" i="12"/>
  <c r="D9" i="14"/>
  <c r="S300" i="12"/>
  <c r="U131" i="12"/>
  <c r="S224" i="12"/>
  <c r="L285" i="12"/>
  <c r="K285" i="12" s="1"/>
  <c r="S267" i="12"/>
  <c r="S214" i="12"/>
  <c r="S334" i="12"/>
  <c r="S127" i="12"/>
  <c r="L248" i="12"/>
  <c r="S247" i="12"/>
  <c r="R6" i="10"/>
  <c r="D13" i="8"/>
  <c r="D5" i="8"/>
  <c r="D8" i="8" s="1"/>
  <c r="K7" i="12"/>
  <c r="B4" i="11"/>
  <c r="C51" i="8"/>
  <c r="C57" i="8"/>
  <c r="B15" i="11"/>
  <c r="B5" i="14"/>
  <c r="K296" i="12"/>
  <c r="B8" i="14"/>
  <c r="K299" i="12"/>
  <c r="AN453" i="9"/>
  <c r="AR454" i="12"/>
  <c r="AN469" i="12"/>
  <c r="AO469" i="12" s="1"/>
  <c r="AR469" i="12"/>
  <c r="S175" i="9"/>
  <c r="S23" i="9"/>
  <c r="E42" i="2"/>
  <c r="E33" i="10"/>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S144" i="12"/>
  <c r="L242" i="12"/>
  <c r="S270" i="12"/>
  <c r="K266" i="12"/>
  <c r="L245" i="12"/>
  <c r="L250" i="12"/>
  <c r="S244" i="12"/>
  <c r="S340" i="12"/>
  <c r="S142" i="12"/>
  <c r="S255" i="12"/>
  <c r="S327" i="12"/>
  <c r="C41" i="8"/>
  <c r="J362" i="9"/>
  <c r="K362" i="9" s="1"/>
  <c r="K360" i="9"/>
  <c r="B14" i="14"/>
  <c r="K307" i="12"/>
  <c r="AR455" i="12"/>
  <c r="AN455" i="12"/>
  <c r="AO455" i="12" s="1"/>
  <c r="AN493" i="12"/>
  <c r="AO493"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53" i="12"/>
  <c r="S94" i="12"/>
  <c r="S227" i="9"/>
  <c r="R17" i="9"/>
  <c r="S211" i="9"/>
  <c r="C11" i="8"/>
  <c r="S32" i="9"/>
  <c r="AF410" i="9"/>
  <c r="AH410" i="9" s="1"/>
  <c r="AI410" i="9" s="1"/>
  <c r="S121" i="9"/>
  <c r="S222" i="9"/>
  <c r="S392" i="9"/>
  <c r="K94" i="12"/>
  <c r="S279" i="12"/>
  <c r="S9" i="9"/>
  <c r="S160" i="9"/>
  <c r="S298" i="9"/>
  <c r="D7" i="11"/>
  <c r="S386" i="9"/>
  <c r="S64" i="9"/>
  <c r="AF444" i="9"/>
  <c r="AH444" i="9" s="1"/>
  <c r="AI444" i="9" s="1"/>
  <c r="S137" i="9"/>
  <c r="S145" i="9"/>
  <c r="S198" i="9"/>
  <c r="C44" i="8"/>
  <c r="S272" i="9"/>
  <c r="L163" i="12"/>
  <c r="AF475" i="12"/>
  <c r="L54" i="12"/>
  <c r="S143" i="12"/>
  <c r="S264" i="12"/>
  <c r="S322" i="12"/>
  <c r="S162" i="12"/>
  <c r="S271" i="12"/>
  <c r="D14" i="14"/>
  <c r="S307" i="12"/>
  <c r="L349" i="12"/>
  <c r="AH480" i="9" l="1"/>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82" i="9"/>
  <c r="J82" i="9" s="1"/>
  <c r="K115" i="12"/>
  <c r="K116" i="12"/>
  <c r="G16" i="21"/>
  <c r="Z428" i="12"/>
  <c r="E108" i="9"/>
  <c r="O185" i="12"/>
  <c r="S157" i="12"/>
  <c r="AN495" i="12"/>
  <c r="R296" i="12"/>
  <c r="S175" i="12"/>
  <c r="S373" i="12"/>
  <c r="AN494" i="12"/>
  <c r="AH440" i="12"/>
  <c r="AN497" i="12"/>
  <c r="S384" i="12"/>
  <c r="K9" i="21"/>
  <c r="K13" i="21"/>
  <c r="L13" i="21" s="1"/>
  <c r="K24" i="21"/>
  <c r="L24" i="21" s="1"/>
  <c r="M24" i="21" s="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Q210" i="12"/>
  <c r="S210" i="12" s="1"/>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N441" i="12" s="1"/>
  <c r="AO441" i="12" s="1"/>
  <c r="AF435" i="12"/>
  <c r="AF436" i="12"/>
  <c r="AF445" i="12"/>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N27" i="9" s="1"/>
  <c r="N85" i="9" s="1"/>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E415" i="12"/>
  <c r="AR415" i="12"/>
  <c r="O6" i="10"/>
  <c r="N6" i="10" s="1"/>
  <c r="C6" i="14"/>
  <c r="AR434" i="12"/>
  <c r="S24" i="9"/>
  <c r="S25" i="9" s="1"/>
  <c r="C9" i="8"/>
  <c r="C12" i="8" s="1"/>
  <c r="F18" i="11"/>
  <c r="S304" i="12" l="1"/>
  <c r="S305" i="12" s="1"/>
  <c r="AN425" i="12"/>
  <c r="AN418" i="12"/>
  <c r="S14" i="12"/>
  <c r="AN445" i="12"/>
  <c r="AO445" i="12" s="1"/>
  <c r="AN435" i="12"/>
  <c r="AO435" i="12" s="1"/>
  <c r="P186" i="12"/>
  <c r="AJ468" i="9"/>
  <c r="AL483" i="9"/>
  <c r="AN436" i="12"/>
  <c r="AO436" i="12" s="1"/>
  <c r="F400" i="9"/>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P7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U30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41" i="12" l="1"/>
  <c r="S27" i="12"/>
  <c r="Q85" i="12"/>
  <c r="S74" i="12"/>
  <c r="F399" i="12"/>
  <c r="P135" i="12"/>
  <c r="AL489" i="9"/>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Y483" i="9"/>
  <c r="S287" i="12"/>
  <c r="S28" i="12"/>
  <c r="AN452" i="12"/>
  <c r="AO452" i="12" s="1"/>
  <c r="AF468" i="12"/>
  <c r="AR468" i="12" s="1"/>
  <c r="AR419" i="12"/>
  <c r="AR433" i="12"/>
  <c r="AN419" i="12"/>
  <c r="AO419" i="12" s="1"/>
  <c r="L399" i="12"/>
  <c r="S397" i="12"/>
  <c r="K397" i="12"/>
  <c r="E62" i="8"/>
  <c r="AF407" i="9"/>
  <c r="AH407" i="9" s="1"/>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98" i="9" s="1"/>
  <c r="AK489" i="9"/>
  <c r="Z483" i="12"/>
  <c r="Z489" i="12" s="1"/>
  <c r="U27" i="12"/>
  <c r="X433" i="12"/>
  <c r="S399" i="12"/>
  <c r="X481" i="12"/>
  <c r="AJ468" i="12"/>
  <c r="AJ419" i="12"/>
  <c r="AJ466" i="12"/>
  <c r="AL483" i="12"/>
  <c r="AL489" i="12" s="1"/>
  <c r="AL498" i="12" s="1"/>
  <c r="AJ452" i="12"/>
  <c r="E314" i="12"/>
  <c r="Z406" i="12"/>
  <c r="P314" i="12"/>
  <c r="AL406" i="12"/>
  <c r="Z498" i="9"/>
  <c r="Y498" i="9" s="1"/>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Y483" i="12" l="1"/>
  <c r="AK483" i="12"/>
  <c r="AJ407" i="12"/>
  <c r="Y489" i="12"/>
  <c r="Z498" i="12"/>
  <c r="Y498" i="12" s="1"/>
  <c r="AK498" i="12"/>
  <c r="AK489" i="12"/>
  <c r="G73" i="8"/>
  <c r="I73" i="8" s="1"/>
  <c r="AF489" i="9"/>
  <c r="AF498" i="9" s="1"/>
  <c r="G71" i="8"/>
  <c r="I71" i="8" s="1"/>
  <c r="G62" i="8"/>
  <c r="I62" i="8" s="1"/>
  <c r="AE483" i="9"/>
  <c r="C74" i="8"/>
  <c r="F74" i="8" s="1"/>
  <c r="H74" i="8" s="1"/>
  <c r="N23" i="10"/>
  <c r="O20" i="10"/>
  <c r="AF489" i="12"/>
  <c r="AF498" i="12" s="1"/>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H489" i="9" l="1"/>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H498" i="9" l="1"/>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<sst xmlns="http://schemas.openxmlformats.org/spreadsheetml/2006/main" count="17532" uniqueCount="3956">
  <si>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</si>
  <si>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</si>
  <si>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</si>
  <si>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</si>
  <si>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</si>
  <si>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</si>
  <si>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</si>
  <si>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</si>
  <si>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</si>
  <si>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</si>
  <si>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</si>
  <si>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</si>
  <si>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</si>
  <si>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</si>
  <si>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</si>
  <si>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</si>
  <si>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</si>
  <si>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</si>
  <si>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</si>
  <si>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</si>
  <si>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</si>
  <si>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</si>
  <si>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</si>
  <si>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</si>
  <si>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</si>
  <si>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</si>
  <si>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</si>
  <si>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</si>
  <si>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</si>
  <si>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</si>
  <si>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</si>
  <si>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</si>
  <si>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</si>
  <si>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</si>
  <si>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</si>
  <si>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</si>
  <si>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</si>
  <si>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</si>
  <si>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</si>
  <si>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</si>
  <si>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</si>
  <si>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</si>
  <si>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</si>
  <si>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</si>
  <si>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</si>
  <si>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</si>
  <si>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</si>
  <si>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</si>
  <si>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</si>
  <si>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</si>
  <si>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</si>
  <si>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</si>
  <si>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</si>
  <si>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</si>
  <si>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</si>
  <si>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</si>
  <si>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</si>
  <si>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</si>
  <si>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</si>
  <si>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</si>
  <si>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</si>
  <si>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</si>
  <si>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</si>
  <si>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</si>
  <si>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</si>
  <si>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</si>
  <si>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</si>
  <si>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</si>
  <si>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</si>
  <si>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</si>
  <si>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</si>
  <si>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</si>
  <si>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</si>
  <si>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</si>
  <si>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</si>
  <si>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</si>
  <si>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</si>
  <si>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</si>
  <si>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</si>
  <si>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</si>
  <si>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</si>
  <si>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</si>
  <si>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</si>
  <si>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</si>
  <si>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</si>
  <si>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</si>
  <si>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</si>
  <si>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</si>
  <si>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</si>
  <si>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</si>
  <si>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</si>
  <si>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</si>
  <si>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</si>
  <si>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</si>
  <si>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</si>
  <si>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</si>
  <si>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</si>
  <si>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</si>
  <si>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</si>
  <si>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</si>
  <si>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</si>
  <si>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</si>
  <si>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</si>
  <si>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</si>
  <si>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</si>
  <si>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</si>
  <si>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</si>
  <si>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</si>
  <si>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</si>
  <si>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</si>
  <si>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</si>
  <si>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</si>
  <si>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</si>
  <si>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</si>
  <si>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</si>
  <si>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</si>
  <si>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</si>
  <si>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</si>
  <si>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</si>
  <si>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</si>
  <si>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</si>
  <si>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</si>
  <si>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</si>
  <si>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</si>
  <si>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</si>
  <si>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</si>
  <si>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</si>
  <si>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</si>
  <si>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</si>
  <si>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</si>
  <si>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</si>
  <si>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</si>
  <si>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</si>
  <si>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</si>
  <si>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</si>
  <si>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</si>
  <si>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</si>
  <si>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</si>
  <si>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</si>
  <si>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</si>
  <si>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</si>
  <si>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</si>
  <si>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</si>
  <si>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</si>
  <si>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</si>
  <si>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</si>
  <si>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</si>
  <si>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</si>
  <si>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</si>
  <si>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</si>
  <si>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</si>
  <si>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</si>
  <si>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</si>
  <si>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</si>
  <si>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</si>
  <si>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</si>
  <si>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</si>
  <si>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</si>
  <si>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</si>
  <si>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</si>
  <si>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</si>
  <si>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</si>
  <si>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</si>
  <si>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</si>
  <si>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</si>
  <si>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</si>
  <si>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</si>
  <si>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</si>
  <si>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</si>
  <si>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</si>
  <si>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</si>
  <si>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</si>
  <si>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</si>
  <si>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</si>
  <si>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</si>
  <si>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</si>
  <si>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</si>
  <si>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</si>
  <si>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</si>
  <si>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</si>
  <si>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</si>
  <si>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</si>
  <si>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</si>
  <si>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</si>
  <si>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</si>
  <si>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</si>
  <si>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</si>
  <si>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</si>
  <si>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</si>
  <si>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</si>
  <si>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</si>
  <si>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</si>
  <si>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</si>
  <si>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</si>
  <si>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</si>
  <si>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</si>
  <si>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</si>
  <si>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</si>
  <si>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</si>
  <si>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</si>
  <si>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</si>
  <si>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</si>
  <si>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</si>
  <si>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</si>
  <si>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</si>
  <si>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</si>
  <si>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</si>
  <si>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</si>
  <si>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</si>
  <si>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</si>
  <si>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</si>
  <si>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</si>
  <si>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</si>
  <si>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</si>
  <si>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</si>
  <si>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</si>
  <si>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</si>
  <si>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</si>
  <si>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</si>
  <si>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</si>
  <si>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</si>
  <si>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</si>
  <si>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</si>
  <si>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</si>
  <si>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</si>
  <si>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</si>
  <si>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</si>
  <si>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</si>
  <si>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</si>
  <si>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</si>
  <si>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</si>
  <si>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</si>
  <si>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</si>
  <si>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</si>
  <si>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</si>
  <si>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</si>
  <si>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</si>
  <si>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</si>
  <si>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</si>
  <si>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</si>
  <si>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</si>
  <si>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</si>
  <si>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</si>
  <si>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</si>
  <si>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</si>
  <si>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</si>
  <si>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</si>
  <si>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</si>
  <si>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</si>
  <si>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</si>
  <si>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</si>
  <si>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</si>
  <si>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</si>
  <si>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</si>
  <si>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</si>
  <si>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</si>
  <si>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</si>
  <si>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</si>
  <si>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</si>
  <si>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</si>
  <si>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</si>
  <si>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</si>
  <si>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</si>
  <si>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</si>
  <si>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</si>
  <si>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</si>
  <si>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</si>
  <si>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</si>
  <si>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</si>
  <si>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</si>
  <si>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</si>
  <si>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</si>
  <si>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</si>
  <si>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</si>
  <si>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</si>
  <si>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</si>
  <si>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</si>
  <si>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</si>
  <si>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</si>
  <si>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</si>
  <si>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</si>
  <si>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</si>
  <si>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</si>
  <si>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</si>
  <si>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</si>
  <si>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</si>
  <si>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</si>
  <si>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</si>
  <si>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</si>
  <si>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</si>
  <si>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</si>
  <si>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</si>
  <si>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</si>
  <si>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</si>
  <si>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</si>
  <si>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</si>
  <si>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</si>
  <si>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</si>
  <si>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</si>
  <si>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</si>
  <si>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</si>
  <si>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</si>
  <si>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</si>
  <si>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</si>
  <si>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</si>
  <si>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</si>
  <si>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</si>
  <si>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</si>
  <si>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</si>
  <si>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</si>
  <si>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</si>
  <si>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</si>
  <si>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</si>
  <si>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</si>
  <si>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</si>
  <si>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</si>
  <si>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</si>
  <si>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</si>
  <si>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</si>
  <si>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</si>
  <si>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</si>
  <si>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</si>
  <si>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</si>
  <si>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</si>
  <si>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</si>
  <si>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</si>
  <si>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</si>
  <si>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</si>
  <si>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</si>
  <si>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</si>
  <si>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</si>
  <si>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</si>
  <si>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</si>
  <si>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</si>
  <si>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</si>
  <si>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</si>
  <si>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</si>
  <si>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</si>
  <si>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</si>
  <si>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</si>
  <si>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</si>
  <si>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</si>
  <si>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</si>
  <si>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</si>
  <si>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</si>
  <si>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</si>
  <si>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</si>
  <si>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</si>
  <si>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</si>
  <si>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</si>
  <si>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</si>
  <si>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</si>
  <si>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</si>
  <si>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</si>
  <si>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</si>
  <si>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</si>
  <si>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</si>
  <si>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</si>
  <si>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</si>
  <si>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</si>
  <si>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</si>
  <si>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</si>
  <si>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</si>
  <si>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</si>
  <si>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</si>
  <si>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</si>
  <si>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</si>
  <si>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</si>
  <si>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</si>
  <si>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</si>
  <si>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</si>
  <si>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</si>
  <si>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</si>
  <si>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</si>
  <si>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</si>
  <si>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</si>
  <si>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</si>
  <si>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</si>
  <si>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</si>
  <si>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</si>
  <si>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</si>
  <si>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</si>
  <si>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</si>
  <si>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</si>
  <si>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</si>
  <si>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</si>
  <si>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</si>
  <si>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</si>
  <si>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</si>
  <si>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</si>
  <si>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</si>
  <si>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</si>
  <si>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</si>
  <si>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</si>
  <si>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</si>
  <si>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</si>
  <si>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</si>
  <si>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</si>
  <si>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</si>
  <si>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</si>
  <si>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</si>
  <si>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</si>
  <si>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</si>
  <si>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</si>
  <si>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</si>
  <si>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</si>
  <si>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</si>
  <si>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</si>
  <si>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</si>
  <si>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</si>
  <si>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</si>
  <si>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</si>
  <si>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</si>
  <si>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</si>
  <si>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</si>
  <si>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</si>
  <si>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</si>
  <si>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</si>
  <si>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</si>
  <si>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</si>
  <si>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</si>
  <si>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</si>
  <si>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</si>
  <si>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</si>
  <si>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</si>
  <si>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</si>
  <si>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</si>
  <si>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</si>
  <si>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</si>
  <si>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</si>
  <si>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</si>
  <si>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</si>
  <si>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</si>
  <si>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</si>
  <si>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</si>
  <si>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</si>
  <si>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</si>
  <si>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</si>
  <si>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</si>
  <si>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</si>
  <si>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</si>
  <si>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</si>
  <si>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</si>
  <si>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</si>
  <si>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</si>
  <si>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</si>
  <si>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</si>
  <si>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</si>
  <si>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</si>
  <si>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</si>
  <si>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</si>
  <si>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</si>
  <si>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</si>
  <si>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</si>
  <si>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</si>
  <si>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</si>
  <si>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</si>
  <si>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</si>
  <si>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</si>
  <si>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</si>
  <si>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</si>
  <si>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</si>
  <si>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</si>
  <si>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</si>
  <si>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</si>
  <si>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</si>
  <si>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</si>
  <si>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</si>
  <si>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</si>
  <si>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</si>
  <si>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</si>
  <si>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</si>
  <si>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</si>
  <si>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</si>
  <si>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</si>
  <si>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</si>
  <si>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</si>
  <si>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</si>
  <si>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</si>
  <si>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</si>
  <si>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</si>
  <si>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</si>
  <si>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</si>
  <si>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</si>
  <si>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</si>
  <si>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</si>
  <si>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</si>
  <si>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</si>
  <si>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</si>
  <si>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</si>
  <si>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</si>
  <si>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</si>
  <si>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</si>
  <si>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</si>
  <si>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</si>
  <si>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</si>
  <si>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</si>
  <si>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</si>
  <si>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</si>
  <si>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</si>
  <si>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</si>
  <si>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</si>
  <si>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</si>
  <si>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</si>
  <si>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</si>
  <si>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</si>
  <si>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</si>
  <si>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</si>
  <si>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</si>
  <si>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</si>
  <si>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</si>
  <si>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</si>
  <si>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</si>
  <si>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</si>
  <si>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</si>
  <si>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</si>
  <si>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</si>
  <si>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</si>
  <si>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</si>
  <si>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</si>
  <si>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</si>
  <si>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</si>
  <si>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</si>
  <si>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</si>
  <si>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</si>
  <si>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</si>
  <si>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</si>
  <si>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</si>
  <si>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</si>
  <si>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</si>
  <si>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</si>
  <si>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</si>
  <si>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</si>
  <si>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</si>
  <si>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</si>
  <si>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</si>
  <si>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</si>
  <si>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</si>
  <si>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</si>
  <si>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</si>
  <si>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</si>
  <si>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</si>
  <si>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</si>
  <si>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</si>
  <si>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</si>
  <si>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</si>
  <si>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</si>
  <si>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</si>
  <si>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</si>
  <si>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</si>
  <si>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</si>
  <si>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</si>
  <si>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</si>
  <si>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</si>
  <si>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</si>
  <si>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</si>
  <si>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</si>
  <si>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</si>
  <si>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</si>
  <si>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</si>
  <si>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</si>
  <si>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</si>
  <si>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</si>
  <si>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</si>
  <si>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</si>
  <si>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</si>
  <si>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</si>
  <si>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</si>
  <si>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</si>
  <si>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</si>
  <si>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</si>
  <si>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</si>
  <si>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</si>
  <si>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</si>
  <si>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</si>
  <si>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</si>
  <si>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</si>
  <si>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</si>
  <si>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</si>
  <si>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</si>
  <si>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</si>
  <si>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</si>
  <si>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</si>
  <si>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</si>
  <si>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</si>
  <si>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</si>
  <si>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</si>
  <si>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</si>
  <si>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</si>
  <si>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</si>
  <si>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</si>
  <si>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</si>
  <si>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</si>
  <si>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</si>
  <si>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</si>
  <si>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</si>
  <si>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</si>
  <si>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</si>
  <si>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</si>
  <si>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</si>
  <si>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</si>
  <si>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</si>
  <si>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</si>
  <si>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</si>
  <si>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</si>
  <si>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</si>
  <si>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</si>
  <si>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</si>
  <si>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</si>
  <si>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</si>
  <si>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</si>
  <si>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</si>
  <si>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</si>
  <si>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</si>
  <si>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</si>
  <si>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</si>
  <si>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</si>
  <si>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</si>
  <si>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</si>
  <si>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</si>
  <si>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</si>
  <si>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</si>
  <si>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</si>
  <si>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</si>
  <si>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</si>
  <si>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</si>
  <si>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</si>
  <si>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</si>
  <si>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</si>
  <si>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</si>
  <si>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</si>
  <si>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</si>
  <si>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</si>
  <si>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</si>
  <si>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</si>
  <si>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</si>
  <si>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</si>
  <si>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</si>
  <si>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</si>
  <si>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</si>
  <si>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</si>
  <si>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</si>
  <si>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</si>
  <si>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</si>
  <si>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</si>
  <si>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</si>
  <si>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</si>
  <si>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</si>
  <si>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</si>
  <si>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</si>
  <si>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</si>
  <si>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</si>
  <si>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</si>
  <si>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</si>
  <si>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</si>
  <si>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</si>
  <si>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</si>
  <si>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</si>
  <si>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</si>
  <si>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</si>
  <si>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</si>
  <si>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</si>
  <si>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</si>
  <si>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</si>
  <si>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</si>
  <si>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</si>
  <si>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</si>
  <si>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</si>
  <si>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</si>
  <si>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</si>
  <si>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</si>
  <si>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</si>
  <si>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</si>
  <si>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</si>
  <si>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</si>
  <si>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</si>
  <si>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</si>
  <si>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</si>
  <si>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</si>
  <si>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</si>
  <si>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</si>
  <si>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</si>
  <si>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</si>
  <si>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</si>
  <si>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</si>
  <si>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</si>
  <si>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</si>
  <si>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</si>
  <si>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</si>
  <si>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</si>
  <si>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</si>
  <si>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</si>
  <si>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</si>
  <si>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</si>
  <si>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</si>
  <si>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</si>
  <si>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</si>
  <si>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</si>
  <si>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</si>
  <si>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</si>
  <si>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</si>
  <si>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</si>
  <si>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</si>
  <si>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</si>
  <si>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</si>
  <si>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</si>
  <si>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</si>
  <si>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</si>
  <si>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</si>
  <si>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</si>
  <si>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</si>
  <si>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</si>
  <si>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</si>
  <si>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</si>
  <si>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</si>
  <si>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</si>
  <si>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</si>
  <si>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</si>
  <si>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</si>
  <si>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</si>
  <si>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</si>
  <si>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</si>
  <si>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</si>
  <si>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</si>
  <si>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</si>
  <si>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</si>
  <si>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</si>
  <si>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</si>
  <si>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</si>
  <si>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</si>
  <si>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</si>
  <si>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</si>
  <si>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</si>
  <si>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</si>
  <si>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</si>
  <si>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</si>
  <si>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</si>
  <si>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</si>
  <si>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</si>
  <si>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</si>
  <si>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</si>
  <si>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</si>
  <si>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</si>
  <si>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</si>
  <si>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</si>
  <si>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</si>
  <si>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</si>
  <si>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</si>
  <si>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</si>
  <si>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</si>
  <si>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</si>
  <si>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</si>
  <si>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</si>
  <si>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</si>
  <si>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</si>
  <si>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</si>
  <si>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</si>
  <si>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</si>
  <si>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</si>
  <si>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</si>
  <si>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</si>
  <si>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</si>
  <si>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</si>
  <si>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</si>
  <si>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</si>
  <si>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</si>
  <si>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</si>
  <si>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</si>
  <si>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</si>
  <si>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</si>
  <si>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</si>
  <si>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</si>
  <si>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</si>
  <si>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</si>
  <si>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</si>
  <si>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</si>
  <si>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</si>
  <si>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</si>
  <si>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</si>
  <si>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</si>
  <si>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</si>
  <si>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</si>
  <si>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</si>
  <si>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</si>
  <si>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</si>
  <si>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</si>
  <si>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</si>
  <si>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</si>
  <si>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</si>
  <si>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</si>
  <si>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</si>
  <si>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</si>
  <si>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</si>
  <si>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</si>
  <si>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</si>
  <si>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</si>
  <si>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</si>
  <si>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</si>
  <si>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</si>
  <si>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</si>
  <si>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</si>
  <si>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</si>
  <si>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</si>
  <si>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</si>
  <si>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</si>
  <si>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</si>
  <si>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</si>
  <si>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</si>
  <si>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</si>
  <si>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</si>
  <si>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</si>
  <si>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</si>
  <si>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</si>
  <si>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</si>
  <si>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</si>
  <si>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</si>
  <si>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</si>
  <si>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</si>
  <si>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</si>
  <si>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</si>
  <si>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</si>
  <si>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</si>
  <si>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</si>
  <si>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</si>
  <si>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</si>
  <si>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</si>
  <si>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</si>
  <si>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</si>
  <si>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</si>
  <si>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</si>
  <si>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</si>
  <si>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</si>
  <si>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</si>
  <si>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</si>
  <si>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</si>
  <si>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</si>
  <si>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</si>
  <si>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</si>
  <si>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</si>
  <si>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</si>
  <si>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</si>
  <si>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</si>
  <si>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</si>
  <si>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</si>
  <si>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</si>
  <si>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</si>
  <si>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</si>
  <si>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</si>
  <si>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</si>
  <si>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</si>
  <si>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</si>
  <si>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</si>
  <si>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</si>
  <si>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</si>
  <si>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</si>
  <si>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</si>
  <si>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</si>
  <si>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</si>
  <si>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</si>
  <si>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</si>
  <si>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</si>
  <si>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</si>
  <si>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</si>
  <si>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</si>
  <si>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</si>
  <si>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</si>
  <si>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</si>
  <si>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</si>
  <si>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</si>
  <si>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</si>
  <si>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</si>
  <si>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</si>
  <si>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</si>
  <si>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</si>
  <si>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</si>
  <si>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</si>
  <si>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</si>
  <si>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</si>
  <si>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</si>
  <si>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</si>
  <si>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</si>
  <si>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</si>
  <si>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</si>
  <si>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</si>
  <si>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</si>
  <si>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</si>
  <si>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</si>
  <si>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</si>
  <si>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</si>
  <si>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</si>
  <si>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</si>
  <si>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</si>
  <si>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</si>
  <si>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</si>
  <si>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</si>
  <si>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</si>
  <si>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</si>
  <si>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</si>
  <si>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</si>
  <si>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</si>
  <si>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</si>
  <si>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</si>
  <si>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</si>
  <si>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</si>
  <si>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</si>
  <si>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</si>
  <si>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</si>
  <si>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</si>
  <si>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</si>
  <si>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</si>
  <si>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</si>
  <si>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</si>
  <si>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</si>
  <si>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</si>
  <si>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</si>
  <si>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</si>
  <si>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</si>
  <si>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</si>
  <si>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</si>
  <si>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</si>
  <si>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</si>
  <si>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</si>
  <si>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</si>
  <si>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</si>
  <si>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</si>
  <si>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</si>
  <si>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</si>
  <si>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</si>
  <si>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</si>
  <si>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</si>
  <si>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</si>
  <si>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</si>
  <si>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</si>
  <si>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</si>
  <si>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</si>
  <si>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</si>
  <si>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</si>
  <si>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</si>
  <si>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</si>
  <si>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</si>
  <si>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</si>
  <si>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</si>
  <si>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</si>
  <si>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</si>
  <si>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</si>
  <si>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</si>
  <si>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</si>
  <si>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</si>
  <si>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</si>
  <si>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</si>
  <si>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</si>
  <si>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</si>
  <si>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</si>
  <si>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</si>
  <si>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</si>
  <si>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</si>
  <si>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</si>
  <si>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</si>
  <si>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</si>
  <si>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</si>
  <si>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</si>
  <si>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</si>
  <si>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</si>
  <si>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</si>
  <si>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</si>
  <si>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</si>
  <si>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</si>
  <si>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</si>
  <si>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</si>
  <si>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</si>
  <si>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</si>
  <si>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</si>
  <si>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</si>
  <si>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</si>
  <si>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</si>
  <si>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</si>
  <si>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</si>
  <si>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</si>
  <si>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</si>
  <si>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</si>
  <si>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</si>
  <si>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</si>
  <si>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</si>
  <si>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</si>
  <si>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</si>
  <si>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</si>
  <si>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</si>
  <si>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</si>
  <si>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</si>
  <si>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</si>
  <si>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</si>
  <si>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</si>
  <si>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</si>
  <si>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</si>
  <si>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</si>
  <si>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</si>
  <si>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</si>
  <si>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</si>
  <si>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</si>
  <si>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</si>
  <si>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</si>
  <si>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</si>
  <si>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</si>
  <si>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</si>
  <si>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</si>
  <si>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</si>
  <si>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</si>
  <si>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</si>
  <si>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</si>
  <si>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</si>
  <si>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</si>
  <si>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</si>
  <si>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</si>
  <si>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</si>
  <si>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</si>
  <si>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</si>
  <si>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</si>
  <si>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</si>
  <si>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</si>
  <si>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</si>
  <si>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</si>
  <si>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</si>
  <si>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</si>
  <si>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</si>
  <si>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</si>
  <si>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</si>
  <si>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</si>
  <si>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</si>
  <si>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</si>
  <si>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</si>
  <si>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</si>
  <si>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</si>
  <si>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</si>
  <si>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</si>
  <si>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</si>
  <si>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</si>
  <si>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</si>
  <si>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</si>
  <si>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</si>
  <si>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</si>
  <si>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</si>
  <si>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</si>
  <si>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</si>
  <si>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</si>
  <si>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</si>
  <si>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</si>
  <si>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</si>
  <si>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</si>
  <si>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</si>
  <si>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</si>
  <si>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</si>
  <si>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</si>
  <si>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</si>
  <si>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</si>
  <si>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</si>
  <si>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</si>
  <si>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</si>
  <si>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</si>
  <si>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</si>
  <si>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</si>
  <si>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</si>
  <si>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</si>
  <si>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</si>
  <si>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</si>
  <si>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</si>
  <si>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</si>
  <si>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</si>
  <si>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</si>
  <si>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</si>
  <si>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</si>
  <si>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</si>
  <si>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</si>
  <si>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</si>
  <si>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</si>
  <si>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</si>
  <si>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</si>
  <si>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</si>
  <si>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</si>
  <si>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</si>
  <si>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</si>
  <si>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</si>
  <si>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</si>
  <si>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</si>
  <si>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</si>
  <si>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</si>
  <si>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</si>
  <si>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</si>
  <si>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</si>
  <si>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</si>
  <si>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</si>
  <si>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</si>
  <si>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</si>
  <si>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</si>
  <si>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</si>
  <si>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</si>
  <si>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</si>
  <si>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</si>
  <si>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</si>
  <si>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</si>
  <si>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</si>
  <si>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</si>
  <si>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</si>
  <si>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</si>
  <si>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</si>
  <si>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</si>
  <si>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</si>
  <si>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</si>
  <si>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</si>
  <si>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</si>
  <si>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</si>
  <si>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</si>
  <si>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</si>
  <si>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</si>
  <si>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</si>
  <si>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</si>
  <si>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</si>
  <si>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</si>
  <si>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</si>
  <si>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</si>
  <si>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</si>
  <si>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</si>
  <si>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</si>
  <si>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</si>
  <si>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</si>
  <si>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</si>
  <si>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</si>
  <si>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</si>
  <si>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</si>
  <si>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</si>
  <si>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</si>
  <si>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</si>
  <si>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</si>
  <si>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</si>
  <si>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</si>
  <si>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</si>
  <si>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</si>
  <si>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</si>
  <si>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</si>
  <si>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</si>
  <si>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</si>
  <si>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</si>
  <si>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</si>
  <si>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</si>
  <si>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</si>
  <si>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</si>
  <si>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</si>
  <si>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</si>
  <si>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</si>
  <si>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</si>
  <si>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</si>
  <si>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</si>
  <si>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</si>
  <si>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</si>
  <si>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</si>
  <si>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</si>
  <si>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</si>
  <si>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</si>
  <si>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</si>
  <si>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</si>
  <si>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</si>
  <si>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</si>
  <si>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</si>
  <si>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</si>
  <si>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</si>
  <si>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</si>
  <si>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</si>
  <si>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</si>
  <si>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</si>
  <si>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</si>
  <si>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</si>
  <si>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</si>
  <si>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</si>
  <si>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</si>
  <si>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</si>
  <si>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</si>
  <si>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</si>
  <si>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</si>
  <si>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</si>
  <si>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</si>
  <si>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</si>
  <si>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</si>
  <si>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</si>
  <si>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</si>
  <si>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</si>
  <si>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</si>
  <si>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</si>
  <si>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</si>
  <si>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</si>
  <si>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</si>
  <si>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</si>
  <si>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</si>
  <si>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</si>
  <si>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</si>
  <si>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</si>
  <si>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</si>
  <si>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</si>
  <si>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</si>
  <si>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</si>
  <si>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</si>
  <si>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</si>
  <si>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</si>
  <si>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</si>
  <si>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</si>
  <si>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</si>
  <si>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</si>
  <si>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</si>
  <si>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</si>
  <si>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</si>
  <si>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</si>
  <si>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</si>
  <si>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</si>
  <si>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</si>
  <si>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</si>
  <si>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</si>
  <si>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</si>
  <si>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</si>
  <si>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</si>
  <si>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</si>
  <si>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</si>
  <si>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</si>
  <si>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</si>
  <si>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</si>
  <si>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</si>
  <si>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</si>
  <si>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</si>
  <si>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</si>
  <si>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</si>
  <si>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</si>
  <si>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</si>
  <si>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</si>
  <si>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</si>
  <si>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</si>
  <si>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</si>
  <si>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</si>
  <si>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</si>
  <si>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</si>
  <si>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</si>
  <si>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</si>
  <si>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</si>
  <si>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</si>
  <si>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</si>
  <si>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</si>
  <si>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</si>
  <si>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</si>
  <si>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</si>
  <si>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</si>
  <si>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</si>
  <si>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</si>
  <si>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</si>
  <si>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</si>
  <si>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</si>
  <si>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</si>
  <si>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</si>
  <si>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</si>
  <si>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</si>
  <si>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</si>
  <si>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</si>
  <si>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</si>
  <si>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</si>
  <si>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</si>
  <si>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</si>
  <si>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</si>
  <si>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</si>
  <si>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</si>
  <si>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</si>
  <si>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</si>
  <si>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</si>
  <si>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</si>
  <si>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</si>
  <si>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</si>
  <si>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</si>
  <si>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</si>
  <si>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</si>
  <si>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</si>
  <si>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</si>
  <si>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</si>
  <si>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</si>
  <si>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</si>
  <si>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</si>
  <si>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</si>
  <si>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</si>
  <si>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</si>
  <si>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</si>
  <si>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</si>
  <si>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</si>
  <si>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</si>
  <si>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</si>
  <si>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</si>
  <si>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</si>
  <si>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</si>
  <si>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</si>
  <si>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</si>
  <si>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</si>
  <si>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</si>
  <si>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</si>
  <si>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</si>
  <si>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</si>
  <si>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</si>
  <si>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</si>
  <si>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</si>
  <si>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</si>
  <si>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</si>
  <si>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</si>
  <si>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</si>
  <si>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</si>
  <si>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</si>
  <si>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</si>
  <si>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</si>
  <si>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</si>
  <si>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</si>
  <si>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</si>
  <si>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</si>
  <si>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</si>
  <si>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</si>
  <si>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</si>
  <si>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</si>
  <si>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</si>
  <si>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</si>
  <si>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</si>
  <si>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</si>
  <si>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</si>
  <si>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</si>
  <si>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</si>
  <si>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</si>
  <si>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</si>
  <si>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</si>
  <si>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</si>
  <si>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</si>
  <si>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</si>
  <si>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</si>
  <si>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</si>
  <si>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</si>
  <si>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</si>
  <si>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</si>
  <si>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</si>
  <si>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</si>
  <si>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</si>
  <si>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</si>
  <si>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</si>
  <si>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</si>
  <si>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</si>
  <si>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</si>
  <si>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</si>
  <si>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</si>
  <si>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</si>
  <si>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</si>
  <si>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</si>
  <si>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</si>
  <si>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</si>
  <si>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</si>
  <si>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</si>
  <si>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</si>
  <si>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</si>
  <si>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</si>
  <si>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</si>
  <si>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</si>
  <si>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</si>
  <si>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</si>
  <si>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</si>
  <si>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</si>
  <si>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</si>
  <si>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</si>
  <si>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</si>
  <si>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</si>
  <si>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</si>
  <si>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</si>
  <si>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</si>
  <si>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</si>
  <si>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</si>
  <si>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</si>
  <si>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</si>
  <si>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</si>
  <si>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</si>
  <si>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</si>
  <si>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</si>
  <si>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</si>
  <si>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</si>
  <si>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</si>
  <si>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</si>
  <si>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</si>
  <si>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</si>
  <si>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</si>
  <si>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</si>
  <si>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</si>
  <si>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</si>
  <si>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</si>
  <si>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</si>
  <si>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</si>
  <si>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</si>
  <si>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</si>
  <si>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</si>
  <si>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</si>
  <si>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</si>
  <si>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</si>
  <si>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</si>
  <si>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</si>
  <si>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</si>
  <si>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</si>
  <si>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</si>
  <si>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</si>
  <si>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</si>
  <si>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</si>
  <si>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</si>
  <si>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</si>
  <si>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</si>
  <si>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</si>
  <si>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</si>
  <si>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</si>
  <si>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</si>
  <si>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</si>
  <si>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</si>
  <si>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</si>
  <si>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</si>
  <si>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</si>
  <si>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</si>
  <si>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</si>
  <si>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</si>
  <si>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</si>
  <si>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</si>
  <si>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</si>
  <si>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</si>
  <si>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</si>
  <si>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</si>
  <si>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</si>
  <si>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</si>
  <si>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</si>
  <si>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</si>
  <si>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</si>
  <si>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</si>
  <si>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</si>
  <si>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</si>
  <si>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</si>
  <si>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</si>
  <si>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</si>
  <si>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</si>
  <si>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</si>
  <si>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</si>
  <si>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</si>
  <si>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</si>
  <si>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</si>
  <si>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</si>
  <si>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</si>
  <si>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</si>
  <si>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</si>
  <si>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</si>
  <si>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</si>
  <si>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</si>
  <si>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</si>
  <si>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</si>
  <si>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</si>
  <si>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</si>
  <si>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</si>
  <si>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</si>
  <si>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</si>
  <si>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</si>
  <si>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</si>
  <si>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</si>
  <si>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</si>
  <si>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</si>
  <si>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</si>
  <si>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</si>
  <si>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</si>
  <si>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</si>
  <si>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</si>
  <si>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</si>
  <si>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</si>
  <si>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</si>
  <si>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</si>
  <si>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</si>
  <si>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</si>
  <si>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</si>
  <si>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</si>
  <si>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</si>
  <si>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</si>
  <si>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</si>
  <si>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</si>
  <si>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</si>
  <si>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</si>
  <si>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</si>
  <si>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</si>
  <si>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</si>
  <si>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</si>
  <si>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</si>
  <si>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</si>
  <si>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</si>
  <si>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</si>
  <si>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</si>
  <si>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</si>
  <si>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</si>
  <si>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</si>
  <si>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</si>
  <si>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</si>
  <si>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</si>
  <si>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</si>
  <si>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</si>
  <si>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</si>
  <si>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</si>
  <si>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</si>
  <si>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</si>
  <si>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</si>
  <si>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</si>
  <si>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</si>
  <si>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</si>
  <si>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</si>
  <si>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</si>
  <si>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</si>
  <si>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</si>
  <si>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</si>
  <si>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</si>
  <si>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</si>
  <si>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</si>
  <si>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</si>
  <si>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</si>
  <si>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</si>
  <si>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</si>
  <si>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</si>
  <si>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</si>
  <si>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</si>
  <si>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</si>
  <si>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</si>
  <si>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</si>
  <si>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</si>
  <si>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</si>
  <si>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</si>
  <si>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</si>
  <si>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</si>
  <si>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</si>
  <si>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</si>
  <si>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</si>
  <si>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</si>
  <si>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</si>
  <si>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</si>
  <si>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</si>
  <si>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</si>
  <si>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</si>
  <si>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</si>
  <si>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</si>
  <si>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</si>
  <si>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</si>
  <si>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</si>
  <si>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</si>
  <si>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</si>
  <si>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</si>
  <si>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</si>
  <si>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</si>
  <si>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</si>
  <si>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</si>
  <si>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</si>
  <si>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</si>
  <si>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</si>
  <si>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</si>
  <si>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</si>
  <si>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</si>
  <si>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</si>
  <si>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</si>
  <si>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</si>
  <si>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</si>
  <si>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</si>
  <si>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</si>
  <si>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</si>
  <si>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</si>
  <si>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</si>
  <si>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</si>
  <si>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</si>
  <si>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</si>
  <si>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</si>
  <si>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</si>
  <si>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</si>
  <si>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</si>
  <si>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</si>
  <si>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</si>
  <si>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</si>
  <si>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</si>
  <si>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</si>
  <si>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</si>
  <si>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</si>
  <si>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</si>
  <si>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</si>
  <si>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</si>
  <si>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</si>
  <si>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</si>
  <si>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</si>
  <si>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</si>
  <si>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</si>
  <si>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</si>
  <si>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</si>
  <si>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</si>
  <si>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</si>
  <si>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</si>
  <si>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</si>
  <si>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</si>
  <si>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</si>
  <si>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</si>
  <si>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</si>
  <si>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</si>
  <si>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</si>
  <si>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</si>
  <si>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</si>
  <si>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</si>
  <si>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</si>
  <si>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</si>
  <si>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</si>
  <si>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</si>
  <si>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</si>
  <si>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</si>
  <si>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</si>
  <si>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</si>
  <si>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</si>
  <si>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</si>
  <si>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</si>
  <si>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</si>
  <si>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</si>
  <si>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</si>
  <si>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</si>
  <si>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</si>
  <si>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</si>
  <si>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</si>
  <si>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</si>
  <si>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</si>
  <si>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</si>
  <si>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</si>
  <si>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</si>
  <si>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</si>
  <si>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</si>
  <si>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</si>
  <si>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</si>
  <si>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</si>
  <si>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</si>
  <si>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</si>
  <si>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</si>
  <si>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</si>
  <si>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</si>
  <si>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</si>
  <si>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</si>
  <si>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</si>
  <si>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</si>
  <si>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</si>
  <si>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</si>
  <si>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</si>
  <si>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</si>
  <si>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</si>
  <si>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</si>
  <si>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</si>
  <si>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</si>
  <si>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</si>
  <si>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</si>
  <si>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</si>
  <si>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</si>
  <si>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</si>
  <si>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</si>
  <si>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</si>
  <si>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</si>
  <si>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</si>
  <si>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</si>
  <si>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</si>
  <si>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</si>
  <si>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</si>
  <si>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</si>
  <si>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</si>
  <si>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</si>
  <si>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</si>
  <si>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</si>
  <si>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</si>
  <si>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</si>
  <si>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</si>
  <si>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</si>
  <si>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</si>
  <si>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</si>
  <si>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</si>
  <si>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</si>
  <si>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</si>
  <si>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</si>
  <si>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</si>
  <si>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</si>
  <si>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</si>
  <si>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</si>
  <si>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</si>
  <si>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</si>
  <si>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</si>
  <si>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</si>
  <si>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</si>
  <si>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</si>
  <si>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</si>
  <si>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</si>
  <si>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</si>
  <si>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</si>
  <si>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</si>
  <si>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</si>
  <si>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</si>
  <si>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</si>
  <si>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</si>
  <si>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</si>
  <si>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</si>
  <si>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</si>
  <si>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</si>
  <si>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</si>
  <si>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</si>
  <si>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</si>
  <si>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</si>
  <si>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</si>
  <si>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</si>
  <si>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</si>
  <si>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</si>
  <si>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</si>
  <si>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</si>
  <si>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</si>
  <si>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</si>
  <si>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</si>
  <si>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</si>
  <si>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</si>
  <si>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</si>
  <si>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</si>
  <si>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</si>
  <si>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</si>
  <si>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</si>
  <si>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</si>
  <si>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</si>
  <si>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</si>
  <si>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</si>
  <si>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</si>
  <si>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</si>
  <si>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</si>
  <si>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</si>
  <si>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</si>
  <si>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</si>
  <si>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</si>
  <si>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</si>
  <si>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</si>
  <si>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</si>
  <si>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</si>
  <si>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</si>
  <si>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</si>
  <si>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</si>
  <si>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</si>
  <si>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</si>
  <si>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</si>
  <si>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</si>
  <si>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</si>
  <si>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</si>
  <si>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</si>
  <si>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</si>
  <si>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</si>
  <si>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</si>
  <si>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</si>
  <si>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</si>
  <si>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</si>
  <si>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</si>
  <si>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</si>
  <si>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</si>
  <si>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</si>
  <si>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</si>
  <si>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</si>
  <si>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</si>
  <si>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</si>
  <si>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</si>
  <si>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</si>
  <si>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</si>
  <si>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</si>
  <si>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</si>
  <si>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</si>
  <si>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</si>
  <si>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</si>
  <si>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</si>
  <si>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</si>
  <si>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</si>
  <si>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</si>
  <si>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</si>
  <si>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</si>
  <si>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</si>
  <si>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</si>
  <si>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</si>
  <si>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</si>
  <si>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</si>
  <si>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</si>
  <si>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</si>
  <si>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</si>
  <si>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</si>
  <si>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</si>
  <si>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</si>
  <si>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</si>
  <si>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</si>
  <si>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</si>
  <si>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</si>
  <si>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</si>
  <si>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</si>
  <si>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</si>
  <si>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</si>
  <si>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</si>
  <si>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</si>
  <si>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</si>
  <si>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</si>
  <si>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</si>
  <si>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</si>
  <si>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</si>
  <si>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</si>
  <si>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</si>
  <si>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</si>
  <si>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</si>
  <si>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</si>
  <si>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</si>
  <si>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</si>
  <si>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</si>
  <si>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</si>
  <si>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</si>
  <si>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</si>
  <si>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</si>
  <si>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</si>
  <si>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</si>
  <si>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</si>
  <si>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</si>
  <si>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</si>
  <si>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</si>
  <si>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</si>
  <si>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</si>
  <si>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</si>
  <si>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</si>
  <si>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</si>
  <si>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</si>
  <si>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</si>
  <si>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</si>
  <si>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</si>
  <si>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</si>
  <si>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</si>
  <si>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</si>
  <si>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</si>
  <si>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</si>
  <si>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</si>
  <si>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</si>
  <si>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</si>
  <si>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</si>
  <si>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</si>
  <si>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</si>
  <si>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</si>
  <si>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</si>
  <si>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</si>
  <si>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</si>
  <si>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</si>
  <si>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</si>
  <si>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</si>
  <si>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</si>
  <si>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</si>
  <si>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</si>
  <si>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</si>
  <si>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</si>
  <si>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</si>
  <si>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</si>
  <si>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</si>
  <si>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</si>
  <si>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</si>
  <si>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</si>
  <si>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</si>
  <si>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</si>
  <si>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</si>
  <si>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</si>
  <si>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</si>
  <si>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</si>
  <si>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</si>
  <si>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</si>
  <si>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</si>
  <si>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</si>
  <si>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</si>
  <si>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</si>
  <si>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</si>
  <si>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</si>
  <si>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</si>
  <si>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</si>
  <si>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</si>
  <si>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</si>
  <si>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</si>
  <si>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</si>
  <si>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</si>
  <si>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</si>
  <si>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</si>
  <si>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</si>
  <si>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</si>
  <si>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</si>
  <si>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</si>
  <si>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</si>
  <si>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</si>
  <si>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</si>
  <si>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</si>
  <si>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</si>
  <si>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</si>
  <si>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</si>
  <si>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</si>
  <si>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</si>
  <si>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</si>
  <si>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</si>
  <si>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</si>
  <si>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</si>
  <si>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</si>
  <si>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</si>
  <si>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</si>
  <si>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</si>
  <si>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</si>
  <si>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</si>
  <si>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</si>
  <si>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</si>
  <si>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</si>
  <si>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</si>
  <si>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</si>
  <si>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</si>
  <si>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</si>
  <si>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</si>
  <si>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</si>
  <si>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</si>
  <si>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</si>
  <si>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</si>
  <si>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</si>
  <si>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</si>
  <si>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</si>
  <si>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</si>
  <si>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</si>
  <si>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</si>
  <si>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</si>
  <si>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</si>
  <si>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</si>
  <si>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</si>
  <si>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</si>
  <si>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</si>
  <si>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</si>
  <si>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</si>
  <si>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</si>
  <si>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</si>
  <si>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</si>
  <si>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</si>
  <si>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</si>
  <si>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</si>
  <si>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</si>
  <si>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</si>
  <si>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</si>
  <si>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</si>
  <si>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</si>
  <si>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</si>
  <si>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</si>
  <si>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</si>
  <si>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</si>
  <si>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</si>
  <si>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</si>
  <si>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</si>
  <si>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</si>
  <si>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</si>
  <si>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</si>
  <si>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</si>
  <si>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</si>
  <si>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</si>
  <si>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</si>
  <si>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</si>
  <si>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</si>
  <si>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</si>
  <si>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</si>
  <si>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</si>
  <si>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</si>
  <si>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</si>
  <si>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</si>
  <si>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</si>
  <si>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</si>
  <si>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</si>
  <si>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</si>
  <si>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</si>
  <si>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</si>
  <si>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</si>
  <si>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</si>
  <si>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</si>
  <si>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</si>
  <si>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</si>
  <si>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</si>
  <si>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</si>
  <si>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</si>
  <si>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</si>
  <si>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</si>
  <si>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</si>
  <si>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</si>
  <si>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</si>
  <si>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</si>
  <si>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</si>
  <si>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</si>
  <si>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</si>
  <si>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</si>
  <si>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</si>
  <si>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</si>
  <si>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</si>
  <si>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</si>
  <si>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</si>
  <si>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</si>
  <si>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</si>
  <si>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</si>
  <si>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</si>
  <si>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</si>
  <si>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</si>
  <si>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</si>
  <si>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</si>
  <si>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</si>
  <si>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</si>
  <si>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</si>
  <si>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</si>
  <si>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</si>
  <si>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</si>
  <si>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</si>
  <si>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</si>
  <si>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</si>
  <si>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</si>
  <si>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</si>
  <si>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</si>
  <si>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</si>
  <si>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</si>
  <si>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</si>
  <si>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</si>
  <si>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</si>
  <si>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</si>
  <si>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</si>
  <si>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</si>
  <si>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</si>
  <si>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</si>
  <si>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</si>
  <si>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</si>
  <si>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</si>
  <si>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</si>
  <si>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</si>
  <si>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</si>
  <si>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</si>
  <si>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</si>
  <si>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</si>
  <si>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</si>
  <si>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</si>
  <si>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</si>
  <si>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</si>
  <si>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</si>
  <si>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</si>
  <si>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</si>
  <si>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</si>
  <si>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</si>
  <si>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</si>
  <si>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</si>
  <si>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</si>
  <si>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</si>
  <si>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</si>
  <si>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</si>
  <si>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</si>
  <si>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</si>
  <si>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</si>
  <si>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</si>
  <si>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</si>
  <si>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</si>
  <si>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</si>
  <si>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</si>
  <si>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</si>
  <si>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</si>
  <si>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</si>
  <si>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</si>
  <si>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</si>
  <si>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</si>
  <si>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</si>
  <si>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</si>
  <si>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</si>
  <si>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</si>
  <si>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</si>
  <si>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</si>
  <si>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</si>
  <si>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</si>
  <si>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</si>
  <si>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</si>
  <si>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</si>
  <si>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</si>
  <si>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</si>
  <si>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</si>
  <si>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</si>
  <si>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</si>
  <si>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</si>
  <si>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</si>
  <si>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</si>
  <si>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</si>
  <si>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</si>
  <si>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</si>
  <si>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</si>
  <si>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</si>
  <si>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</si>
  <si>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</si>
  <si>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</si>
  <si>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</si>
  <si>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</si>
  <si>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</si>
  <si>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</si>
  <si>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</si>
  <si>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</si>
  <si>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</si>
  <si>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</si>
  <si>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</si>
  <si>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</si>
  <si>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</si>
  <si>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</si>
  <si>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</si>
  <si>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</si>
  <si>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</si>
  <si>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</si>
  <si>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</si>
  <si>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</si>
  <si>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</si>
  <si>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</si>
  <si>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</si>
  <si>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</si>
  <si>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</si>
  <si>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</si>
  <si>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</si>
  <si>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</si>
  <si>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</si>
  <si>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</si>
  <si>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</si>
  <si>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</si>
  <si>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</si>
  <si>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</si>
  <si>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</si>
  <si>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</si>
  <si>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</si>
  <si>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</si>
  <si>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</si>
  <si>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</si>
  <si>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</si>
  <si>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</si>
  <si>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</si>
  <si>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</si>
  <si>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</si>
  <si>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</si>
  <si>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</si>
  <si>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</si>
  <si>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</si>
  <si>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</si>
  <si>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</si>
  <si>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</si>
  <si>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</si>
  <si>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</si>
  <si>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</si>
  <si>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</si>
  <si>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</si>
  <si>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</si>
  <si>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</si>
  <si>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</si>
  <si>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</si>
  <si>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</si>
  <si>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</si>
  <si>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</si>
  <si>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</si>
  <si>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</si>
  <si>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</si>
  <si>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</si>
  <si>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</si>
  <si>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</si>
  <si>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</si>
  <si>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</si>
  <si>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</si>
  <si>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</si>
  <si>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</si>
  <si>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</si>
  <si>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</si>
  <si>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</si>
  <si>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</si>
  <si>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</si>
  <si>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</si>
  <si>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</si>
  <si>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</si>
  <si>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</si>
  <si>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</si>
  <si>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</si>
  <si>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</si>
  <si>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</si>
  <si>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</si>
  <si>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</si>
  <si>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</si>
  <si>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</si>
  <si>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</si>
  <si>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</si>
  <si>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</si>
  <si>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</si>
  <si>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</si>
  <si>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</si>
  <si>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</si>
  <si>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</si>
  <si>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</si>
  <si>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</si>
  <si>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</si>
  <si>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</si>
  <si>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</si>
  <si>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</si>
  <si>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</si>
  <si>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</si>
  <si>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</si>
  <si>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</si>
  <si>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</si>
  <si>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</si>
  <si>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</si>
  <si>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</si>
  <si>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</si>
  <si>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</si>
  <si>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</si>
  <si>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</si>
  <si>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</si>
  <si>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</si>
  <si>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</si>
  <si>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</si>
  <si>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</si>
  <si>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</si>
  <si>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</si>
  <si>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</si>
  <si>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</si>
  <si>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</si>
  <si>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</si>
  <si>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</si>
  <si>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</si>
  <si>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</si>
  <si>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</si>
  <si>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</si>
  <si>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</si>
  <si>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</si>
  <si>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</si>
  <si>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</si>
  <si>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</si>
  <si>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</si>
  <si>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</si>
  <si>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</si>
  <si>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</si>
  <si>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</si>
  <si>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</si>
  <si>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</si>
  <si>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</si>
  <si>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</si>
  <si>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</si>
  <si>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</si>
  <si>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</si>
  <si>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</si>
  <si>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</si>
  <si>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</si>
  <si>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</si>
  <si>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</si>
  <si>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</si>
  <si>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</si>
  <si>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</si>
  <si>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</si>
  <si>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</si>
  <si>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</si>
  <si>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</si>
  <si>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</si>
  <si>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</si>
  <si>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</si>
  <si>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</si>
  <si>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</si>
  <si>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</si>
  <si>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</si>
  <si>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</si>
  <si>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</si>
  <si>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</si>
  <si>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</si>
  <si>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</si>
  <si>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</si>
  <si>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</si>
  <si>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</si>
  <si>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</si>
  <si>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</si>
  <si>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</si>
  <si>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</si>
  <si>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</si>
  <si>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</si>
  <si>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</si>
  <si>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</si>
  <si>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</si>
  <si>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</si>
  <si>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</si>
  <si>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</si>
  <si>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</si>
  <si>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</si>
  <si>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</si>
  <si>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</si>
  <si>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</si>
  <si>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</si>
  <si>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</si>
  <si>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</si>
  <si>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</si>
  <si>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</si>
  <si>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</si>
  <si>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</si>
  <si>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</si>
  <si>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</si>
  <si>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</si>
  <si>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</si>
  <si>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</si>
  <si>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</si>
  <si>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</si>
  <si>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</si>
  <si>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</si>
  <si>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</si>
  <si>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</si>
  <si>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</si>
  <si>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</si>
  <si>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</si>
  <si>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</si>
  <si>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</si>
  <si>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</si>
  <si>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</si>
  <si>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</si>
  <si>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</si>
  <si>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</si>
  <si>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</si>
  <si>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</si>
  <si>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</si>
  <si>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</si>
  <si>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</si>
  <si>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</si>
  <si>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</si>
  <si>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</si>
  <si>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</si>
  <si>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</si>
  <si>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</si>
  <si>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</si>
  <si>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</si>
  <si>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</si>
  <si>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</si>
  <si>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</si>
  <si>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</si>
  <si>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</si>
  <si>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</si>
  <si>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</si>
  <si>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</si>
  <si>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</si>
  <si>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</si>
  <si>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</si>
  <si>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</si>
  <si>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</si>
  <si>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</si>
  <si>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</si>
  <si>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</si>
  <si>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</si>
  <si>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</si>
  <si>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</si>
  <si>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</si>
  <si>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</si>
  <si>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</si>
  <si>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</si>
  <si>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</si>
  <si>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</si>
  <si>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</si>
  <si>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</si>
  <si>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</si>
  <si>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</si>
  <si>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</si>
  <si>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</si>
  <si>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</si>
  <si>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</si>
  <si>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</si>
  <si>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</si>
  <si>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</si>
  <si>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</si>
  <si>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</si>
  <si>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</si>
  <si>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</si>
  <si>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</si>
  <si>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</si>
  <si>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</si>
  <si>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</si>
  <si>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</si>
  <si>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</si>
  <si>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</si>
  <si>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</si>
  <si>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</si>
  <si>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</si>
  <si>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</si>
  <si>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</si>
  <si>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</si>
  <si>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</si>
  <si>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</si>
  <si>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</si>
  <si>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</si>
  <si>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</si>
  <si>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</si>
  <si>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</si>
  <si>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</si>
  <si>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</si>
  <si>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</si>
  <si>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</si>
  <si>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</si>
  <si>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</si>
  <si>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</si>
  <si>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</si>
  <si>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</si>
  <si>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</si>
  <si>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</si>
  <si>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</si>
  <si>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</si>
  <si>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</si>
  <si>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</si>
  <si>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</si>
  <si>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</si>
  <si>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</si>
  <si>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</si>
  <si>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</si>
  <si>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</si>
  <si>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</si>
  <si>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</si>
  <si>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</si>
  <si>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</si>
  <si>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</si>
  <si>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</si>
  <si>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</si>
  <si>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</si>
  <si>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</si>
  <si>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</si>
  <si>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</si>
  <si>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</si>
  <si>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</si>
  <si>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</si>
  <si>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</si>
  <si>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</si>
  <si>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</si>
  <si>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</si>
  <si>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</si>
  <si>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</si>
  <si>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</si>
  <si>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</si>
  <si>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</si>
  <si>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</si>
  <si>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</si>
  <si>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</si>
  <si>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</si>
  <si>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</si>
  <si>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</si>
  <si>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</si>
  <si>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</si>
  <si>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</si>
  <si>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</si>
  <si>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</si>
  <si>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</si>
  <si>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</si>
  <si>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</si>
  <si>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</si>
  <si>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</si>
  <si>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</si>
  <si>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</si>
  <si>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</si>
  <si>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</si>
  <si>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</si>
  <si>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</si>
  <si>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</si>
  <si>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</si>
  <si>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</si>
  <si>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</si>
  <si>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</si>
  <si>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</si>
  <si>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</si>
  <si>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</si>
  <si>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</si>
  <si>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</si>
  <si>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</si>
  <si>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</si>
  <si>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</si>
  <si>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</si>
  <si>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</si>
  <si>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</si>
  <si>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</si>
  <si>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</si>
  <si>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</si>
  <si>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</si>
  <si>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</si>
  <si>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</si>
  <si>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</si>
  <si>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</si>
  <si>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</si>
  <si>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</si>
  <si>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</si>
  <si>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</si>
  <si>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</si>
  <si>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</si>
  <si>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</si>
  <si>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</si>
  <si>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</si>
  <si>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</si>
  <si>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</si>
  <si>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</si>
  <si>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</si>
  <si>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</si>
  <si>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</si>
  <si>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</si>
  <si>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</si>
  <si>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</si>
  <si>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</si>
  <si>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</si>
  <si>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</si>
  <si>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</si>
  <si>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</si>
  <si>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</si>
  <si>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</si>
  <si>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</si>
  <si>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</si>
  <si>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</si>
  <si>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</si>
  <si>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</si>
  <si>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</si>
  <si>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</si>
  <si>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</si>
  <si>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</si>
  <si>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</si>
  <si>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</si>
  <si>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</si>
  <si>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</si>
  <si>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</si>
  <si>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</si>
  <si>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</si>
  <si>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</si>
  <si>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</si>
  <si>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</si>
  <si>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</si>
  <si>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</si>
  <si>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</si>
  <si>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</si>
  <si>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</si>
  <si>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</si>
  <si>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</si>
  <si>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</si>
  <si>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</si>
  <si>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</si>
  <si>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</si>
  <si>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</si>
  <si>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</si>
  <si>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</si>
  <si>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</si>
  <si>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</si>
  <si>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</si>
  <si>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</si>
  <si>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</si>
  <si>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</si>
  <si>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</si>
  <si>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</si>
  <si>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</si>
  <si>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</si>
  <si>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</si>
  <si>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</si>
  <si>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</si>
  <si>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</si>
  <si>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</si>
  <si>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</si>
  <si>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</si>
  <si>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</si>
  <si>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</si>
  <si>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</si>
  <si>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</si>
  <si>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</si>
  <si>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</si>
  <si>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</si>
  <si>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</si>
  <si>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</si>
  <si>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</si>
  <si>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</si>
  <si>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</si>
  <si>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</si>
  <si>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</si>
  <si>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</si>
  <si>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</si>
  <si>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</si>
  <si>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</si>
  <si>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</si>
  <si>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</si>
  <si>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</si>
  <si>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</si>
  <si>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</si>
  <si>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</si>
  <si>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</si>
  <si>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</si>
  <si>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</si>
  <si>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</si>
  <si>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</si>
  <si>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</si>
  <si>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</si>
  <si>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</si>
  <si>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</si>
  <si>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</si>
  <si>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</si>
  <si>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</si>
  <si>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</si>
  <si>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</si>
  <si>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</si>
  <si>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</si>
  <si>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</si>
  <si>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</si>
  <si>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</si>
  <si>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</si>
  <si>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</si>
  <si>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</si>
  <si>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</si>
  <si>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</si>
  <si>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</si>
  <si>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</si>
  <si>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</si>
  <si>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</si>
  <si>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</si>
  <si>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</si>
  <si>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</si>
  <si>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</si>
  <si>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</si>
  <si>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</si>
  <si>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</si>
  <si>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</si>
  <si>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</si>
  <si>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</si>
  <si>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</si>
  <si>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</si>
  <si>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</si>
  <si>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</si>
  <si>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</si>
  <si>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</si>
  <si>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</si>
  <si>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</si>
  <si>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</si>
  <si>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</si>
  <si>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</si>
  <si>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</si>
  <si>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</si>
  <si>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</si>
  <si>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</si>
  <si>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</si>
  <si>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</si>
  <si>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</si>
  <si>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</si>
  <si>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</si>
  <si>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</si>
  <si>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</si>
  <si>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</si>
  <si>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</si>
  <si>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</si>
  <si>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</si>
  <si>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</si>
  <si>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</si>
  <si>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</si>
  <si>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</si>
  <si>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</si>
  <si>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</si>
  <si>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</si>
  <si>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</si>
  <si>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</si>
  <si>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</si>
  <si>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</si>
  <si>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</si>
  <si>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</si>
  <si>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</si>
  <si>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</si>
  <si>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</si>
  <si>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</si>
  <si>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</si>
  <si>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</si>
  <si>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</si>
  <si>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</si>
  <si>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</si>
  <si>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</si>
  <si>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</si>
  <si>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</si>
  <si>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</si>
  <si>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</si>
  <si>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</si>
  <si>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</si>
  <si>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</si>
  <si>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</si>
  <si>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</si>
  <si>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</si>
  <si>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</si>
  <si>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</si>
  <si>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</si>
  <si>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</si>
  <si>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</si>
  <si>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</si>
  <si>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</si>
  <si>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</si>
  <si>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</si>
  <si>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</si>
  <si>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</si>
  <si>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</si>
  <si>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</si>
  <si>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</si>
  <si>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</si>
  <si>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</si>
  <si>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</si>
  <si>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</si>
  <si>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</si>
  <si>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</si>
  <si>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</si>
  <si>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</si>
  <si>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</si>
  <si>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</si>
  <si>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</si>
  <si>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</si>
  <si>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</si>
  <si>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</si>
  <si>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</si>
  <si>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</si>
  <si>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</si>
  <si>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</si>
  <si>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</si>
  <si>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</si>
  <si>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</si>
  <si>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</si>
  <si>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</si>
  <si>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</si>
  <si>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</si>
  <si>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</si>
  <si>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</si>
  <si>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</si>
  <si>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</si>
  <si>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</si>
  <si>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</si>
  <si>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</si>
  <si>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</si>
  <si>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</si>
  <si>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</si>
  <si>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</si>
  <si>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</si>
  <si>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</si>
  <si>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</si>
  <si>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</si>
  <si>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</si>
  <si>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</si>
  <si>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</si>
  <si>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</si>
  <si>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</si>
  <si>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</si>
  <si>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</si>
  <si>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</si>
  <si>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</si>
  <si>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</si>
  <si>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</si>
  <si>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</si>
  <si>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</si>
  <si>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</si>
  <si>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</si>
  <si>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</si>
  <si>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</si>
  <si>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</si>
  <si>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</si>
  <si>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</si>
  <si>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</si>
  <si>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</si>
  <si>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</si>
  <si>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</si>
  <si>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</si>
  <si>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</si>
  <si>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</si>
  <si>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</si>
  <si>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</si>
  <si>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</si>
  <si>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</si>
  <si>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</si>
  <si>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</si>
  <si>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</si>
  <si>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</si>
  <si>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</si>
  <si>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</si>
  <si>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</si>
  <si>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</si>
  <si>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</si>
  <si>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</si>
  <si>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</si>
  <si>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</si>
  <si>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</si>
  <si>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</si>
  <si>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</si>
  <si>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</si>
  <si>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</si>
  <si>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</si>
  <si>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</si>
  <si>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</si>
  <si>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</si>
  <si>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</si>
  <si>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</si>
  <si>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</si>
  <si>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</si>
  <si>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</si>
  <si>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</si>
  <si>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</si>
  <si>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</si>
  <si>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</si>
  <si>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</si>
  <si>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</si>
  <si>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</si>
  <si>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</si>
  <si>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</si>
  <si>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</si>
  <si>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</si>
  <si>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</si>
  <si>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</si>
  <si>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</si>
  <si>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</si>
  <si>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</si>
  <si>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</si>
  <si>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</si>
  <si>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</si>
  <si>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</si>
  <si>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</si>
  <si>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</si>
  <si>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</si>
  <si>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</si>
  <si>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</si>
  <si>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</si>
  <si>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</si>
  <si>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</si>
  <si>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</si>
  <si>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</si>
  <si>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</si>
  <si>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</si>
  <si>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</si>
  <si>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</si>
  <si>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</si>
  <si>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</si>
  <si>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</si>
  <si>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</si>
  <si>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</si>
  <si>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</si>
  <si>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</si>
  <si>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</si>
  <si>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</si>
  <si>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</si>
  <si>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</si>
  <si>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</si>
  <si>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</si>
  <si>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</si>
  <si>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</si>
  <si>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</si>
  <si>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</si>
  <si>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</si>
  <si>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</si>
  <si>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</si>
  <si>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</si>
  <si>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</si>
  <si>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</si>
  <si>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</si>
  <si>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</si>
  <si>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</si>
  <si>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</si>
  <si>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</si>
  <si>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</si>
  <si>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</si>
  <si>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</si>
  <si>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</si>
  <si>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</si>
  <si>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</si>
  <si>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</si>
  <si>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</si>
  <si>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</si>
  <si>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</si>
  <si>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</si>
  <si>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</si>
  <si>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</si>
  <si>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</si>
  <si>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</si>
  <si>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</si>
  <si>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</si>
  <si>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</si>
  <si>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</si>
  <si>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</si>
  <si>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</si>
  <si>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</si>
  <si>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</si>
  <si>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</si>
  <si>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</si>
  <si>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</si>
  <si>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</si>
  <si>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</si>
  <si>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</si>
  <si>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</si>
  <si>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</si>
  <si>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</si>
  <si>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</si>
  <si>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</si>
  <si>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</si>
  <si>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</si>
  <si>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</si>
  <si>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</si>
  <si>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</si>
  <si>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</si>
  <si>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</si>
  <si>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</si>
  <si>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</si>
  <si>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</si>
  <si>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</si>
  <si>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</si>
  <si>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</si>
  <si>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</si>
  <si>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</si>
  <si>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</si>
  <si>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</si>
  <si>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</si>
  <si>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</si>
  <si>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</si>
  <si>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</si>
  <si>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</si>
  <si>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</si>
  <si>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</si>
  <si>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</si>
  <si>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</si>
  <si>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</si>
  <si>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</si>
  <si>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</si>
  <si>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</si>
  <si>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</si>
  <si>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</si>
  <si>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</si>
  <si>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</si>
  <si>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</si>
  <si>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</si>
  <si>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</si>
  <si>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</si>
  <si>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</si>
  <si>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</si>
  <si>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</si>
  <si>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</si>
  <si>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</si>
  <si>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</si>
  <si>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</si>
  <si>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</si>
  <si>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</si>
  <si>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</si>
  <si>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</si>
  <si>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</si>
  <si>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</si>
  <si>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</si>
  <si>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</si>
  <si>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</si>
  <si>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</si>
  <si>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</si>
  <si>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</si>
  <si>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</si>
  <si>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</si>
  <si>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</si>
  <si>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</si>
  <si>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</si>
  <si>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</si>
  <si>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</si>
  <si>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</si>
  <si>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</si>
  <si>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</si>
  <si>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</si>
  <si>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</si>
  <si>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</si>
  <si>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</si>
  <si>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</si>
  <si>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</si>
  <si>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</si>
  <si>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</si>
  <si>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</si>
  <si>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</si>
  <si>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</si>
  <si>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</si>
  <si>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</si>
  <si>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</si>
  <si>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</si>
  <si>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</si>
  <si>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</si>
  <si>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</si>
  <si>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</si>
  <si>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</si>
  <si>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</si>
  <si>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</si>
  <si>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</si>
  <si>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</si>
  <si>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</si>
  <si>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</si>
  <si>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</si>
  <si>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</si>
  <si>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</si>
  <si>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</si>
  <si>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</si>
  <si>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</si>
  <si>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</si>
  <si>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</si>
  <si>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</si>
  <si>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</si>
  <si>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</si>
  <si>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</si>
  <si>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</si>
  <si>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</si>
  <si>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</si>
  <si>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</si>
  <si>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</si>
  <si>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</si>
  <si>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</si>
  <si>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</si>
  <si>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</si>
  <si>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</si>
  <si>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</si>
  <si>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</si>
  <si>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</si>
  <si>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</si>
  <si>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</si>
  <si>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</si>
  <si>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</si>
  <si>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</si>
  <si>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</si>
  <si>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</si>
  <si>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</si>
  <si>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</si>
  <si>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</si>
  <si>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</si>
  <si>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</si>
  <si>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</si>
  <si>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</si>
  <si>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</si>
  <si>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</si>
  <si>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</si>
  <si>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</si>
  <si>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</si>
  <si>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</si>
  <si>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</si>
  <si>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</si>
  <si>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</si>
  <si>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</si>
  <si>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</si>
  <si>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</si>
  <si>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</si>
  <si>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</si>
  <si>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</si>
  <si>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</si>
  <si>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</si>
  <si>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</si>
  <si>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</si>
  <si>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</si>
  <si>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</si>
  <si>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</si>
  <si>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</si>
  <si>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</si>
  <si>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</si>
  <si>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</si>
  <si>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</si>
  <si>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</si>
  <si>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</si>
  <si>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</si>
  <si>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</si>
  <si>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</si>
  <si>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</si>
  <si>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</si>
  <si>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</si>
  <si>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</si>
  <si>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</si>
  <si>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</si>
  <si>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</si>
  <si>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</si>
  <si>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</si>
  <si>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</si>
  <si>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</si>
  <si>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</si>
  <si>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</si>
  <si>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</si>
  <si>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</si>
  <si>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</si>
  <si>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</si>
  <si>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</si>
  <si>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</si>
  <si>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</si>
  <si>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</si>
  <si>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</si>
  <si>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</si>
  <si>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</si>
  <si>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</si>
  <si>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</si>
  <si>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</si>
  <si>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</si>
  <si>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</si>
  <si>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</si>
  <si>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</si>
  <si>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</si>
  <si>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</si>
  <si>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</si>
  <si>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</si>
  <si>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</si>
  <si>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</si>
  <si>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</si>
  <si>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</si>
  <si>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</si>
  <si>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</si>
  <si>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</si>
  <si>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</si>
  <si>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</si>
  <si>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</si>
  <si>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</si>
  <si>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</si>
  <si>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</si>
  <si>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</si>
  <si>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</si>
  <si>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</si>
  <si>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</si>
  <si>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</si>
  <si>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</si>
  <si>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</si>
  <si>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</si>
  <si>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</si>
  <si>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</si>
  <si>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</si>
  <si>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</si>
  <si>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</si>
  <si>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</si>
  <si>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</si>
  <si>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</si>
  <si>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</si>
  <si>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</si>
  <si>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</si>
  <si>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</si>
  <si>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</si>
  <si>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</si>
  <si>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</si>
  <si>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</si>
  <si>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</si>
  <si>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</si>
  <si>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</si>
  <si>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</si>
  <si>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</si>
  <si>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</si>
  <si>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</si>
  <si>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</si>
  <si>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</si>
  <si>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</si>
  <si>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</si>
  <si>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</si>
  <si>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</si>
  <si>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</si>
  <si>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</si>
  <si>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</si>
  <si>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</si>
  <si>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</si>
  <si>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</si>
  <si>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</si>
  <si>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</si>
  <si>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</si>
  <si>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</si>
  <si>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</si>
  <si>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</si>
  <si>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</si>
  <si>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</si>
  <si>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</si>
  <si>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</si>
  <si>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</si>
  <si>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</si>
  <si>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</si>
  <si>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</si>
  <si>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</si>
  <si>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</si>
  <si>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</si>
  <si>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</si>
  <si>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</si>
  <si>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</si>
  <si>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</si>
  <si>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</si>
  <si>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</si>
  <si>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</si>
  <si>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</si>
  <si>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</si>
  <si>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</si>
  <si>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</si>
  <si>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</si>
  <si>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</si>
  <si>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</si>
  <si>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</si>
  <si>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</si>
  <si>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</si>
  <si>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</si>
  <si>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</si>
  <si>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</si>
  <si>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</si>
  <si>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</si>
  <si>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</si>
  <si>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</si>
  <si>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</si>
  <si>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</si>
  <si>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</si>
  <si>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</si>
  <si>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</si>
  <si>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</si>
  <si>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</si>
  <si>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</si>
  <si>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</si>
  <si>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</si>
  <si>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</si>
  <si>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</si>
  <si>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</si>
  <si>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</si>
  <si>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</si>
  <si>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</si>
  <si>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</si>
  <si>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</si>
  <si>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</si>
  <si>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</si>
  <si>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</si>
  <si>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</si>
  <si>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</si>
  <si>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</si>
  <si>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</si>
  <si>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</si>
  <si>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</si>
  <si>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</si>
  <si>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</si>
  <si>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</si>
  <si>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</si>
  <si>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</si>
  <si>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</si>
  <si>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</si>
  <si>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</si>
  <si>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</si>
  <si>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</si>
  <si>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</si>
  <si>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</si>
  <si>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</si>
  <si>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</si>
  <si>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</si>
  <si>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</si>
  <si>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</si>
  <si>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</si>
  <si>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</si>
  <si>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</si>
  <si>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</si>
  <si>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</si>
  <si>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</si>
  <si>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</si>
  <si>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</si>
  <si>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</si>
  <si>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</si>
  <si>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</si>
  <si>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</si>
  <si>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</si>
  <si>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</si>
  <si>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</si>
  <si>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</si>
  <si>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</si>
  <si>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</si>
  <si>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</si>
  <si>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</si>
  <si>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</si>
  <si>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</si>
  <si>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</si>
  <si>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</si>
  <si>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</si>
  <si>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</si>
  <si>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</si>
  <si>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</si>
  <si>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</si>
  <si>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</si>
  <si>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</si>
  <si>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</si>
  <si>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</si>
  <si>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</si>
  <si>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</si>
  <si>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</si>
  <si>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</si>
  <si>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</si>
  <si>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</si>
  <si>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</si>
  <si>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</si>
  <si>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</si>
  <si>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</si>
  <si>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</si>
  <si>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</si>
  <si>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</si>
  <si>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</si>
  <si>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</si>
  <si>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</si>
  <si>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</si>
  <si>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</si>
  <si>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</si>
  <si>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</si>
  <si>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</si>
  <si>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</si>
  <si>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</si>
  <si>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</si>
  <si>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</si>
  <si>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</si>
  <si>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</si>
  <si>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</si>
  <si>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</si>
  <si>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</si>
  <si>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</si>
  <si>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</si>
  <si>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</si>
  <si>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</si>
  <si>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</si>
  <si>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</si>
  <si>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</si>
  <si>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</si>
  <si>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</si>
  <si>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</si>
  <si>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</si>
  <si>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</si>
  <si>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</si>
  <si>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</si>
  <si>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</si>
  <si>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</si>
  <si>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</si>
  <si>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</si>
  <si>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</si>
  <si>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</si>
  <si>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</si>
  <si>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</si>
  <si>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</si>
  <si>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</si>
  <si>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</si>
  <si>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</si>
  <si>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</si>
  <si>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</si>
  <si>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</si>
  <si>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</si>
  <si>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</si>
  <si>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</si>
  <si>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</si>
  <si>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</si>
  <si>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</si>
  <si>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</si>
  <si>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</si>
  <si>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</si>
  <si>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</si>
  <si>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</si>
  <si>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</si>
  <si>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</si>
  <si>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</si>
  <si>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</si>
  <si>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</si>
  <si>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</si>
  <si>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</si>
  <si>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</si>
  <si>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</si>
  <si>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</si>
  <si>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</si>
  <si>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</si>
  <si>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</si>
  <si>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</si>
  <si>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</si>
  <si>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</si>
  <si>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</si>
  <si>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</si>
  <si>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</si>
  <si>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</si>
  <si>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</si>
  <si>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</si>
  <si>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</si>
  <si>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</si>
  <si>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</si>
  <si>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</si>
  <si>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</si>
  <si>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</si>
  <si>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</si>
  <si>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</si>
  <si>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</si>
  <si>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</si>
  <si>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</si>
  <si>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</si>
  <si>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</si>
  <si>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</si>
  <si>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</si>
  <si>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</si>
  <si>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</si>
  <si>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</si>
  <si>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</si>
  <si>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</si>
  <si>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</si>
  <si>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</si>
  <si>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</si>
  <si>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</si>
  <si>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</si>
  <si>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</si>
  <si>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</si>
  <si>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</si>
  <si>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</si>
  <si>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</si>
  <si>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</si>
  <si>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</si>
  <si>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</si>
  <si>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</si>
  <si>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</si>
  <si>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</si>
  <si>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</si>
  <si>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</si>
  <si>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</si>
  <si>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</si>
  <si>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</si>
  <si>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</si>
  <si>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</si>
  <si>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</si>
  <si>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</si>
  <si>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</si>
  <si>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</si>
  <si>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</si>
  <si>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</si>
  <si>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</si>
  <si>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</si>
  <si>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</si>
  <si>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</si>
  <si>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</si>
  <si>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</si>
  <si>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</si>
  <si>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</si>
  <si>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</si>
  <si>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</si>
  <si>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</si>
  <si>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</si>
  <si>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</si>
  <si>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</si>
  <si>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</si>
  <si>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</si>
  <si>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</si>
  <si>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</si>
  <si>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</si>
  <si>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</si>
  <si>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</si>
  <si>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</si>
  <si>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</si>
  <si>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</si>
  <si>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</si>
  <si>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</si>
  <si>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</si>
  <si>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</si>
  <si>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</si>
  <si>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</si>
  <si>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</si>
  <si>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</si>
  <si>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</si>
  <si>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</si>
  <si>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</si>
  <si>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</si>
  <si>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</si>
  <si>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</si>
  <si>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</si>
  <si>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</si>
  <si>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</si>
  <si>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</si>
  <si>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</si>
  <si>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</si>
  <si>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</si>
  <si>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</si>
  <si>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</si>
  <si>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</si>
  <si>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</si>
  <si>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</si>
  <si>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</si>
  <si>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</si>
  <si>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</si>
  <si>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</si>
  <si>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</si>
  <si>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</si>
  <si>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</si>
  <si>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</si>
  <si>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</si>
  <si>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</si>
  <si>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</si>
  <si>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</si>
  <si>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</si>
  <si>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</si>
  <si>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</si>
  <si>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</si>
  <si>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</si>
  <si>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</si>
  <si>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</si>
  <si>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</si>
  <si>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</si>
  <si>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</si>
  <si>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</si>
  <si>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</si>
  <si>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</si>
  <si>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</si>
  <si>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</si>
  <si>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</si>
  <si>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</si>
  <si>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</si>
  <si>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</si>
  <si>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</si>
  <si>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</si>
  <si>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</si>
  <si>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</si>
  <si>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</si>
  <si>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</si>
  <si>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</si>
  <si>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</si>
  <si>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</si>
  <si>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</si>
  <si>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</si>
  <si>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</si>
  <si>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</si>
  <si>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</si>
  <si>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</si>
  <si>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</si>
  <si>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</si>
  <si>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</si>
  <si>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</si>
  <si>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</si>
  <si>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</si>
  <si>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</si>
  <si>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</si>
  <si>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</si>
  <si>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</si>
  <si>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</si>
  <si>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</si>
  <si>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</si>
  <si>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</si>
  <si>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</si>
  <si>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</si>
  <si>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</si>
  <si>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</si>
  <si>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</si>
  <si>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</si>
  <si>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</si>
  <si>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</si>
  <si>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</si>
  <si>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</si>
  <si>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</si>
  <si>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</si>
  <si>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</si>
  <si>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</si>
  <si>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</si>
  <si>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</si>
  <si>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</si>
  <si>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</si>
  <si>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</si>
  <si>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</si>
  <si>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</si>
  <si>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</si>
  <si>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</si>
  <si>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</si>
  <si>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</si>
  <si>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</si>
  <si>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</si>
  <si>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</si>
  <si>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</si>
  <si>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</si>
  <si>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</si>
  <si>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</si>
  <si>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</si>
  <si>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</si>
  <si>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</si>
  <si>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</si>
  <si>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</si>
  <si>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</si>
  <si>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</si>
  <si>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</si>
  <si>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</si>
  <si>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</si>
  <si>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</si>
  <si>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</si>
  <si>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</si>
  <si>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</si>
  <si>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</si>
  <si>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</si>
  <si>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</si>
  <si>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</si>
  <si>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</si>
  <si>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</si>
  <si>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</si>
  <si>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</si>
  <si>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</si>
  <si>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</si>
  <si>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</si>
  <si>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</si>
  <si>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</si>
  <si>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</si>
  <si>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</si>
  <si>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</si>
  <si>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</si>
  <si>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</si>
  <si>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</si>
  <si>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</si>
  <si>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</si>
  <si>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</si>
  <si>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</si>
  <si>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</si>
  <si>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</si>
  <si>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</si>
  <si>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</si>
  <si>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</si>
  <si>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</si>
  <si>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</si>
  <si>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</si>
  <si>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</si>
  <si>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</si>
  <si>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</si>
  <si>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</si>
  <si>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</si>
  <si>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</si>
  <si>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</si>
  <si>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</si>
  <si>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</si>
  <si>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</si>
  <si>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</si>
  <si>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</si>
  <si>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</si>
  <si>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</si>
  <si>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</si>
  <si>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</si>
  <si>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</si>
  <si>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</si>
  <si>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</si>
  <si>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</si>
  <si>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</si>
  <si>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</si>
  <si>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</si>
  <si>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</si>
  <si>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</si>
  <si>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</si>
  <si>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</si>
  <si>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</si>
  <si>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</si>
  <si>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</si>
  <si>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</si>
  <si>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</si>
  <si>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</si>
  <si>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</si>
  <si>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</si>
  <si>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</si>
  <si>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</si>
  <si>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</si>
  <si>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</si>
  <si>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</si>
  <si>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</si>
  <si>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</si>
  <si>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</si>
  <si>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</si>
  <si>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</si>
  <si>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</si>
  <si>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</si>
  <si>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</si>
  <si>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</si>
  <si>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</si>
  <si>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</si>
  <si>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</si>
  <si>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</si>
  <si>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</si>
  <si>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</si>
  <si>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</si>
  <si>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</si>
  <si>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</si>
  <si>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</si>
  <si>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</si>
  <si>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</si>
  <si>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</si>
  <si>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</si>
  <si>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</si>
  <si>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</si>
  <si>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</si>
  <si>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</si>
  <si>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</si>
  <si>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</si>
  <si>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</si>
  <si>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</si>
  <si>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</si>
  <si>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</si>
  <si>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</si>
  <si>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</si>
  <si>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</si>
  <si>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</si>
  <si>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</si>
  <si>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</si>
  <si>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</si>
  <si>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</si>
  <si>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</si>
  <si>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</si>
  <si>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</si>
  <si>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</si>
  <si>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</si>
  <si>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</si>
  <si>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</si>
  <si>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</si>
  <si>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</si>
  <si>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</si>
  <si>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</si>
  <si>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</si>
  <si>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</si>
  <si>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</si>
  <si>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</si>
  <si>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</si>
  <si>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</si>
  <si>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</si>
  <si>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</si>
  <si>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</si>
  <si>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</si>
  <si>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</si>
  <si>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</si>
  <si>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</si>
  <si>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</si>
  <si>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</si>
  <si>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</si>
  <si>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</si>
  <si>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</si>
  <si>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</si>
  <si>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</si>
  <si>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</si>
  <si>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</si>
  <si>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</si>
  <si>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</si>
  <si>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</si>
  <si>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</si>
  <si>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</si>
  <si>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</si>
  <si>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</si>
  <si>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</si>
  <si>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</si>
  <si>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</si>
  <si>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</si>
  <si>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</si>
  <si>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</si>
  <si>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</si>
  <si>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</si>
  <si>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</si>
  <si>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</si>
  <si>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</si>
  <si>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</si>
  <si>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</si>
  <si>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</si>
  <si>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</si>
  <si>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</si>
  <si>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</si>
  <si>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</si>
  <si>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</si>
  <si>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</si>
  <si>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</si>
  <si>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</si>
  <si>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</si>
  <si>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</si>
  <si>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</si>
  <si>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</si>
  <si>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</si>
  <si>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</si>
  <si>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</si>
  <si>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</si>
  <si>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</si>
  <si>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</si>
  <si>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</si>
  <si>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</si>
  <si>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</si>
  <si>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</si>
  <si>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</si>
  <si>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</si>
  <si>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</si>
  <si>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</si>
  <si>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</si>
  <si>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</si>
  <si>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</si>
  <si>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</si>
  <si>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</si>
  <si>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</si>
  <si>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</si>
  <si>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</si>
  <si>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</si>
  <si>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</si>
  <si>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</si>
  <si>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</si>
  <si>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</si>
  <si>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</si>
  <si>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</si>
  <si>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</si>
  <si>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</si>
  <si>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</si>
  <si>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</si>
  <si>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</si>
  <si>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</si>
  <si>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</si>
  <si>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</si>
  <si>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</si>
  <si>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</si>
  <si>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</si>
  <si>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</si>
  <si>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</si>
  <si>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</si>
  <si>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</si>
  <si>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</si>
  <si>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</si>
  <si>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</si>
  <si>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</si>
  <si>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</si>
  <si>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</si>
  <si>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</si>
  <si>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</si>
  <si>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</si>
  <si>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</si>
  <si>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</si>
  <si>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</si>
  <si>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</si>
  <si>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</si>
  <si>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</si>
  <si>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</si>
  <si>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</si>
  <si>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</si>
  <si>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</si>
  <si>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</si>
  <si>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</si>
  <si>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</si>
  <si>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</si>
  <si>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</si>
  <si>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</si>
  <si>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</si>
  <si>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</si>
  <si>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</si>
  <si>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</si>
  <si>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</si>
  <si>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</si>
  <si>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</si>
  <si>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</si>
  <si>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</si>
  <si>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</si>
  <si>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</si>
  <si>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</si>
  <si>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</si>
  <si>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</si>
  <si>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</si>
  <si>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</si>
  <si>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</si>
  <si>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</si>
  <si>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</si>
  <si>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</si>
  <si>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</si>
  <si>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</si>
  <si>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</si>
  <si>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</si>
  <si>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</si>
  <si>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</si>
  <si>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</si>
  <si>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</si>
  <si>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</si>
  <si>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</si>
  <si>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</si>
  <si>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</si>
  <si>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</si>
  <si>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</si>
  <si>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</si>
  <si>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</si>
  <si>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</si>
  <si>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</si>
  <si>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</si>
  <si>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</si>
  <si>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</si>
  <si>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</si>
  <si>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</si>
  <si>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</si>
  <si>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</si>
  <si>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</si>
  <si>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</si>
  <si>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</si>
  <si>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</si>
  <si>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</si>
  <si>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</si>
  <si>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</si>
  <si>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</si>
  <si>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</si>
  <si>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</si>
  <si>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</si>
  <si>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</si>
  <si>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</si>
  <si>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</si>
  <si>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</si>
  <si>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</si>
  <si>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</si>
  <si>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</si>
  <si>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</si>
  <si>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</si>
  <si>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</si>
  <si>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</si>
  <si>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</si>
  <si>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</si>
  <si>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</si>
  <si>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</si>
  <si>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</si>
  <si>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</si>
  <si>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</si>
  <si>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</si>
  <si>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</si>
  <si>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</si>
  <si>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</si>
  <si>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</si>
  <si>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</si>
  <si>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</si>
  <si>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</si>
  <si>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</si>
  <si>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</si>
  <si>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</si>
  <si>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</si>
  <si>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</si>
  <si>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</si>
  <si>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</si>
  <si>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</si>
  <si>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</si>
  <si>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</si>
  <si>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</si>
  <si>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</si>
  <si>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</si>
  <si>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</si>
  <si>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</si>
  <si>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</si>
  <si>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</si>
  <si>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</si>
  <si>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</si>
  <si>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</si>
  <si>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</si>
  <si>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</si>
  <si>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</si>
  <si>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</si>
  <si>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</si>
  <si>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</si>
  <si>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</si>
  <si>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</si>
  <si>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</si>
  <si>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</si>
  <si>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</si>
  <si>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</si>
  <si>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</si>
  <si>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</si>
  <si>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</si>
  <si>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</si>
  <si>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</si>
  <si>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</si>
  <si>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</si>
  <si>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</si>
  <si>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</si>
  <si>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</si>
  <si>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</si>
  <si>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</si>
  <si>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</si>
  <si>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</si>
  <si>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</si>
  <si>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</si>
  <si>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</si>
  <si>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</si>
  <si>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</si>
  <si>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</si>
  <si>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</si>
  <si>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</si>
  <si>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</si>
  <si>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</si>
  <si>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</si>
  <si>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</si>
  <si>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</si>
  <si>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</si>
  <si>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</si>
  <si>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</si>
  <si>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Boni accessoire rep.</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</si>
  <si>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</si>
  <si>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</si>
  <si>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</si>
  <si>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</si>
  <si>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</si>
  <si>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</si>
  <si>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</si>
  <si>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</si>
  <si>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</si>
  <si>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</si>
  <si>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</si>
  <si>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</si>
  <si>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</si>
  <si>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</si>
  <si>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</si>
  <si>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</si>
  <si>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</si>
  <si>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BONNEAU</t>
  </si>
  <si>
    <t>KAVEN</t>
  </si>
  <si>
    <t>CONSEILLER VENTE</t>
  </si>
  <si>
    <t>DIRECTEUR RENOUVL.</t>
  </si>
  <si>
    <t>DIRECTEUR VENTES</t>
  </si>
  <si>
    <t>DG</t>
  </si>
  <si>
    <t>BRIN</t>
  </si>
  <si>
    <t>JUAN ANDRES</t>
  </si>
  <si>
    <t>CABALLERO</t>
  </si>
  <si>
    <t>1V2FR2CA2RC555218</t>
  </si>
  <si>
    <t>940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</si>
</sst>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3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83">
    <xf numFmtId="0" fontId="0" fillId="0" borderId="0"/>
    <xf numFmtId="166" fontId="64" fillId="0" borderId="0" applyFont="0" applyFill="0" applyBorder="0" applyAlignment="0" applyProtection="0"/>
    <xf numFmtId="9" fontId="64" fillId="0" borderId="0" applyFont="0" applyFill="0" applyBorder="0" applyAlignment="0" applyProtection="0"/>
    <xf numFmtId="169" fontId="126" fillId="0" borderId="0" applyFont="0" applyFill="0" applyBorder="0" applyAlignment="0" applyProtection="0"/>
    <xf numFmtId="0" fontId="60" fillId="0" borderId="1"/>
    <xf numFmtId="43" fontId="60" fillId="0" borderId="1" applyFont="0" applyFill="0" applyBorder="0" applyAlignment="0" applyProtection="0"/>
    <xf numFmtId="0" fontId="59" fillId="0" borderId="1"/>
    <xf numFmtId="43" fontId="59" fillId="0" borderId="1" applyFont="0" applyFill="0" applyBorder="0" applyAlignment="0" applyProtection="0"/>
    <xf numFmtId="0" fontId="58" fillId="0" borderId="1"/>
    <xf numFmtId="43" fontId="58" fillId="0" borderId="1" applyFont="0" applyFill="0" applyBorder="0" applyAlignment="0" applyProtection="0"/>
    <xf numFmtId="0" fontId="57" fillId="0" borderId="1"/>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169" fontId="55" fillId="0" borderId="1" applyFont="0" applyFill="0" applyBorder="0" applyAlignment="0" applyProtection="0"/>
    <xf numFmtId="0" fontId="55" fillId="0" borderId="1"/>
    <xf numFmtId="43" fontId="55" fillId="0" borderId="1" applyFont="0" applyFill="0" applyBorder="0" applyAlignment="0" applyProtection="0"/>
    <xf numFmtId="0" fontId="55" fillId="0" borderId="1"/>
    <xf numFmtId="43" fontId="55" fillId="0" borderId="1" applyFont="0" applyFill="0" applyBorder="0" applyAlignment="0" applyProtection="0"/>
    <xf numFmtId="0" fontId="55" fillId="0" borderId="1"/>
    <xf numFmtId="43" fontId="55" fillId="0" borderId="1" applyFont="0" applyFill="0" applyBorder="0" applyAlignment="0" applyProtection="0"/>
    <xf numFmtId="0" fontId="55" fillId="0" borderId="1"/>
    <xf numFmtId="0" fontId="55" fillId="0" borderId="1"/>
    <xf numFmtId="43" fontId="55" fillId="0" borderId="1" applyFont="0" applyFill="0" applyBorder="0" applyAlignment="0" applyProtection="0"/>
    <xf numFmtId="169" fontId="55" fillId="0" borderId="1" applyFont="0" applyFill="0" applyBorder="0" applyAlignment="0" applyProtection="0"/>
    <xf numFmtId="0" fontId="54" fillId="0" borderId="1"/>
    <xf numFmtId="43" fontId="54" fillId="0" borderId="1" applyFont="0" applyFill="0" applyBorder="0" applyAlignment="0" applyProtection="0"/>
    <xf numFmtId="0" fontId="53" fillId="0" borderId="1"/>
    <xf numFmtId="43" fontId="53"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0" fontId="50" fillId="0" borderId="1"/>
    <xf numFmtId="43" fontId="50" fillId="0" borderId="1" applyFont="0" applyFill="0" applyBorder="0" applyAlignment="0" applyProtection="0"/>
    <xf numFmtId="169"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0" fontId="50" fillId="0" borderId="1"/>
    <xf numFmtId="43" fontId="50" fillId="0" borderId="1" applyFont="0" applyFill="0" applyBorder="0" applyAlignment="0" applyProtection="0"/>
    <xf numFmtId="169"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9"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9"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9"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169"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0" fontId="19" fillId="0" borderId="1"/>
    <xf numFmtId="9" fontId="19" fillId="0" borderId="1" applyFont="0" applyFill="0" applyBorder="0" applyAlignment="0" applyProtection="0"/>
    <xf numFmtId="165"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0" fontId="16" fillId="0" borderId="1"/>
    <xf numFmtId="0" fontId="15" fillId="0" borderId="1"/>
    <xf numFmtId="0" fontId="14" fillId="0" borderId="1"/>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43" fontId="13" fillId="0" borderId="1" applyFont="0" applyFill="0" applyBorder="0" applyAlignment="0" applyProtection="0"/>
    <xf numFmtId="9"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9" fontId="13" fillId="0" borderId="1" applyFont="0" applyFill="0" applyBorder="0" applyAlignment="0" applyProtection="0"/>
    <xf numFmtId="44"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0" fontId="13" fillId="0" borderId="1"/>
    <xf numFmtId="0" fontId="13" fillId="0" borderId="1"/>
    <xf numFmtId="0" fontId="136" fillId="0" borderId="0" applyNumberFormat="0" applyFill="0" applyBorder="0" applyAlignment="0" applyProtection="0"/>
    <xf numFmtId="0" fontId="12" fillId="0" borderId="1"/>
    <xf numFmtId="0" fontId="11" fillId="0" borderId="1"/>
    <xf numFmtId="0" fontId="10" fillId="0" borderId="1"/>
    <xf numFmtId="0" fontId="9" fillId="0" borderId="1"/>
    <xf numFmtId="0" fontId="8" fillId="0" borderId="1"/>
    <xf numFmtId="0" fontId="6" fillId="0" borderId="1"/>
    <xf numFmtId="0" fontId="5" fillId="0" borderId="1"/>
    <xf numFmtId="0" fontId="4" fillId="0" borderId="1"/>
    <xf numFmtId="0" fontId="2" fillId="0" borderId="1"/>
    <xf numFmtId="0" fontId="1" fillId="0" borderId="1"/>
  </cellStyleXfs>
  <cellXfs count="1236">
    <xf numFmtId="0" fontId="0" fillId="0" borderId="0" xfId="0"/>
    <xf numFmtId="0" fontId="61" fillId="0" borderId="0" xfId="0" applyFont="1"/>
    <xf numFmtId="0" fontId="62" fillId="2" borderId="1" xfId="0" applyFont="1" applyFill="1" applyBorder="1" applyAlignment="1">
      <alignment horizontal="center"/>
    </xf>
    <xf numFmtId="0" fontId="62" fillId="0" borderId="0" xfId="0" applyFont="1"/>
    <xf numFmtId="0" fontId="63" fillId="0" borderId="0" xfId="0" applyFont="1" applyAlignment="1">
      <alignment horizontal="center"/>
    </xf>
    <xf numFmtId="0" fontId="64" fillId="0" borderId="0" xfId="0" applyFont="1"/>
    <xf numFmtId="0" fontId="61" fillId="0" borderId="0" xfId="0" applyFont="1" applyAlignment="1">
      <alignment horizontal="center"/>
    </xf>
    <xf numFmtId="170" fontId="62" fillId="0" borderId="0" xfId="0" applyNumberFormat="1" applyFont="1" applyAlignment="1">
      <alignment horizontal="center"/>
    </xf>
    <xf numFmtId="0" fontId="65" fillId="0" borderId="0" xfId="0" applyFont="1" applyAlignment="1">
      <alignment horizontal="left"/>
    </xf>
    <xf numFmtId="0" fontId="66" fillId="0" borderId="0" xfId="0" applyFont="1" applyAlignment="1">
      <alignment horizontal="center"/>
    </xf>
    <xf numFmtId="0" fontId="66" fillId="0" borderId="0" xfId="0" applyFont="1" applyAlignment="1">
      <alignment horizontal="right"/>
    </xf>
    <xf numFmtId="0" fontId="65" fillId="0" borderId="0" xfId="0" applyFont="1"/>
    <xf numFmtId="0" fontId="62" fillId="0" borderId="2" xfId="0" applyFont="1" applyBorder="1"/>
    <xf numFmtId="0" fontId="67" fillId="0" borderId="3" xfId="0" applyFont="1" applyBorder="1"/>
    <xf numFmtId="171" fontId="67" fillId="0" borderId="4" xfId="0" applyNumberFormat="1" applyFont="1" applyBorder="1"/>
    <xf numFmtId="172" fontId="67" fillId="0" borderId="0" xfId="0" applyNumberFormat="1" applyFont="1"/>
    <xf numFmtId="172" fontId="67" fillId="0" borderId="5" xfId="0" applyNumberFormat="1" applyFont="1" applyBorder="1"/>
    <xf numFmtId="0" fontId="68" fillId="0" borderId="6" xfId="0" applyFont="1" applyBorder="1"/>
    <xf numFmtId="171" fontId="68" fillId="0" borderId="7" xfId="0" applyNumberFormat="1" applyFont="1" applyBorder="1"/>
    <xf numFmtId="172" fontId="68" fillId="0" borderId="0" xfId="0" applyNumberFormat="1" applyFont="1"/>
    <xf numFmtId="0" fontId="67" fillId="0" borderId="8" xfId="0" applyFont="1" applyBorder="1"/>
    <xf numFmtId="171" fontId="67" fillId="0" borderId="9" xfId="0" applyNumberFormat="1" applyFont="1" applyBorder="1"/>
    <xf numFmtId="0" fontId="68" fillId="0" borderId="8" xfId="0" applyFont="1" applyBorder="1"/>
    <xf numFmtId="0" fontId="68" fillId="3" borderId="10" xfId="0" applyFont="1" applyFill="1" applyBorder="1"/>
    <xf numFmtId="171" fontId="68" fillId="3" borderId="11" xfId="0" applyNumberFormat="1" applyFont="1" applyFill="1" applyBorder="1"/>
    <xf numFmtId="0" fontId="68" fillId="3" borderId="12" xfId="0" applyFont="1" applyFill="1" applyBorder="1"/>
    <xf numFmtId="171" fontId="68" fillId="3" borderId="13" xfId="0" applyNumberFormat="1" applyFont="1" applyFill="1" applyBorder="1"/>
    <xf numFmtId="0" fontId="68" fillId="0" borderId="0" xfId="0" applyFont="1"/>
    <xf numFmtId="171" fontId="67" fillId="0" borderId="7" xfId="0" applyNumberFormat="1" applyFont="1" applyBorder="1"/>
    <xf numFmtId="172" fontId="62" fillId="0" borderId="0" xfId="0" applyNumberFormat="1" applyFont="1"/>
    <xf numFmtId="0" fontId="62" fillId="0" borderId="8" xfId="0" applyFont="1" applyBorder="1"/>
    <xf numFmtId="171" fontId="62" fillId="0" borderId="9" xfId="0" applyNumberFormat="1" applyFont="1" applyBorder="1"/>
    <xf numFmtId="173" fontId="62" fillId="0" borderId="0" xfId="0" applyNumberFormat="1" applyFont="1"/>
    <xf numFmtId="0" fontId="62" fillId="0" borderId="0" xfId="0" applyFont="1" applyAlignment="1">
      <alignment horizontal="center"/>
    </xf>
    <xf numFmtId="0" fontId="70" fillId="0" borderId="0" xfId="0" applyFont="1" applyAlignment="1">
      <alignment horizontal="center"/>
    </xf>
    <xf numFmtId="0" fontId="66" fillId="4" borderId="15" xfId="0" applyFont="1" applyFill="1" applyBorder="1" applyAlignment="1">
      <alignment horizontal="center"/>
    </xf>
    <xf numFmtId="0" fontId="66" fillId="0" borderId="0" xfId="0" applyFont="1"/>
    <xf numFmtId="174" fontId="71" fillId="0" borderId="0" xfId="0" applyNumberFormat="1" applyFont="1" applyAlignment="1">
      <alignment horizontal="left"/>
    </xf>
    <xf numFmtId="0" fontId="71" fillId="0" borderId="0" xfId="0" applyFont="1"/>
    <xf numFmtId="0" fontId="72" fillId="0" borderId="0" xfId="0" applyFont="1" applyAlignment="1">
      <alignment horizontal="center"/>
    </xf>
    <xf numFmtId="0" fontId="65" fillId="5" borderId="16" xfId="0" applyFont="1" applyFill="1" applyBorder="1" applyAlignment="1">
      <alignment horizontal="center"/>
    </xf>
    <xf numFmtId="0" fontId="72" fillId="0" borderId="0" xfId="0" applyFont="1"/>
    <xf numFmtId="0" fontId="72" fillId="5" borderId="19" xfId="0" applyFont="1" applyFill="1" applyBorder="1"/>
    <xf numFmtId="0" fontId="72" fillId="5" borderId="22" xfId="0" applyFont="1" applyFill="1" applyBorder="1"/>
    <xf numFmtId="0" fontId="72" fillId="5" borderId="20" xfId="0" applyFont="1" applyFill="1" applyBorder="1"/>
    <xf numFmtId="0" fontId="65" fillId="5" borderId="19" xfId="0" applyFont="1" applyFill="1" applyBorder="1"/>
    <xf numFmtId="0" fontId="65" fillId="5" borderId="22" xfId="0" applyFont="1" applyFill="1" applyBorder="1"/>
    <xf numFmtId="0" fontId="65" fillId="5" borderId="20" xfId="0" applyFont="1" applyFill="1" applyBorder="1"/>
    <xf numFmtId="0" fontId="72" fillId="5" borderId="1" xfId="0" applyFont="1" applyFill="1" applyBorder="1"/>
    <xf numFmtId="0" fontId="65" fillId="5" borderId="10" xfId="0" applyFont="1" applyFill="1" applyBorder="1"/>
    <xf numFmtId="0" fontId="65" fillId="5" borderId="12" xfId="0" applyFont="1" applyFill="1" applyBorder="1"/>
    <xf numFmtId="0" fontId="65" fillId="5" borderId="1" xfId="0" applyFont="1" applyFill="1" applyBorder="1"/>
    <xf numFmtId="0" fontId="65" fillId="5" borderId="20" xfId="0" applyFont="1" applyFill="1" applyBorder="1" applyAlignment="1">
      <alignment horizontal="left"/>
    </xf>
    <xf numFmtId="0" fontId="65" fillId="5" borderId="28" xfId="0" applyFont="1" applyFill="1" applyBorder="1"/>
    <xf numFmtId="0" fontId="73" fillId="5" borderId="20" xfId="0" applyFont="1" applyFill="1" applyBorder="1"/>
    <xf numFmtId="0" fontId="73" fillId="5" borderId="22" xfId="0" applyFont="1" applyFill="1" applyBorder="1"/>
    <xf numFmtId="0" fontId="65" fillId="5" borderId="31" xfId="0" applyFont="1" applyFill="1" applyBorder="1"/>
    <xf numFmtId="0" fontId="65" fillId="5" borderId="32" xfId="0" applyFont="1" applyFill="1" applyBorder="1"/>
    <xf numFmtId="0" fontId="74" fillId="5" borderId="1" xfId="0" applyFont="1" applyFill="1" applyBorder="1"/>
    <xf numFmtId="0" fontId="74" fillId="0" borderId="0" xfId="0" applyFont="1"/>
    <xf numFmtId="0" fontId="71" fillId="5" borderId="1" xfId="0" applyFont="1" applyFill="1" applyBorder="1"/>
    <xf numFmtId="0" fontId="66" fillId="5" borderId="1" xfId="0" applyFont="1" applyFill="1" applyBorder="1"/>
    <xf numFmtId="174" fontId="71" fillId="5" borderId="1" xfId="0" applyNumberFormat="1" applyFont="1" applyFill="1" applyBorder="1" applyAlignment="1">
      <alignment horizontal="left"/>
    </xf>
    <xf numFmtId="0" fontId="73" fillId="5" borderId="19" xfId="0" applyFont="1" applyFill="1" applyBorder="1"/>
    <xf numFmtId="0" fontId="65" fillId="5" borderId="33" xfId="0" applyFont="1" applyFill="1" applyBorder="1"/>
    <xf numFmtId="0" fontId="65" fillId="5" borderId="34" xfId="0" applyFont="1" applyFill="1" applyBorder="1"/>
    <xf numFmtId="0" fontId="65" fillId="5" borderId="37" xfId="0" applyFont="1" applyFill="1" applyBorder="1"/>
    <xf numFmtId="0" fontId="75" fillId="5" borderId="1" xfId="0" applyFont="1" applyFill="1" applyBorder="1" applyAlignment="1">
      <alignment horizontal="center" vertical="center"/>
    </xf>
    <xf numFmtId="0" fontId="75" fillId="5" borderId="22" xfId="0" applyFont="1" applyFill="1" applyBorder="1"/>
    <xf numFmtId="0" fontId="75" fillId="5" borderId="20" xfId="0" applyFont="1" applyFill="1" applyBorder="1"/>
    <xf numFmtId="0" fontId="75" fillId="5" borderId="28" xfId="0" applyFont="1" applyFill="1" applyBorder="1"/>
    <xf numFmtId="0" fontId="75" fillId="5" borderId="19" xfId="0" applyFont="1" applyFill="1" applyBorder="1"/>
    <xf numFmtId="0" fontId="75" fillId="5" borderId="37" xfId="0" applyFont="1" applyFill="1" applyBorder="1"/>
    <xf numFmtId="0" fontId="75" fillId="5" borderId="40" xfId="0" applyFont="1" applyFill="1" applyBorder="1"/>
    <xf numFmtId="0" fontId="71" fillId="5" borderId="41" xfId="0" applyFont="1" applyFill="1" applyBorder="1"/>
    <xf numFmtId="0" fontId="73" fillId="5" borderId="41" xfId="0" applyFont="1" applyFill="1" applyBorder="1"/>
    <xf numFmtId="0" fontId="72" fillId="5" borderId="41" xfId="0" applyFont="1" applyFill="1" applyBorder="1"/>
    <xf numFmtId="0" fontId="72" fillId="5" borderId="42" xfId="0" applyFont="1" applyFill="1" applyBorder="1"/>
    <xf numFmtId="0" fontId="75" fillId="5" borderId="43" xfId="0" applyFont="1" applyFill="1" applyBorder="1"/>
    <xf numFmtId="0" fontId="76" fillId="6" borderId="1" xfId="0" applyFont="1" applyFill="1" applyBorder="1"/>
    <xf numFmtId="0" fontId="71" fillId="6" borderId="1" xfId="0" applyFont="1" applyFill="1" applyBorder="1"/>
    <xf numFmtId="0" fontId="77" fillId="6" borderId="1" xfId="0" applyFont="1" applyFill="1" applyBorder="1"/>
    <xf numFmtId="0" fontId="78" fillId="6" borderId="1" xfId="0" applyFont="1" applyFill="1" applyBorder="1" applyAlignment="1">
      <alignment horizontal="center" vertical="center"/>
    </xf>
    <xf numFmtId="0" fontId="71" fillId="6" borderId="1" xfId="0" applyFont="1" applyFill="1" applyBorder="1" applyAlignment="1">
      <alignment horizontal="center" vertical="center"/>
    </xf>
    <xf numFmtId="0" fontId="76" fillId="6" borderId="1" xfId="0" applyFont="1" applyFill="1" applyBorder="1" applyAlignment="1">
      <alignment horizontal="center"/>
    </xf>
    <xf numFmtId="0" fontId="71" fillId="6" borderId="1" xfId="0" applyFont="1" applyFill="1" applyBorder="1" applyAlignment="1">
      <alignment horizontal="center"/>
    </xf>
    <xf numFmtId="0" fontId="79" fillId="6" borderId="1" xfId="0" applyFont="1" applyFill="1" applyBorder="1" applyAlignment="1">
      <alignment horizontal="center"/>
    </xf>
    <xf numFmtId="176" fontId="71" fillId="6" borderId="1" xfId="0" applyNumberFormat="1" applyFont="1" applyFill="1" applyBorder="1"/>
    <xf numFmtId="37" fontId="71" fillId="6" borderId="1" xfId="0" applyNumberFormat="1" applyFont="1" applyFill="1" applyBorder="1"/>
    <xf numFmtId="176" fontId="76" fillId="6" borderId="1" xfId="0" applyNumberFormat="1" applyFont="1" applyFill="1" applyBorder="1"/>
    <xf numFmtId="37" fontId="76" fillId="6" borderId="1" xfId="0" applyNumberFormat="1" applyFont="1" applyFill="1" applyBorder="1"/>
    <xf numFmtId="0" fontId="80" fillId="6" borderId="1" xfId="0" applyFont="1" applyFill="1" applyBorder="1"/>
    <xf numFmtId="0" fontId="79" fillId="6" borderId="1" xfId="0" applyFont="1" applyFill="1" applyBorder="1" applyAlignment="1">
      <alignment horizontal="left"/>
    </xf>
    <xf numFmtId="0" fontId="81" fillId="6" borderId="1" xfId="0" applyFont="1" applyFill="1" applyBorder="1"/>
    <xf numFmtId="37" fontId="71" fillId="0" borderId="0" xfId="0" applyNumberFormat="1" applyFont="1"/>
    <xf numFmtId="0" fontId="82" fillId="0" borderId="0" xfId="0" applyFont="1"/>
    <xf numFmtId="0" fontId="83" fillId="0" borderId="0" xfId="0" applyFont="1"/>
    <xf numFmtId="0" fontId="84" fillId="0" borderId="0" xfId="0" applyFont="1" applyAlignment="1">
      <alignment horizontal="center"/>
    </xf>
    <xf numFmtId="0" fontId="61" fillId="7" borderId="1" xfId="0" applyFont="1" applyFill="1" applyBorder="1" applyAlignment="1">
      <alignment horizontal="center"/>
    </xf>
    <xf numFmtId="0" fontId="61" fillId="8" borderId="45" xfId="0" applyFont="1" applyFill="1" applyBorder="1" applyAlignment="1">
      <alignment horizontal="center" vertical="center" wrapText="1"/>
    </xf>
    <xf numFmtId="0" fontId="61" fillId="8" borderId="46" xfId="0" applyFont="1" applyFill="1" applyBorder="1" applyAlignment="1">
      <alignment horizontal="center" vertical="center" wrapText="1"/>
    </xf>
    <xf numFmtId="0" fontId="61" fillId="8" borderId="47" xfId="0" applyFont="1" applyFill="1" applyBorder="1" applyAlignment="1">
      <alignment horizontal="center" vertical="center" wrapText="1"/>
    </xf>
    <xf numFmtId="0" fontId="61" fillId="8" borderId="48" xfId="0" applyFont="1" applyFill="1" applyBorder="1" applyAlignment="1">
      <alignment horizontal="center" vertical="center" wrapText="1"/>
    </xf>
    <xf numFmtId="170" fontId="85" fillId="9" borderId="52" xfId="0" applyNumberFormat="1" applyFont="1" applyFill="1" applyBorder="1" applyAlignment="1">
      <alignment horizontal="center" vertical="center"/>
    </xf>
    <xf numFmtId="170" fontId="85" fillId="9" borderId="53" xfId="0" applyNumberFormat="1" applyFont="1" applyFill="1" applyBorder="1" applyAlignment="1">
      <alignment horizontal="center" vertical="center"/>
    </xf>
    <xf numFmtId="3" fontId="61" fillId="9" borderId="52" xfId="0" applyNumberFormat="1" applyFont="1" applyFill="1" applyBorder="1" applyAlignment="1">
      <alignment horizontal="center" vertical="center"/>
    </xf>
    <xf numFmtId="3" fontId="61" fillId="9" borderId="53" xfId="0" applyNumberFormat="1" applyFont="1" applyFill="1" applyBorder="1" applyAlignment="1">
      <alignment horizontal="center" vertical="center"/>
    </xf>
    <xf numFmtId="0" fontId="62" fillId="9" borderId="54" xfId="0" applyFont="1" applyFill="1" applyBorder="1" applyAlignment="1">
      <alignment wrapText="1"/>
    </xf>
    <xf numFmtId="0" fontId="62" fillId="0" borderId="44" xfId="0" applyFont="1" applyBorder="1" applyAlignment="1">
      <alignment horizontal="center" vertical="center" wrapText="1"/>
    </xf>
    <xf numFmtId="0" fontId="62" fillId="0" borderId="44" xfId="0" applyFont="1" applyBorder="1" applyAlignment="1">
      <alignment horizontal="center" vertical="center"/>
    </xf>
    <xf numFmtId="0" fontId="62" fillId="0" borderId="55" xfId="0" applyFont="1" applyBorder="1" applyAlignment="1">
      <alignment horizontal="left" vertical="center" wrapText="1"/>
    </xf>
    <xf numFmtId="37" fontId="62" fillId="0" borderId="0" xfId="0" applyNumberFormat="1" applyFont="1" applyAlignment="1">
      <alignment horizontal="center" vertical="center"/>
    </xf>
    <xf numFmtId="37" fontId="62" fillId="0" borderId="56" xfId="0" applyNumberFormat="1" applyFont="1" applyBorder="1" applyAlignment="1">
      <alignment horizontal="center" vertical="center"/>
    </xf>
    <xf numFmtId="0" fontId="62" fillId="0" borderId="57" xfId="0" applyFont="1" applyBorder="1" applyAlignment="1">
      <alignment horizontal="center" vertical="center" wrapText="1"/>
    </xf>
    <xf numFmtId="0" fontId="62" fillId="0" borderId="57" xfId="0" applyFont="1" applyBorder="1" applyAlignment="1">
      <alignment horizontal="center" vertical="center"/>
    </xf>
    <xf numFmtId="0" fontId="62" fillId="0" borderId="56" xfId="0" applyFont="1" applyBorder="1" applyAlignment="1">
      <alignment horizontal="left" vertical="center" wrapText="1"/>
    </xf>
    <xf numFmtId="0" fontId="62" fillId="0" borderId="55" xfId="0" applyFont="1" applyBorder="1" applyAlignment="1">
      <alignment horizontal="center" vertical="center" wrapText="1"/>
    </xf>
    <xf numFmtId="0" fontId="62" fillId="0" borderId="56" xfId="0" applyFont="1" applyBorder="1" applyAlignment="1">
      <alignment horizontal="center" vertical="center" wrapText="1"/>
    </xf>
    <xf numFmtId="0" fontId="62" fillId="0" borderId="49" xfId="0" applyFont="1" applyBorder="1" applyAlignment="1">
      <alignment horizontal="center" vertical="center" wrapText="1"/>
    </xf>
    <xf numFmtId="0" fontId="62" fillId="0" borderId="49" xfId="0" applyFont="1" applyBorder="1" applyAlignment="1">
      <alignment horizontal="center" vertical="center"/>
    </xf>
    <xf numFmtId="0" fontId="62" fillId="0" borderId="58" xfId="0" applyFont="1" applyBorder="1" applyAlignment="1">
      <alignment horizontal="center" vertical="center" wrapText="1"/>
    </xf>
    <xf numFmtId="0" fontId="62" fillId="0" borderId="59" xfId="0" applyFont="1" applyBorder="1" applyAlignment="1">
      <alignment horizontal="center" vertical="center" wrapText="1"/>
    </xf>
    <xf numFmtId="37" fontId="62" fillId="0" borderId="58" xfId="0" applyNumberFormat="1" applyFont="1" applyBorder="1" applyAlignment="1">
      <alignment horizontal="center" vertical="center"/>
    </xf>
    <xf numFmtId="37" fontId="62" fillId="0" borderId="60" xfId="0" applyNumberFormat="1" applyFont="1" applyBorder="1" applyAlignment="1">
      <alignment horizontal="center" vertical="center"/>
    </xf>
    <xf numFmtId="0" fontId="62" fillId="0" borderId="0" xfId="0" applyFont="1" applyAlignment="1">
      <alignment wrapText="1"/>
    </xf>
    <xf numFmtId="0" fontId="62" fillId="0" borderId="0" xfId="0" applyFont="1" applyAlignment="1">
      <alignment horizontal="center" wrapText="1"/>
    </xf>
    <xf numFmtId="0" fontId="62" fillId="0" borderId="0" xfId="0" applyFont="1" applyAlignment="1">
      <alignment horizontal="right"/>
    </xf>
    <xf numFmtId="166" fontId="62" fillId="0" borderId="0" xfId="0" applyNumberFormat="1" applyFont="1" applyAlignment="1">
      <alignment horizontal="center"/>
    </xf>
    <xf numFmtId="0" fontId="62" fillId="0" borderId="61" xfId="0" applyFont="1" applyBorder="1" applyAlignment="1">
      <alignment horizontal="right" vertical="center"/>
    </xf>
    <xf numFmtId="0" fontId="62" fillId="0" borderId="61" xfId="0" applyFont="1" applyBorder="1" applyAlignment="1">
      <alignment vertical="center"/>
    </xf>
    <xf numFmtId="0" fontId="62" fillId="7" borderId="61" xfId="0" applyFont="1" applyFill="1" applyBorder="1" applyAlignment="1">
      <alignment horizontal="right" vertical="center" wrapText="1"/>
    </xf>
    <xf numFmtId="0" fontId="62" fillId="0" borderId="61" xfId="0" applyFont="1" applyBorder="1" applyAlignment="1">
      <alignment horizontal="center" vertical="center"/>
    </xf>
    <xf numFmtId="0" fontId="62" fillId="0" borderId="61" xfId="0" applyFont="1" applyBorder="1" applyAlignment="1">
      <alignment horizontal="center" vertical="center" wrapText="1"/>
    </xf>
    <xf numFmtId="0" fontId="62" fillId="0" borderId="0" xfId="0" applyFont="1" applyAlignment="1">
      <alignment horizontal="left"/>
    </xf>
    <xf numFmtId="166" fontId="62" fillId="0" borderId="0" xfId="0" applyNumberFormat="1" applyFont="1"/>
    <xf numFmtId="166" fontId="62" fillId="0" borderId="62" xfId="0" applyNumberFormat="1" applyFont="1" applyBorder="1"/>
    <xf numFmtId="166" fontId="62" fillId="0" borderId="63" xfId="0" applyNumberFormat="1" applyFont="1" applyBorder="1"/>
    <xf numFmtId="178" fontId="62" fillId="0" borderId="64" xfId="0" applyNumberFormat="1" applyFont="1" applyBorder="1"/>
    <xf numFmtId="0" fontId="63" fillId="0" borderId="0" xfId="0" applyFont="1"/>
    <xf numFmtId="179" fontId="63" fillId="0" borderId="0" xfId="0" applyNumberFormat="1" applyFont="1" applyAlignment="1">
      <alignment horizontal="left"/>
    </xf>
    <xf numFmtId="0" fontId="87" fillId="0" borderId="0" xfId="0" applyFont="1" applyAlignment="1">
      <alignment horizontal="center"/>
    </xf>
    <xf numFmtId="49" fontId="63" fillId="0" borderId="0" xfId="0" applyNumberFormat="1" applyFont="1" applyAlignment="1">
      <alignment horizontal="center" vertical="center"/>
    </xf>
    <xf numFmtId="173" fontId="63" fillId="10" borderId="1" xfId="0" applyNumberFormat="1" applyFont="1" applyFill="1" applyBorder="1" applyAlignment="1">
      <alignment horizontal="center" vertical="center"/>
    </xf>
    <xf numFmtId="173" fontId="63" fillId="10" borderId="1" xfId="0" applyNumberFormat="1" applyFont="1" applyFill="1" applyBorder="1" applyAlignment="1">
      <alignment horizontal="center"/>
    </xf>
    <xf numFmtId="176" fontId="63" fillId="0" borderId="0" xfId="0" applyNumberFormat="1" applyFont="1" applyAlignment="1">
      <alignment horizontal="center"/>
    </xf>
    <xf numFmtId="173" fontId="63" fillId="0" borderId="0" xfId="0" applyNumberFormat="1" applyFont="1"/>
    <xf numFmtId="166" fontId="63" fillId="0" borderId="0" xfId="0" applyNumberFormat="1" applyFont="1" applyAlignment="1">
      <alignment horizontal="center"/>
    </xf>
    <xf numFmtId="166" fontId="63" fillId="0" borderId="0" xfId="0" applyNumberFormat="1" applyFont="1"/>
    <xf numFmtId="0" fontId="63" fillId="11" borderId="1" xfId="0" applyFont="1" applyFill="1" applyBorder="1" applyAlignment="1">
      <alignment horizontal="center"/>
    </xf>
    <xf numFmtId="180" fontId="63" fillId="0" borderId="0" xfId="0" applyNumberFormat="1" applyFont="1"/>
    <xf numFmtId="165" fontId="63" fillId="0" borderId="0" xfId="0" applyNumberFormat="1" applyFont="1"/>
    <xf numFmtId="0" fontId="63" fillId="11" borderId="1" xfId="0" applyFont="1" applyFill="1" applyBorder="1" applyAlignment="1">
      <alignment horizontal="right"/>
    </xf>
    <xf numFmtId="166" fontId="63" fillId="11" borderId="1" xfId="0" applyNumberFormat="1" applyFont="1" applyFill="1" applyBorder="1"/>
    <xf numFmtId="0" fontId="63" fillId="10" borderId="1" xfId="0" applyFont="1" applyFill="1" applyBorder="1"/>
    <xf numFmtId="0" fontId="61" fillId="12" borderId="61" xfId="0" applyFont="1" applyFill="1" applyBorder="1" applyAlignment="1">
      <alignment horizontal="center"/>
    </xf>
    <xf numFmtId="0" fontId="61" fillId="12" borderId="65" xfId="0" applyFont="1" applyFill="1" applyBorder="1" applyAlignment="1">
      <alignment horizontal="center"/>
    </xf>
    <xf numFmtId="0" fontId="61" fillId="12" borderId="66" xfId="0" applyFont="1" applyFill="1" applyBorder="1" applyAlignment="1">
      <alignment horizontal="center"/>
    </xf>
    <xf numFmtId="0" fontId="61" fillId="12" borderId="67" xfId="0" applyFont="1" applyFill="1" applyBorder="1" applyAlignment="1">
      <alignment horizontal="center"/>
    </xf>
    <xf numFmtId="0" fontId="61" fillId="12" borderId="68" xfId="0" applyFont="1" applyFill="1" applyBorder="1" applyAlignment="1">
      <alignment horizontal="center"/>
    </xf>
    <xf numFmtId="0" fontId="61" fillId="0" borderId="69" xfId="0" applyFont="1" applyBorder="1"/>
    <xf numFmtId="37" fontId="61" fillId="0" borderId="70" xfId="0" applyNumberFormat="1" applyFont="1" applyBorder="1" applyAlignment="1">
      <alignment horizontal="center"/>
    </xf>
    <xf numFmtId="1" fontId="61" fillId="0" borderId="72" xfId="0" applyNumberFormat="1" applyFont="1" applyBorder="1" applyAlignment="1">
      <alignment horizontal="center"/>
    </xf>
    <xf numFmtId="1" fontId="61" fillId="0" borderId="73" xfId="0" applyNumberFormat="1" applyFont="1" applyBorder="1" applyAlignment="1">
      <alignment horizontal="center"/>
    </xf>
    <xf numFmtId="9" fontId="61" fillId="0" borderId="74" xfId="0" applyNumberFormat="1" applyFont="1" applyBorder="1" applyAlignment="1">
      <alignment horizontal="center"/>
    </xf>
    <xf numFmtId="9" fontId="61" fillId="0" borderId="75" xfId="0" applyNumberFormat="1" applyFont="1" applyBorder="1" applyAlignment="1">
      <alignment horizontal="center"/>
    </xf>
    <xf numFmtId="0" fontId="62" fillId="0" borderId="69" xfId="0" applyFont="1" applyBorder="1"/>
    <xf numFmtId="170" fontId="62" fillId="0" borderId="70" xfId="0" applyNumberFormat="1" applyFont="1" applyBorder="1" applyAlignment="1">
      <alignment horizontal="center"/>
    </xf>
    <xf numFmtId="170" fontId="62" fillId="0" borderId="72" xfId="0" applyNumberFormat="1" applyFont="1" applyBorder="1" applyAlignment="1">
      <alignment horizontal="center"/>
    </xf>
    <xf numFmtId="170" fontId="62" fillId="0" borderId="73" xfId="0" applyNumberFormat="1" applyFont="1" applyBorder="1" applyAlignment="1">
      <alignment horizontal="center"/>
    </xf>
    <xf numFmtId="9" fontId="62" fillId="0" borderId="70" xfId="0" applyNumberFormat="1" applyFont="1" applyBorder="1" applyAlignment="1">
      <alignment horizontal="center"/>
    </xf>
    <xf numFmtId="9" fontId="62" fillId="0" borderId="72" xfId="0" applyNumberFormat="1" applyFont="1" applyBorder="1" applyAlignment="1">
      <alignment horizontal="center"/>
    </xf>
    <xf numFmtId="9" fontId="62" fillId="0" borderId="77" xfId="0" applyNumberFormat="1" applyFont="1" applyBorder="1" applyAlignment="1">
      <alignment horizontal="center"/>
    </xf>
    <xf numFmtId="2" fontId="62" fillId="0" borderId="72" xfId="0" applyNumberFormat="1" applyFont="1" applyBorder="1" applyAlignment="1">
      <alignment horizontal="center"/>
    </xf>
    <xf numFmtId="2" fontId="62" fillId="0" borderId="73" xfId="0" applyNumberFormat="1" applyFont="1" applyBorder="1" applyAlignment="1">
      <alignment horizontal="center"/>
    </xf>
    <xf numFmtId="9" fontId="62" fillId="0" borderId="73" xfId="0" applyNumberFormat="1" applyFont="1" applyBorder="1" applyAlignment="1">
      <alignment horizontal="center"/>
    </xf>
    <xf numFmtId="0" fontId="61" fillId="0" borderId="78" xfId="0" applyFont="1" applyBorder="1"/>
    <xf numFmtId="0" fontId="62" fillId="0" borderId="79" xfId="0" applyFont="1" applyBorder="1"/>
    <xf numFmtId="170" fontId="62" fillId="0" borderId="80" xfId="0" applyNumberFormat="1" applyFont="1" applyBorder="1" applyAlignment="1">
      <alignment horizontal="center"/>
    </xf>
    <xf numFmtId="170" fontId="62" fillId="0" borderId="81" xfId="0" applyNumberFormat="1" applyFont="1" applyBorder="1" applyAlignment="1">
      <alignment horizontal="center"/>
    </xf>
    <xf numFmtId="9" fontId="62" fillId="0" borderId="80" xfId="0" applyNumberFormat="1" applyFont="1" applyBorder="1" applyAlignment="1">
      <alignment horizontal="center"/>
    </xf>
    <xf numFmtId="9" fontId="62" fillId="0" borderId="82" xfId="0" applyNumberFormat="1" applyFont="1" applyBorder="1" applyAlignment="1">
      <alignment horizontal="center"/>
    </xf>
    <xf numFmtId="0" fontId="62" fillId="0" borderId="69" xfId="0" applyFont="1" applyBorder="1" applyAlignment="1">
      <alignment horizontal="left"/>
    </xf>
    <xf numFmtId="0" fontId="62" fillId="0" borderId="70" xfId="0" applyFont="1" applyBorder="1" applyAlignment="1">
      <alignment horizontal="center"/>
    </xf>
    <xf numFmtId="0" fontId="62" fillId="0" borderId="83" xfId="0" applyFont="1" applyBorder="1" applyAlignment="1">
      <alignment horizontal="left"/>
    </xf>
    <xf numFmtId="170" fontId="62" fillId="0" borderId="84" xfId="0" applyNumberFormat="1" applyFont="1" applyBorder="1" applyAlignment="1">
      <alignment horizontal="center"/>
    </xf>
    <xf numFmtId="170" fontId="62" fillId="0" borderId="86" xfId="0" applyNumberFormat="1" applyFont="1" applyBorder="1" applyAlignment="1">
      <alignment horizontal="center"/>
    </xf>
    <xf numFmtId="170" fontId="62" fillId="0" borderId="87" xfId="0" applyNumberFormat="1" applyFont="1" applyBorder="1" applyAlignment="1">
      <alignment horizontal="center"/>
    </xf>
    <xf numFmtId="9" fontId="62" fillId="0" borderId="86" xfId="0" applyNumberFormat="1" applyFont="1" applyBorder="1" applyAlignment="1">
      <alignment horizontal="center"/>
    </xf>
    <xf numFmtId="9" fontId="62" fillId="0" borderId="88" xfId="0" applyNumberFormat="1" applyFont="1" applyBorder="1" applyAlignment="1">
      <alignment horizontal="center"/>
    </xf>
    <xf numFmtId="170" fontId="62" fillId="0" borderId="0" xfId="0" applyNumberFormat="1" applyFont="1"/>
    <xf numFmtId="0" fontId="61" fillId="14" borderId="61" xfId="0" applyFont="1" applyFill="1" applyBorder="1" applyAlignment="1">
      <alignment horizontal="center"/>
    </xf>
    <xf numFmtId="0" fontId="61" fillId="14" borderId="65" xfId="0" applyFont="1" applyFill="1" applyBorder="1" applyAlignment="1">
      <alignment horizontal="center"/>
    </xf>
    <xf numFmtId="0" fontId="61" fillId="14" borderId="66" xfId="0" applyFont="1" applyFill="1" applyBorder="1" applyAlignment="1">
      <alignment horizontal="center"/>
    </xf>
    <xf numFmtId="0" fontId="61" fillId="14" borderId="68" xfId="0" applyFont="1" applyFill="1" applyBorder="1" applyAlignment="1">
      <alignment horizontal="center"/>
    </xf>
    <xf numFmtId="0" fontId="61" fillId="15" borderId="61" xfId="0" applyFont="1" applyFill="1" applyBorder="1" applyAlignment="1">
      <alignment horizontal="center"/>
    </xf>
    <xf numFmtId="180" fontId="62" fillId="0" borderId="70" xfId="0" applyNumberFormat="1" applyFont="1" applyBorder="1" applyAlignment="1">
      <alignment horizontal="center"/>
    </xf>
    <xf numFmtId="0" fontId="61" fillId="9" borderId="61" xfId="0" applyFont="1" applyFill="1" applyBorder="1" applyAlignment="1">
      <alignment horizontal="center"/>
    </xf>
    <xf numFmtId="0" fontId="61" fillId="9" borderId="65" xfId="0" applyFont="1" applyFill="1" applyBorder="1" applyAlignment="1">
      <alignment horizontal="center"/>
    </xf>
    <xf numFmtId="0" fontId="61" fillId="9" borderId="66" xfId="0" applyFont="1" applyFill="1" applyBorder="1" applyAlignment="1">
      <alignment horizontal="center"/>
    </xf>
    <xf numFmtId="0" fontId="61" fillId="9" borderId="68" xfId="0" applyFont="1" applyFill="1" applyBorder="1" applyAlignment="1">
      <alignment horizontal="center"/>
    </xf>
    <xf numFmtId="170" fontId="61" fillId="0" borderId="70" xfId="0" applyNumberFormat="1" applyFont="1" applyBorder="1" applyAlignment="1">
      <alignment horizontal="center"/>
    </xf>
    <xf numFmtId="170" fontId="61" fillId="0" borderId="72" xfId="0" applyNumberFormat="1" applyFont="1" applyBorder="1" applyAlignment="1">
      <alignment horizontal="center"/>
    </xf>
    <xf numFmtId="170" fontId="61" fillId="0" borderId="73" xfId="0" applyNumberFormat="1" applyFont="1" applyBorder="1" applyAlignment="1">
      <alignment horizontal="center"/>
    </xf>
    <xf numFmtId="9" fontId="61" fillId="0" borderId="72" xfId="0" applyNumberFormat="1" applyFont="1" applyBorder="1" applyAlignment="1">
      <alignment horizontal="center"/>
    </xf>
    <xf numFmtId="9" fontId="61" fillId="0" borderId="77" xfId="0" applyNumberFormat="1" applyFont="1" applyBorder="1" applyAlignment="1">
      <alignment horizontal="center"/>
    </xf>
    <xf numFmtId="0" fontId="62" fillId="0" borderId="83" xfId="0" applyFont="1" applyBorder="1"/>
    <xf numFmtId="0" fontId="61" fillId="8" borderId="61" xfId="0" applyFont="1" applyFill="1" applyBorder="1" applyAlignment="1">
      <alignment horizontal="center"/>
    </xf>
    <xf numFmtId="0" fontId="61" fillId="8" borderId="65" xfId="0" applyFont="1" applyFill="1" applyBorder="1" applyAlignment="1">
      <alignment horizontal="center"/>
    </xf>
    <xf numFmtId="0" fontId="61" fillId="8" borderId="66" xfId="0" applyFont="1" applyFill="1" applyBorder="1" applyAlignment="1">
      <alignment horizontal="center"/>
    </xf>
    <xf numFmtId="0" fontId="61" fillId="8" borderId="68" xfId="0" applyFont="1" applyFill="1" applyBorder="1" applyAlignment="1">
      <alignment horizontal="center"/>
    </xf>
    <xf numFmtId="0" fontId="61" fillId="16" borderId="61" xfId="0" applyFont="1" applyFill="1" applyBorder="1" applyAlignment="1">
      <alignment horizontal="center"/>
    </xf>
    <xf numFmtId="0" fontId="61" fillId="0" borderId="69" xfId="0" applyFont="1" applyBorder="1" applyAlignment="1">
      <alignment horizontal="left"/>
    </xf>
    <xf numFmtId="0" fontId="61" fillId="17" borderId="61" xfId="0" applyFont="1" applyFill="1" applyBorder="1" applyAlignment="1">
      <alignment horizontal="center"/>
    </xf>
    <xf numFmtId="0" fontId="61" fillId="17" borderId="65" xfId="0" applyFont="1" applyFill="1" applyBorder="1" applyAlignment="1">
      <alignment horizontal="center"/>
    </xf>
    <xf numFmtId="0" fontId="61" fillId="17" borderId="66" xfId="0" applyFont="1" applyFill="1" applyBorder="1" applyAlignment="1">
      <alignment horizontal="center"/>
    </xf>
    <xf numFmtId="0" fontId="61" fillId="17" borderId="68" xfId="0" applyFont="1" applyFill="1" applyBorder="1" applyAlignment="1">
      <alignment horizontal="center"/>
    </xf>
    <xf numFmtId="0" fontId="61" fillId="18" borderId="89" xfId="0" applyFont="1" applyFill="1" applyBorder="1" applyAlignment="1">
      <alignment horizontal="center"/>
    </xf>
    <xf numFmtId="1" fontId="62" fillId="0" borderId="70" xfId="0" applyNumberFormat="1" applyFont="1" applyBorder="1" applyAlignment="1">
      <alignment horizontal="center"/>
    </xf>
    <xf numFmtId="1" fontId="62" fillId="0" borderId="72" xfId="0" applyNumberFormat="1" applyFont="1" applyBorder="1" applyAlignment="1">
      <alignment horizontal="center"/>
    </xf>
    <xf numFmtId="1" fontId="62" fillId="0" borderId="73" xfId="0" applyNumberFormat="1" applyFont="1" applyBorder="1" applyAlignment="1">
      <alignment horizontal="center"/>
    </xf>
    <xf numFmtId="0" fontId="61" fillId="19" borderId="61" xfId="0" applyFont="1" applyFill="1" applyBorder="1" applyAlignment="1">
      <alignment horizontal="center"/>
    </xf>
    <xf numFmtId="0" fontId="61" fillId="19" borderId="65" xfId="0" applyFont="1" applyFill="1" applyBorder="1" applyAlignment="1">
      <alignment horizontal="center"/>
    </xf>
    <xf numFmtId="0" fontId="61" fillId="19" borderId="66" xfId="0" applyFont="1" applyFill="1" applyBorder="1" applyAlignment="1">
      <alignment horizontal="center"/>
    </xf>
    <xf numFmtId="0" fontId="61" fillId="19" borderId="68" xfId="0" applyFont="1" applyFill="1" applyBorder="1" applyAlignment="1">
      <alignment horizontal="center"/>
    </xf>
    <xf numFmtId="0" fontId="61" fillId="20" borderId="61" xfId="0" applyFont="1" applyFill="1" applyBorder="1" applyAlignment="1">
      <alignment horizontal="center"/>
    </xf>
    <xf numFmtId="170" fontId="62" fillId="0" borderId="74" xfId="0" applyNumberFormat="1" applyFont="1" applyBorder="1" applyAlignment="1">
      <alignment horizontal="center"/>
    </xf>
    <xf numFmtId="170" fontId="62" fillId="0" borderId="91" xfId="0" applyNumberFormat="1" applyFont="1" applyBorder="1" applyAlignment="1">
      <alignment horizontal="center"/>
    </xf>
    <xf numFmtId="176" fontId="62" fillId="0" borderId="70" xfId="0" applyNumberFormat="1" applyFont="1" applyBorder="1" applyAlignment="1">
      <alignment horizontal="center"/>
    </xf>
    <xf numFmtId="176" fontId="62" fillId="0" borderId="84" xfId="0" applyNumberFormat="1" applyFont="1" applyBorder="1" applyAlignment="1">
      <alignment horizontal="center"/>
    </xf>
    <xf numFmtId="2" fontId="62" fillId="0" borderId="86" xfId="0" applyNumberFormat="1" applyFont="1" applyBorder="1" applyAlignment="1">
      <alignment horizontal="center"/>
    </xf>
    <xf numFmtId="2" fontId="62" fillId="0" borderId="87" xfId="0" applyNumberFormat="1" applyFont="1" applyBorder="1" applyAlignment="1">
      <alignment horizontal="center"/>
    </xf>
    <xf numFmtId="0" fontId="61" fillId="0" borderId="0" xfId="0" applyFont="1" applyAlignment="1">
      <alignment horizontal="left"/>
    </xf>
    <xf numFmtId="0" fontId="66" fillId="0" borderId="0" xfId="0" applyFont="1" applyAlignment="1">
      <alignment horizontal="center" vertical="center"/>
    </xf>
    <xf numFmtId="0" fontId="71" fillId="0" borderId="0" xfId="0" applyFont="1" applyAlignment="1">
      <alignment horizontal="left" vertical="center"/>
    </xf>
    <xf numFmtId="3" fontId="66" fillId="0" borderId="0" xfId="0" applyNumberFormat="1" applyFont="1"/>
    <xf numFmtId="0" fontId="71" fillId="0" borderId="0" xfId="0" applyFont="1" applyAlignment="1">
      <alignment horizontal="center"/>
    </xf>
    <xf numFmtId="0" fontId="90" fillId="21" borderId="10" xfId="0" applyFont="1" applyFill="1" applyBorder="1"/>
    <xf numFmtId="0" fontId="91" fillId="21" borderId="11" xfId="0" applyFont="1" applyFill="1" applyBorder="1"/>
    <xf numFmtId="0" fontId="72" fillId="0" borderId="3" xfId="0" applyFont="1" applyBorder="1"/>
    <xf numFmtId="0" fontId="92" fillId="21" borderId="20" xfId="0" applyFont="1" applyFill="1" applyBorder="1"/>
    <xf numFmtId="10" fontId="92" fillId="21" borderId="21" xfId="0" applyNumberFormat="1" applyFont="1" applyFill="1" applyBorder="1"/>
    <xf numFmtId="0" fontId="72" fillId="0" borderId="6" xfId="0" applyFont="1" applyBorder="1"/>
    <xf numFmtId="3" fontId="72" fillId="0" borderId="92" xfId="0" applyNumberFormat="1" applyFont="1" applyBorder="1" applyAlignment="1">
      <alignment horizontal="center"/>
    </xf>
    <xf numFmtId="3" fontId="72" fillId="0" borderId="0" xfId="0" applyNumberFormat="1" applyFont="1" applyAlignment="1">
      <alignment horizontal="center"/>
    </xf>
    <xf numFmtId="3" fontId="72" fillId="0" borderId="9" xfId="0" applyNumberFormat="1" applyFont="1" applyBorder="1" applyAlignment="1">
      <alignment horizontal="center"/>
    </xf>
    <xf numFmtId="3" fontId="72" fillId="0" borderId="8" xfId="0" applyNumberFormat="1" applyFont="1" applyBorder="1" applyAlignment="1">
      <alignment horizontal="center"/>
    </xf>
    <xf numFmtId="0" fontId="72" fillId="0" borderId="93" xfId="0" applyFont="1" applyBorder="1"/>
    <xf numFmtId="3" fontId="72" fillId="0" borderId="14" xfId="0" applyNumberFormat="1" applyFont="1" applyBorder="1" applyAlignment="1">
      <alignment horizontal="center"/>
    </xf>
    <xf numFmtId="3" fontId="72" fillId="0" borderId="5" xfId="0" applyNumberFormat="1" applyFont="1" applyBorder="1"/>
    <xf numFmtId="3" fontId="72" fillId="0" borderId="14" xfId="0" applyNumberFormat="1" applyFont="1" applyBorder="1" applyAlignment="1">
      <alignment horizontal="right"/>
    </xf>
    <xf numFmtId="3" fontId="72" fillId="0" borderId="14" xfId="0" applyNumberFormat="1" applyFont="1" applyBorder="1"/>
    <xf numFmtId="3" fontId="72" fillId="0" borderId="93" xfId="0" applyNumberFormat="1" applyFont="1" applyBorder="1" applyAlignment="1">
      <alignment horizontal="center"/>
    </xf>
    <xf numFmtId="3" fontId="72" fillId="0" borderId="5" xfId="0" applyNumberFormat="1" applyFont="1" applyBorder="1" applyAlignment="1">
      <alignment horizontal="center"/>
    </xf>
    <xf numFmtId="0" fontId="72" fillId="0" borderId="8" xfId="0" applyFont="1" applyBorder="1"/>
    <xf numFmtId="3" fontId="72" fillId="0" borderId="0" xfId="0" applyNumberFormat="1" applyFont="1"/>
    <xf numFmtId="3" fontId="72" fillId="0" borderId="8" xfId="0" applyNumberFormat="1" applyFont="1" applyBorder="1"/>
    <xf numFmtId="3" fontId="72" fillId="0" borderId="9" xfId="0" applyNumberFormat="1" applyFont="1" applyBorder="1"/>
    <xf numFmtId="0" fontId="91" fillId="21" borderId="12" xfId="0" applyFont="1" applyFill="1" applyBorder="1"/>
    <xf numFmtId="10" fontId="92" fillId="21" borderId="13" xfId="0" applyNumberFormat="1" applyFont="1" applyFill="1" applyBorder="1"/>
    <xf numFmtId="0" fontId="65" fillId="0" borderId="6" xfId="0" applyFont="1" applyBorder="1"/>
    <xf numFmtId="3" fontId="65" fillId="0" borderId="92" xfId="0" applyNumberFormat="1" applyFont="1" applyBorder="1"/>
    <xf numFmtId="3" fontId="65" fillId="0" borderId="7" xfId="0" applyNumberFormat="1" applyFont="1" applyBorder="1"/>
    <xf numFmtId="3" fontId="65" fillId="0" borderId="6" xfId="0" applyNumberFormat="1" applyFont="1" applyBorder="1"/>
    <xf numFmtId="0" fontId="72" fillId="0" borderId="9" xfId="0" applyFont="1" applyBorder="1"/>
    <xf numFmtId="176" fontId="65" fillId="0" borderId="8" xfId="0" applyNumberFormat="1" applyFont="1" applyBorder="1"/>
    <xf numFmtId="176" fontId="65" fillId="0" borderId="9" xfId="0" applyNumberFormat="1" applyFont="1" applyBorder="1"/>
    <xf numFmtId="0" fontId="65" fillId="0" borderId="93" xfId="0" applyFont="1" applyBorder="1"/>
    <xf numFmtId="3" fontId="72" fillId="0" borderId="93" xfId="0" applyNumberFormat="1" applyFont="1" applyBorder="1"/>
    <xf numFmtId="3" fontId="65" fillId="0" borderId="93" xfId="0" applyNumberFormat="1" applyFont="1" applyBorder="1"/>
    <xf numFmtId="3" fontId="65" fillId="0" borderId="14" xfId="0" applyNumberFormat="1" applyFont="1" applyBorder="1"/>
    <xf numFmtId="0" fontId="65" fillId="0" borderId="8" xfId="0" applyFont="1" applyBorder="1"/>
    <xf numFmtId="3" fontId="72" fillId="0" borderId="92" xfId="0" applyNumberFormat="1" applyFont="1" applyBorder="1"/>
    <xf numFmtId="3" fontId="72" fillId="0" borderId="7" xfId="0" applyNumberFormat="1" applyFont="1" applyBorder="1"/>
    <xf numFmtId="3" fontId="72" fillId="0" borderId="6" xfId="0" applyNumberFormat="1" applyFont="1" applyBorder="1"/>
    <xf numFmtId="166" fontId="72" fillId="0" borderId="0" xfId="0" applyNumberFormat="1" applyFont="1"/>
    <xf numFmtId="3" fontId="65" fillId="0" borderId="8" xfId="0" applyNumberFormat="1" applyFont="1" applyBorder="1"/>
    <xf numFmtId="37" fontId="72" fillId="0" borderId="9" xfId="0" applyNumberFormat="1" applyFont="1" applyBorder="1"/>
    <xf numFmtId="37" fontId="72" fillId="0" borderId="8" xfId="0" applyNumberFormat="1" applyFont="1" applyBorder="1"/>
    <xf numFmtId="0" fontId="65" fillId="3" borderId="10" xfId="0" applyFont="1" applyFill="1" applyBorder="1"/>
    <xf numFmtId="37" fontId="65" fillId="3" borderId="26" xfId="0" applyNumberFormat="1" applyFont="1" applyFill="1" applyBorder="1"/>
    <xf numFmtId="3" fontId="65" fillId="3" borderId="26" xfId="0" applyNumberFormat="1" applyFont="1" applyFill="1" applyBorder="1"/>
    <xf numFmtId="37" fontId="65" fillId="3" borderId="11" xfId="0" applyNumberFormat="1" applyFont="1" applyFill="1" applyBorder="1"/>
    <xf numFmtId="37" fontId="65" fillId="3" borderId="10" xfId="0" applyNumberFormat="1" applyFont="1" applyFill="1" applyBorder="1"/>
    <xf numFmtId="0" fontId="65" fillId="3" borderId="12" xfId="0" applyFont="1" applyFill="1" applyBorder="1"/>
    <xf numFmtId="0" fontId="65" fillId="3" borderId="27" xfId="0" applyFont="1" applyFill="1" applyBorder="1"/>
    <xf numFmtId="0" fontId="65" fillId="3" borderId="13" xfId="0" applyFont="1" applyFill="1" applyBorder="1"/>
    <xf numFmtId="176" fontId="65" fillId="3" borderId="12" xfId="0" applyNumberFormat="1" applyFont="1" applyFill="1" applyBorder="1"/>
    <xf numFmtId="176" fontId="65" fillId="3" borderId="13" xfId="0" applyNumberFormat="1" applyFont="1" applyFill="1" applyBorder="1"/>
    <xf numFmtId="0" fontId="65" fillId="0" borderId="9" xfId="0" applyFont="1" applyBorder="1"/>
    <xf numFmtId="0" fontId="65" fillId="0" borderId="8" xfId="0" applyFont="1" applyBorder="1" applyAlignment="1">
      <alignment horizontal="left"/>
    </xf>
    <xf numFmtId="176" fontId="72" fillId="0" borderId="0" xfId="0" applyNumberFormat="1" applyFont="1" applyAlignment="1">
      <alignment horizontal="right"/>
    </xf>
    <xf numFmtId="37" fontId="72" fillId="0" borderId="0" xfId="0" applyNumberFormat="1" applyFont="1"/>
    <xf numFmtId="176" fontId="72" fillId="0" borderId="8" xfId="0" applyNumberFormat="1" applyFont="1" applyBorder="1"/>
    <xf numFmtId="176" fontId="72" fillId="0" borderId="14" xfId="0" applyNumberFormat="1" applyFont="1" applyBorder="1" applyAlignment="1">
      <alignment horizontal="right"/>
    </xf>
    <xf numFmtId="37" fontId="72" fillId="0" borderId="14" xfId="0" applyNumberFormat="1" applyFont="1" applyBorder="1"/>
    <xf numFmtId="176" fontId="72" fillId="0" borderId="93" xfId="0" applyNumberFormat="1" applyFont="1" applyBorder="1"/>
    <xf numFmtId="37" fontId="72" fillId="0" borderId="5" xfId="0" applyNumberFormat="1" applyFont="1" applyBorder="1"/>
    <xf numFmtId="0" fontId="72" fillId="0" borderId="0" xfId="0" applyFont="1" applyAlignment="1">
      <alignment horizontal="right"/>
    </xf>
    <xf numFmtId="0" fontId="72" fillId="0" borderId="8" xfId="0" applyFont="1" applyBorder="1" applyAlignment="1">
      <alignment horizontal="right"/>
    </xf>
    <xf numFmtId="0" fontId="72" fillId="0" borderId="14" xfId="0" applyFont="1" applyBorder="1" applyAlignment="1">
      <alignment horizontal="right"/>
    </xf>
    <xf numFmtId="0" fontId="72" fillId="0" borderId="93" xfId="0" applyFont="1" applyBorder="1" applyAlignment="1">
      <alignment horizontal="right"/>
    </xf>
    <xf numFmtId="3" fontId="72" fillId="0" borderId="94" xfId="0" applyNumberFormat="1" applyFont="1" applyBorder="1"/>
    <xf numFmtId="3" fontId="72" fillId="0" borderId="55" xfId="0" applyNumberFormat="1" applyFont="1" applyBorder="1"/>
    <xf numFmtId="3" fontId="72" fillId="0" borderId="96" xfId="0" applyNumberFormat="1" applyFont="1" applyBorder="1"/>
    <xf numFmtId="0" fontId="65" fillId="3" borderId="28" xfId="0" applyFont="1" applyFill="1" applyBorder="1"/>
    <xf numFmtId="0" fontId="65" fillId="3" borderId="29" xfId="0" applyFont="1" applyFill="1" applyBorder="1" applyAlignment="1">
      <alignment horizontal="center"/>
    </xf>
    <xf numFmtId="176" fontId="65" fillId="3" borderId="29" xfId="0" applyNumberFormat="1" applyFont="1" applyFill="1" applyBorder="1"/>
    <xf numFmtId="37" fontId="65" fillId="3" borderId="30" xfId="0" applyNumberFormat="1" applyFont="1" applyFill="1" applyBorder="1"/>
    <xf numFmtId="0" fontId="65" fillId="3" borderId="28" xfId="0" applyFont="1" applyFill="1" applyBorder="1" applyAlignment="1">
      <alignment horizontal="center"/>
    </xf>
    <xf numFmtId="0" fontId="72" fillId="3" borderId="31" xfId="0" applyFont="1" applyFill="1" applyBorder="1"/>
    <xf numFmtId="37" fontId="65" fillId="3" borderId="29" xfId="0" applyNumberFormat="1" applyFont="1" applyFill="1" applyBorder="1"/>
    <xf numFmtId="0" fontId="72" fillId="3" borderId="28" xfId="0" applyFont="1" applyFill="1" applyBorder="1"/>
    <xf numFmtId="0" fontId="73" fillId="0" borderId="8" xfId="0" applyFont="1" applyBorder="1"/>
    <xf numFmtId="0" fontId="73" fillId="0" borderId="93" xfId="0" applyFont="1" applyBorder="1"/>
    <xf numFmtId="0" fontId="72" fillId="0" borderId="92" xfId="0" applyFont="1" applyBorder="1" applyAlignment="1">
      <alignment horizontal="right"/>
    </xf>
    <xf numFmtId="0" fontId="72" fillId="0" borderId="92" xfId="0" applyFont="1" applyBorder="1"/>
    <xf numFmtId="0" fontId="72" fillId="0" borderId="6" xfId="0" applyFont="1" applyBorder="1" applyAlignment="1">
      <alignment horizontal="right"/>
    </xf>
    <xf numFmtId="37" fontId="72" fillId="0" borderId="7" xfId="0" applyNumberFormat="1" applyFont="1" applyBorder="1"/>
    <xf numFmtId="0" fontId="72" fillId="0" borderId="14" xfId="0" applyFont="1" applyBorder="1"/>
    <xf numFmtId="37" fontId="65" fillId="0" borderId="0" xfId="0" applyNumberFormat="1" applyFont="1"/>
    <xf numFmtId="37" fontId="65" fillId="3" borderId="24" xfId="0" applyNumberFormat="1" applyFont="1" applyFill="1" applyBorder="1"/>
    <xf numFmtId="0" fontId="72" fillId="10" borderId="1" xfId="0" applyFont="1" applyFill="1" applyBorder="1"/>
    <xf numFmtId="1" fontId="72" fillId="0" borderId="8" xfId="0" applyNumberFormat="1" applyFont="1" applyBorder="1"/>
    <xf numFmtId="173" fontId="72" fillId="0" borderId="0" xfId="0" applyNumberFormat="1" applyFont="1"/>
    <xf numFmtId="0" fontId="65" fillId="6" borderId="20" xfId="0" applyFont="1" applyFill="1" applyBorder="1"/>
    <xf numFmtId="0" fontId="72" fillId="6" borderId="1" xfId="0" applyFont="1" applyFill="1" applyBorder="1"/>
    <xf numFmtId="0" fontId="65" fillId="6" borderId="1" xfId="0" applyFont="1" applyFill="1" applyBorder="1"/>
    <xf numFmtId="37" fontId="65" fillId="6" borderId="21" xfId="0" applyNumberFormat="1" applyFont="1" applyFill="1" applyBorder="1"/>
    <xf numFmtId="0" fontId="72" fillId="6" borderId="20" xfId="0" applyFont="1" applyFill="1" applyBorder="1"/>
    <xf numFmtId="0" fontId="72" fillId="6" borderId="22" xfId="0" applyFont="1" applyFill="1" applyBorder="1"/>
    <xf numFmtId="0" fontId="72" fillId="6" borderId="23" xfId="0" applyFont="1" applyFill="1" applyBorder="1"/>
    <xf numFmtId="37" fontId="65" fillId="6" borderId="24" xfId="0" applyNumberFormat="1" applyFont="1" applyFill="1" applyBorder="1"/>
    <xf numFmtId="0" fontId="65" fillId="3" borderId="34" xfId="0" applyFont="1" applyFill="1" applyBorder="1"/>
    <xf numFmtId="0" fontId="72" fillId="3" borderId="35" xfId="0" applyFont="1" applyFill="1" applyBorder="1"/>
    <xf numFmtId="0" fontId="65" fillId="3" borderId="35" xfId="0" applyFont="1" applyFill="1" applyBorder="1"/>
    <xf numFmtId="37" fontId="65" fillId="3" borderId="36" xfId="0" applyNumberFormat="1" applyFont="1" applyFill="1" applyBorder="1"/>
    <xf numFmtId="0" fontId="72" fillId="3" borderId="34" xfId="0" applyFont="1" applyFill="1" applyBorder="1"/>
    <xf numFmtId="1" fontId="74" fillId="0" borderId="0" xfId="0" applyNumberFormat="1" applyFont="1"/>
    <xf numFmtId="37" fontId="74" fillId="0" borderId="0" xfId="0" applyNumberFormat="1" applyFont="1"/>
    <xf numFmtId="0" fontId="93" fillId="22" borderId="1" xfId="0" applyFont="1" applyFill="1" applyBorder="1"/>
    <xf numFmtId="0" fontId="72" fillId="0" borderId="9" xfId="0" applyFont="1" applyBorder="1" applyAlignment="1">
      <alignment horizontal="center"/>
    </xf>
    <xf numFmtId="0" fontId="72" fillId="0" borderId="8" xfId="0" applyFont="1" applyBorder="1" applyAlignment="1">
      <alignment horizontal="center"/>
    </xf>
    <xf numFmtId="0" fontId="72" fillId="0" borderId="93" xfId="0" applyFont="1" applyBorder="1" applyAlignment="1">
      <alignment horizontal="center"/>
    </xf>
    <xf numFmtId="0" fontId="72" fillId="0" borderId="5" xfId="0" applyFont="1" applyBorder="1" applyAlignment="1">
      <alignment horizontal="center"/>
    </xf>
    <xf numFmtId="0" fontId="94" fillId="0" borderId="0" xfId="0" applyFont="1"/>
    <xf numFmtId="176" fontId="75" fillId="0" borderId="8" xfId="0" applyNumberFormat="1" applyFont="1" applyBorder="1"/>
    <xf numFmtId="176" fontId="75" fillId="0" borderId="9" xfId="0" applyNumberFormat="1" applyFont="1" applyBorder="1"/>
    <xf numFmtId="39" fontId="72" fillId="0" borderId="0" xfId="0" applyNumberFormat="1" applyFont="1"/>
    <xf numFmtId="3" fontId="65" fillId="0" borderId="5" xfId="0" applyNumberFormat="1" applyFont="1" applyBorder="1"/>
    <xf numFmtId="175" fontId="72" fillId="0" borderId="0" xfId="0" applyNumberFormat="1" applyFont="1"/>
    <xf numFmtId="175" fontId="65" fillId="3" borderId="26" xfId="0" applyNumberFormat="1" applyFont="1" applyFill="1" applyBorder="1"/>
    <xf numFmtId="9" fontId="65" fillId="3" borderId="12" xfId="0" applyNumberFormat="1" applyFont="1" applyFill="1" applyBorder="1"/>
    <xf numFmtId="176" fontId="65" fillId="9" borderId="13" xfId="0" applyNumberFormat="1" applyFont="1" applyFill="1" applyBorder="1"/>
    <xf numFmtId="176" fontId="72" fillId="0" borderId="0" xfId="0" applyNumberFormat="1" applyFont="1"/>
    <xf numFmtId="176" fontId="72" fillId="0" borderId="14" xfId="0" applyNumberFormat="1" applyFont="1" applyBorder="1"/>
    <xf numFmtId="0" fontId="72" fillId="3" borderId="22" xfId="0" applyFont="1" applyFill="1" applyBorder="1"/>
    <xf numFmtId="0" fontId="65" fillId="0" borderId="0" xfId="0" applyFont="1" applyAlignment="1">
      <alignment horizontal="center"/>
    </xf>
    <xf numFmtId="176" fontId="65" fillId="0" borderId="0" xfId="0" applyNumberFormat="1" applyFont="1"/>
    <xf numFmtId="0" fontId="65" fillId="0" borderId="8" xfId="0" applyFont="1" applyBorder="1" applyAlignment="1">
      <alignment horizontal="center"/>
    </xf>
    <xf numFmtId="1" fontId="72" fillId="0" borderId="0" xfId="0" applyNumberFormat="1" applyFont="1"/>
    <xf numFmtId="0" fontId="72" fillId="3" borderId="35" xfId="0" applyFont="1" applyFill="1" applyBorder="1" applyAlignment="1">
      <alignment horizontal="right"/>
    </xf>
    <xf numFmtId="0" fontId="72" fillId="3" borderId="34" xfId="0" applyFont="1" applyFill="1" applyBorder="1" applyAlignment="1">
      <alignment horizontal="right"/>
    </xf>
    <xf numFmtId="176" fontId="72" fillId="0" borderId="9" xfId="0" applyNumberFormat="1" applyFont="1" applyBorder="1"/>
    <xf numFmtId="39" fontId="72" fillId="0" borderId="14" xfId="0" applyNumberFormat="1" applyFont="1" applyBorder="1" applyAlignment="1">
      <alignment horizontal="center"/>
    </xf>
    <xf numFmtId="176" fontId="72" fillId="0" borderId="5" xfId="0" applyNumberFormat="1" applyFont="1" applyBorder="1"/>
    <xf numFmtId="37" fontId="72" fillId="0" borderId="93" xfId="0" applyNumberFormat="1" applyFont="1" applyBorder="1"/>
    <xf numFmtId="37" fontId="72" fillId="0" borderId="92" xfId="0" applyNumberFormat="1" applyFont="1" applyBorder="1"/>
    <xf numFmtId="37" fontId="72" fillId="0" borderId="6" xfId="0" applyNumberFormat="1" applyFont="1" applyBorder="1"/>
    <xf numFmtId="10" fontId="72" fillId="0" borderId="0" xfId="0" applyNumberFormat="1" applyFont="1"/>
    <xf numFmtId="176" fontId="65" fillId="0" borderId="93" xfId="0" applyNumberFormat="1" applyFont="1" applyBorder="1"/>
    <xf numFmtId="176" fontId="65" fillId="0" borderId="5" xfId="0" applyNumberFormat="1" applyFont="1" applyBorder="1"/>
    <xf numFmtId="176" fontId="72" fillId="0" borderId="6" xfId="0" applyNumberFormat="1" applyFont="1" applyBorder="1"/>
    <xf numFmtId="175" fontId="65" fillId="0" borderId="0" xfId="0" applyNumberFormat="1" applyFont="1"/>
    <xf numFmtId="37" fontId="65" fillId="0" borderId="8" xfId="0" applyNumberFormat="1" applyFont="1" applyBorder="1"/>
    <xf numFmtId="37" fontId="65" fillId="0" borderId="9" xfId="0" applyNumberFormat="1" applyFont="1" applyBorder="1"/>
    <xf numFmtId="0" fontId="65" fillId="0" borderId="14" xfId="0" applyFont="1" applyBorder="1"/>
    <xf numFmtId="175" fontId="65" fillId="0" borderId="14" xfId="0" applyNumberFormat="1" applyFont="1" applyBorder="1"/>
    <xf numFmtId="37" fontId="65" fillId="0" borderId="93" xfId="0" applyNumberFormat="1" applyFont="1" applyBorder="1"/>
    <xf numFmtId="37" fontId="65" fillId="0" borderId="5" xfId="0" applyNumberFormat="1" applyFont="1" applyBorder="1"/>
    <xf numFmtId="37" fontId="72" fillId="0" borderId="97" xfId="0" applyNumberFormat="1" applyFont="1" applyBorder="1"/>
    <xf numFmtId="0" fontId="65" fillId="6" borderId="10" xfId="0" applyFont="1" applyFill="1" applyBorder="1"/>
    <xf numFmtId="37" fontId="65" fillId="6" borderId="26" xfId="0" applyNumberFormat="1" applyFont="1" applyFill="1" applyBorder="1"/>
    <xf numFmtId="37" fontId="65" fillId="6" borderId="11" xfId="0" applyNumberFormat="1" applyFont="1" applyFill="1" applyBorder="1"/>
    <xf numFmtId="37" fontId="65" fillId="6" borderId="10" xfId="0" applyNumberFormat="1" applyFont="1" applyFill="1" applyBorder="1"/>
    <xf numFmtId="176" fontId="65" fillId="6" borderId="10" xfId="0" applyNumberFormat="1" applyFont="1" applyFill="1" applyBorder="1"/>
    <xf numFmtId="0" fontId="65" fillId="6" borderId="22" xfId="0" applyFont="1" applyFill="1" applyBorder="1"/>
    <xf numFmtId="37" fontId="65" fillId="6" borderId="23" xfId="0" applyNumberFormat="1" applyFont="1" applyFill="1" applyBorder="1"/>
    <xf numFmtId="39" fontId="65" fillId="6" borderId="23" xfId="0" applyNumberFormat="1" applyFont="1" applyFill="1" applyBorder="1" applyAlignment="1">
      <alignment horizontal="center"/>
    </xf>
    <xf numFmtId="176" fontId="65" fillId="6" borderId="24" xfId="0" applyNumberFormat="1" applyFont="1" applyFill="1" applyBorder="1"/>
    <xf numFmtId="37" fontId="65" fillId="6" borderId="22" xfId="0" applyNumberFormat="1" applyFont="1" applyFill="1" applyBorder="1"/>
    <xf numFmtId="37" fontId="65" fillId="0" borderId="92" xfId="0" applyNumberFormat="1" applyFont="1" applyBorder="1"/>
    <xf numFmtId="175" fontId="65" fillId="0" borderId="92" xfId="0" applyNumberFormat="1" applyFont="1" applyBorder="1"/>
    <xf numFmtId="37" fontId="65" fillId="0" borderId="7" xfId="0" applyNumberFormat="1" applyFont="1" applyBorder="1"/>
    <xf numFmtId="37" fontId="65" fillId="0" borderId="6" xfId="0" applyNumberFormat="1" applyFont="1" applyBorder="1"/>
    <xf numFmtId="0" fontId="65" fillId="6" borderId="19" xfId="0" applyFont="1" applyFill="1" applyBorder="1"/>
    <xf numFmtId="37" fontId="65" fillId="6" borderId="15" xfId="0" applyNumberFormat="1" applyFont="1" applyFill="1" applyBorder="1"/>
    <xf numFmtId="175" fontId="65" fillId="6" borderId="15" xfId="0" applyNumberFormat="1" applyFont="1" applyFill="1" applyBorder="1"/>
    <xf numFmtId="37" fontId="65" fillId="6" borderId="25" xfId="0" applyNumberFormat="1" applyFont="1" applyFill="1" applyBorder="1"/>
    <xf numFmtId="37" fontId="65" fillId="6" borderId="19" xfId="0" applyNumberFormat="1" applyFont="1" applyFill="1" applyBorder="1"/>
    <xf numFmtId="176" fontId="65" fillId="3" borderId="10" xfId="0" applyNumberFormat="1" applyFont="1" applyFill="1" applyBorder="1"/>
    <xf numFmtId="37" fontId="72" fillId="0" borderId="0" xfId="0" applyNumberFormat="1" applyFont="1" applyAlignment="1">
      <alignment horizontal="center"/>
    </xf>
    <xf numFmtId="0" fontId="72" fillId="0" borderId="14" xfId="0" applyFont="1" applyBorder="1" applyAlignment="1">
      <alignment horizontal="center"/>
    </xf>
    <xf numFmtId="1" fontId="72" fillId="0" borderId="6" xfId="0" applyNumberFormat="1" applyFont="1" applyBorder="1"/>
    <xf numFmtId="175" fontId="72" fillId="0" borderId="14" xfId="0" applyNumberFormat="1" applyFont="1" applyBorder="1"/>
    <xf numFmtId="2" fontId="72" fillId="0" borderId="14" xfId="0" applyNumberFormat="1" applyFont="1" applyBorder="1"/>
    <xf numFmtId="10" fontId="65" fillId="3" borderId="10" xfId="0" applyNumberFormat="1" applyFont="1" applyFill="1" applyBorder="1"/>
    <xf numFmtId="0" fontId="73" fillId="0" borderId="6" xfId="0" applyFont="1" applyBorder="1"/>
    <xf numFmtId="176" fontId="65" fillId="0" borderId="92" xfId="0" applyNumberFormat="1" applyFont="1" applyBorder="1"/>
    <xf numFmtId="176" fontId="65" fillId="0" borderId="6" xfId="0" applyNumberFormat="1" applyFont="1" applyBorder="1"/>
    <xf numFmtId="0" fontId="72" fillId="0" borderId="5" xfId="0" applyFont="1" applyBorder="1"/>
    <xf numFmtId="176" fontId="65" fillId="3" borderId="26" xfId="0" applyNumberFormat="1" applyFont="1" applyFill="1" applyBorder="1"/>
    <xf numFmtId="176" fontId="65" fillId="3" borderId="16" xfId="0" applyNumberFormat="1" applyFont="1" applyFill="1" applyBorder="1"/>
    <xf numFmtId="37" fontId="65" fillId="3" borderId="18" xfId="0" applyNumberFormat="1" applyFont="1" applyFill="1" applyBorder="1"/>
    <xf numFmtId="37" fontId="65" fillId="3" borderId="35" xfId="0" applyNumberFormat="1" applyFont="1" applyFill="1" applyBorder="1"/>
    <xf numFmtId="175" fontId="65" fillId="3" borderId="35" xfId="0" applyNumberFormat="1" applyFont="1" applyFill="1" applyBorder="1"/>
    <xf numFmtId="37" fontId="65" fillId="3" borderId="34" xfId="0" applyNumberFormat="1" applyFont="1" applyFill="1" applyBorder="1"/>
    <xf numFmtId="0" fontId="72" fillId="3" borderId="12" xfId="0" applyFont="1" applyFill="1" applyBorder="1"/>
    <xf numFmtId="164" fontId="72" fillId="0" borderId="0" xfId="0" applyNumberFormat="1" applyFont="1"/>
    <xf numFmtId="0" fontId="72" fillId="0" borderId="98" xfId="0" applyFont="1" applyBorder="1" applyAlignment="1">
      <alignment horizontal="center"/>
    </xf>
    <xf numFmtId="0" fontId="72" fillId="0" borderId="99" xfId="0" applyFont="1" applyBorder="1" applyAlignment="1">
      <alignment horizontal="center"/>
    </xf>
    <xf numFmtId="0" fontId="72" fillId="0" borderId="97" xfId="0" applyFont="1" applyBorder="1" applyAlignment="1">
      <alignment horizontal="center"/>
    </xf>
    <xf numFmtId="37" fontId="72" fillId="9" borderId="1" xfId="0" applyNumberFormat="1" applyFont="1" applyFill="1" applyBorder="1"/>
    <xf numFmtId="176" fontId="65" fillId="3" borderId="1" xfId="0" applyNumberFormat="1" applyFont="1" applyFill="1" applyBorder="1"/>
    <xf numFmtId="37" fontId="72" fillId="9" borderId="18" xfId="0" applyNumberFormat="1" applyFont="1" applyFill="1" applyBorder="1"/>
    <xf numFmtId="3" fontId="72" fillId="9" borderId="16" xfId="0" applyNumberFormat="1" applyFont="1" applyFill="1" applyBorder="1"/>
    <xf numFmtId="3" fontId="72" fillId="9" borderId="18" xfId="0" applyNumberFormat="1" applyFont="1" applyFill="1" applyBorder="1"/>
    <xf numFmtId="0" fontId="95" fillId="0" borderId="0" xfId="0" applyFont="1"/>
    <xf numFmtId="176" fontId="65" fillId="0" borderId="100" xfId="0" applyNumberFormat="1" applyFont="1" applyBorder="1"/>
    <xf numFmtId="0" fontId="65" fillId="3" borderId="37" xfId="0" applyFont="1" applyFill="1" applyBorder="1"/>
    <xf numFmtId="0" fontId="65" fillId="3" borderId="38" xfId="0" applyFont="1" applyFill="1" applyBorder="1"/>
    <xf numFmtId="37" fontId="65" fillId="3" borderId="39" xfId="0" applyNumberFormat="1" applyFont="1" applyFill="1" applyBorder="1"/>
    <xf numFmtId="0" fontId="72" fillId="3" borderId="37" xfId="0" applyFont="1" applyFill="1" applyBorder="1"/>
    <xf numFmtId="0" fontId="72" fillId="3" borderId="38" xfId="0" applyFont="1" applyFill="1" applyBorder="1"/>
    <xf numFmtId="0" fontId="96" fillId="23" borderId="1" xfId="0" applyFont="1" applyFill="1" applyBorder="1"/>
    <xf numFmtId="0" fontId="75" fillId="0" borderId="0" xfId="0" applyFont="1" applyAlignment="1">
      <alignment horizontal="center" vertical="center"/>
    </xf>
    <xf numFmtId="0" fontId="72" fillId="0" borderId="101" xfId="0" applyFont="1" applyBorder="1" applyAlignment="1">
      <alignment horizontal="left"/>
    </xf>
    <xf numFmtId="0" fontId="65" fillId="0" borderId="102" xfId="0" applyFont="1" applyBorder="1" applyAlignment="1">
      <alignment horizontal="center" vertical="center"/>
    </xf>
    <xf numFmtId="0" fontId="72" fillId="0" borderId="87" xfId="0" applyFont="1" applyBorder="1" applyAlignment="1">
      <alignment horizontal="center"/>
    </xf>
    <xf numFmtId="0" fontId="72" fillId="0" borderId="85" xfId="0" applyFont="1" applyBorder="1" applyAlignment="1">
      <alignment horizontal="center"/>
    </xf>
    <xf numFmtId="0" fontId="72" fillId="0" borderId="106" xfId="0" applyFont="1" applyBorder="1" applyAlignment="1">
      <alignment horizontal="center"/>
    </xf>
    <xf numFmtId="0" fontId="73" fillId="0" borderId="14" xfId="0" applyFont="1" applyBorder="1"/>
    <xf numFmtId="37" fontId="73" fillId="0" borderId="87" xfId="0" applyNumberFormat="1" applyFont="1" applyBorder="1"/>
    <xf numFmtId="37" fontId="73" fillId="0" borderId="85" xfId="0" applyNumberFormat="1" applyFont="1" applyBorder="1"/>
    <xf numFmtId="37" fontId="73" fillId="0" borderId="14" xfId="0" applyNumberFormat="1" applyFont="1" applyBorder="1"/>
    <xf numFmtId="176" fontId="73" fillId="0" borderId="14" xfId="0" applyNumberFormat="1" applyFont="1" applyBorder="1"/>
    <xf numFmtId="37" fontId="73" fillId="0" borderId="106" xfId="0" applyNumberFormat="1" applyFont="1" applyBorder="1"/>
    <xf numFmtId="176" fontId="73" fillId="0" borderId="5" xfId="0" applyNumberFormat="1" applyFont="1" applyBorder="1"/>
    <xf numFmtId="0" fontId="75" fillId="3" borderId="22" xfId="0" applyFont="1" applyFill="1" applyBorder="1"/>
    <xf numFmtId="0" fontId="75" fillId="3" borderId="23" xfId="0" applyFont="1" applyFill="1" applyBorder="1"/>
    <xf numFmtId="37" fontId="75" fillId="3" borderId="107" xfId="0" applyNumberFormat="1" applyFont="1" applyFill="1" applyBorder="1"/>
    <xf numFmtId="37" fontId="75" fillId="3" borderId="108" xfId="0" applyNumberFormat="1" applyFont="1" applyFill="1" applyBorder="1"/>
    <xf numFmtId="37" fontId="75" fillId="3" borderId="23" xfId="0" applyNumberFormat="1" applyFont="1" applyFill="1" applyBorder="1"/>
    <xf numFmtId="176" fontId="75" fillId="3" borderId="23" xfId="0" applyNumberFormat="1" applyFont="1" applyFill="1" applyBorder="1"/>
    <xf numFmtId="37" fontId="75" fillId="3" borderId="109" xfId="0" applyNumberFormat="1" applyFont="1" applyFill="1" applyBorder="1"/>
    <xf numFmtId="176" fontId="75" fillId="3" borderId="24" xfId="0" applyNumberFormat="1" applyFont="1" applyFill="1" applyBorder="1"/>
    <xf numFmtId="0" fontId="75" fillId="0" borderId="8" xfId="0" applyFont="1" applyBorder="1"/>
    <xf numFmtId="0" fontId="73" fillId="0" borderId="0" xfId="0" applyFont="1"/>
    <xf numFmtId="37" fontId="73" fillId="0" borderId="73" xfId="0" applyNumberFormat="1" applyFont="1" applyBorder="1"/>
    <xf numFmtId="37" fontId="73" fillId="0" borderId="71" xfId="0" applyNumberFormat="1" applyFont="1" applyBorder="1"/>
    <xf numFmtId="37" fontId="73" fillId="0" borderId="0" xfId="0" applyNumberFormat="1" applyFont="1"/>
    <xf numFmtId="176" fontId="73" fillId="0" borderId="0" xfId="0" applyNumberFormat="1" applyFont="1"/>
    <xf numFmtId="37" fontId="73" fillId="0" borderId="56" xfId="0" applyNumberFormat="1" applyFont="1" applyBorder="1"/>
    <xf numFmtId="176" fontId="73" fillId="0" borderId="7" xfId="0" applyNumberFormat="1" applyFont="1" applyBorder="1"/>
    <xf numFmtId="0" fontId="73" fillId="0" borderId="0" xfId="0" applyFont="1" applyAlignment="1">
      <alignment horizontal="right"/>
    </xf>
    <xf numFmtId="175" fontId="73" fillId="0" borderId="0" xfId="0" applyNumberFormat="1" applyFont="1"/>
    <xf numFmtId="0" fontId="73" fillId="0" borderId="71" xfId="0" applyFont="1" applyBorder="1"/>
    <xf numFmtId="176" fontId="73" fillId="0" borderId="9" xfId="0" applyNumberFormat="1" applyFont="1" applyBorder="1"/>
    <xf numFmtId="0" fontId="73" fillId="0" borderId="14" xfId="0" applyFont="1" applyBorder="1" applyAlignment="1">
      <alignment horizontal="right"/>
    </xf>
    <xf numFmtId="175" fontId="73" fillId="0" borderId="14" xfId="0" applyNumberFormat="1" applyFont="1" applyBorder="1"/>
    <xf numFmtId="0" fontId="73" fillId="0" borderId="85" xfId="0" applyFont="1" applyBorder="1"/>
    <xf numFmtId="176" fontId="73" fillId="0" borderId="87" xfId="0" applyNumberFormat="1" applyFont="1" applyBorder="1"/>
    <xf numFmtId="0" fontId="75" fillId="3" borderId="28" xfId="0" applyFont="1" applyFill="1" applyBorder="1"/>
    <xf numFmtId="0" fontId="75" fillId="3" borderId="29" xfId="0" applyFont="1" applyFill="1" applyBorder="1"/>
    <xf numFmtId="176" fontId="75" fillId="3" borderId="29" xfId="0" applyNumberFormat="1" applyFont="1" applyFill="1" applyBorder="1"/>
    <xf numFmtId="37" fontId="75" fillId="3" borderId="68" xfId="0" applyNumberFormat="1" applyFont="1" applyFill="1" applyBorder="1"/>
    <xf numFmtId="176" fontId="75" fillId="3" borderId="31" xfId="0" applyNumberFormat="1" applyFont="1" applyFill="1" applyBorder="1"/>
    <xf numFmtId="0" fontId="75" fillId="3" borderId="31" xfId="0" applyFont="1" applyFill="1" applyBorder="1"/>
    <xf numFmtId="37" fontId="75" fillId="3" borderId="29" xfId="0" applyNumberFormat="1" applyFont="1" applyFill="1" applyBorder="1"/>
    <xf numFmtId="0" fontId="75" fillId="3" borderId="112" xfId="0" applyFont="1" applyFill="1" applyBorder="1"/>
    <xf numFmtId="176" fontId="73" fillId="0" borderId="73" xfId="0" applyNumberFormat="1" applyFont="1" applyBorder="1"/>
    <xf numFmtId="175" fontId="75" fillId="3" borderId="29" xfId="0" applyNumberFormat="1" applyFont="1" applyFill="1" applyBorder="1"/>
    <xf numFmtId="37" fontId="75" fillId="3" borderId="31" xfId="0" applyNumberFormat="1" applyFont="1" applyFill="1" applyBorder="1"/>
    <xf numFmtId="37" fontId="75" fillId="3" borderId="112" xfId="0" applyNumberFormat="1" applyFont="1" applyFill="1" applyBorder="1"/>
    <xf numFmtId="0" fontId="73" fillId="0" borderId="92" xfId="0" applyFont="1" applyBorder="1" applyAlignment="1">
      <alignment horizontal="right"/>
    </xf>
    <xf numFmtId="0" fontId="73" fillId="0" borderId="92" xfId="0" applyFont="1" applyBorder="1"/>
    <xf numFmtId="37" fontId="73" fillId="0" borderId="91" xfId="0" applyNumberFormat="1" applyFont="1" applyBorder="1"/>
    <xf numFmtId="0" fontId="73" fillId="0" borderId="90" xfId="0" applyFont="1" applyBorder="1"/>
    <xf numFmtId="175" fontId="73" fillId="0" borderId="92" xfId="0" applyNumberFormat="1" applyFont="1" applyBorder="1"/>
    <xf numFmtId="37" fontId="73" fillId="0" borderId="92" xfId="0" applyNumberFormat="1" applyFont="1" applyBorder="1"/>
    <xf numFmtId="176" fontId="73" fillId="0" borderId="92" xfId="0" applyNumberFormat="1" applyFont="1" applyBorder="1"/>
    <xf numFmtId="37" fontId="73" fillId="0" borderId="113" xfId="0" applyNumberFormat="1" applyFont="1" applyBorder="1"/>
    <xf numFmtId="9" fontId="63" fillId="0" borderId="0" xfId="0" applyNumberFormat="1" applyFont="1"/>
    <xf numFmtId="37" fontId="73" fillId="0" borderId="90" xfId="0" applyNumberFormat="1" applyFont="1" applyBorder="1"/>
    <xf numFmtId="0" fontId="73" fillId="3" borderId="29" xfId="0" applyFont="1" applyFill="1" applyBorder="1"/>
    <xf numFmtId="3" fontId="75" fillId="3" borderId="29" xfId="0" applyNumberFormat="1" applyFont="1" applyFill="1" applyBorder="1" applyAlignment="1">
      <alignment horizontal="center"/>
    </xf>
    <xf numFmtId="176" fontId="75" fillId="3" borderId="30" xfId="0" applyNumberFormat="1" applyFont="1" applyFill="1" applyBorder="1"/>
    <xf numFmtId="176" fontId="75" fillId="0" borderId="0" xfId="0" applyNumberFormat="1" applyFont="1"/>
    <xf numFmtId="0" fontId="75" fillId="0" borderId="0" xfId="0" applyFont="1"/>
    <xf numFmtId="176" fontId="73" fillId="0" borderId="91" xfId="0" applyNumberFormat="1" applyFont="1" applyBorder="1"/>
    <xf numFmtId="0" fontId="73" fillId="0" borderId="73" xfId="0" applyFont="1" applyBorder="1"/>
    <xf numFmtId="0" fontId="73" fillId="0" borderId="56" xfId="0" applyFont="1" applyBorder="1"/>
    <xf numFmtId="176" fontId="73" fillId="0" borderId="114" xfId="0" applyNumberFormat="1" applyFont="1" applyBorder="1"/>
    <xf numFmtId="176" fontId="75" fillId="0" borderId="92" xfId="0" applyNumberFormat="1" applyFont="1" applyBorder="1"/>
    <xf numFmtId="0" fontId="75" fillId="0" borderId="92" xfId="0" applyFont="1" applyBorder="1"/>
    <xf numFmtId="176" fontId="75" fillId="0" borderId="90" xfId="0" applyNumberFormat="1" applyFont="1" applyBorder="1"/>
    <xf numFmtId="37" fontId="75" fillId="0" borderId="90" xfId="0" applyNumberFormat="1" applyFont="1" applyBorder="1"/>
    <xf numFmtId="37" fontId="73" fillId="0" borderId="94" xfId="0" applyNumberFormat="1" applyFont="1" applyBorder="1"/>
    <xf numFmtId="37" fontId="75" fillId="0" borderId="92" xfId="0" applyNumberFormat="1" applyFont="1" applyBorder="1"/>
    <xf numFmtId="37" fontId="75" fillId="0" borderId="0" xfId="0" applyNumberFormat="1" applyFont="1"/>
    <xf numFmtId="1" fontId="75" fillId="0" borderId="0" xfId="0" applyNumberFormat="1" applyFont="1"/>
    <xf numFmtId="37" fontId="75" fillId="0" borderId="71" xfId="0" applyNumberFormat="1" applyFont="1" applyBorder="1"/>
    <xf numFmtId="176" fontId="75" fillId="0" borderId="71" xfId="0" applyNumberFormat="1" applyFont="1" applyBorder="1"/>
    <xf numFmtId="37" fontId="73" fillId="0" borderId="55" xfId="0" applyNumberFormat="1" applyFont="1" applyBorder="1"/>
    <xf numFmtId="166" fontId="75" fillId="0" borderId="71" xfId="0" applyNumberFormat="1" applyFont="1" applyBorder="1"/>
    <xf numFmtId="176" fontId="73" fillId="3" borderId="31" xfId="0" applyNumberFormat="1" applyFont="1" applyFill="1" applyBorder="1"/>
    <xf numFmtId="176" fontId="73" fillId="3" borderId="29" xfId="0" applyNumberFormat="1" applyFont="1" applyFill="1" applyBorder="1"/>
    <xf numFmtId="37" fontId="73" fillId="3" borderId="112" xfId="0" applyNumberFormat="1" applyFont="1" applyFill="1" applyBorder="1"/>
    <xf numFmtId="0" fontId="75" fillId="6" borderId="19" xfId="0" applyFont="1" applyFill="1" applyBorder="1"/>
    <xf numFmtId="0" fontId="75" fillId="6" borderId="15" xfId="0" applyFont="1" applyFill="1" applyBorder="1"/>
    <xf numFmtId="37" fontId="75" fillId="6" borderId="15" xfId="0" applyNumberFormat="1" applyFont="1" applyFill="1" applyBorder="1"/>
    <xf numFmtId="37" fontId="73" fillId="6" borderId="115" xfId="0" applyNumberFormat="1" applyFont="1" applyFill="1" applyBorder="1"/>
    <xf numFmtId="0" fontId="73" fillId="6" borderId="15" xfId="0" applyFont="1" applyFill="1" applyBorder="1"/>
    <xf numFmtId="37" fontId="73" fillId="6" borderId="15" xfId="0" applyNumberFormat="1" applyFont="1" applyFill="1" applyBorder="1"/>
    <xf numFmtId="37" fontId="73" fillId="6" borderId="116" xfId="0" applyNumberFormat="1" applyFont="1" applyFill="1" applyBorder="1"/>
    <xf numFmtId="37" fontId="73" fillId="6" borderId="1" xfId="0" applyNumberFormat="1" applyFont="1" applyFill="1" applyBorder="1"/>
    <xf numFmtId="176" fontId="73" fillId="6" borderId="1" xfId="0" applyNumberFormat="1" applyFont="1" applyFill="1" applyBorder="1"/>
    <xf numFmtId="176" fontId="73" fillId="6" borderId="116" xfId="0" applyNumberFormat="1" applyFont="1" applyFill="1" applyBorder="1"/>
    <xf numFmtId="176" fontId="73" fillId="6" borderId="15" xfId="0" applyNumberFormat="1" applyFont="1" applyFill="1" applyBorder="1"/>
    <xf numFmtId="37" fontId="73" fillId="6" borderId="117" xfId="0" applyNumberFormat="1" applyFont="1" applyFill="1" applyBorder="1"/>
    <xf numFmtId="176" fontId="73" fillId="0" borderId="99" xfId="0" applyNumberFormat="1" applyFont="1" applyBorder="1"/>
    <xf numFmtId="0" fontId="75" fillId="3" borderId="37" xfId="0" applyFont="1" applyFill="1" applyBorder="1"/>
    <xf numFmtId="0" fontId="75" fillId="3" borderId="38" xfId="0" applyFont="1" applyFill="1" applyBorder="1"/>
    <xf numFmtId="0" fontId="75" fillId="3" borderId="38" xfId="0" applyFont="1" applyFill="1" applyBorder="1" applyAlignment="1">
      <alignment horizontal="center"/>
    </xf>
    <xf numFmtId="176" fontId="75" fillId="3" borderId="38" xfId="0" applyNumberFormat="1" applyFont="1" applyFill="1" applyBorder="1"/>
    <xf numFmtId="37" fontId="75" fillId="3" borderId="118" xfId="0" applyNumberFormat="1" applyFont="1" applyFill="1" applyBorder="1"/>
    <xf numFmtId="37" fontId="75" fillId="3" borderId="38" xfId="0" applyNumberFormat="1" applyFont="1" applyFill="1" applyBorder="1"/>
    <xf numFmtId="37" fontId="75" fillId="3" borderId="119" xfId="0" applyNumberFormat="1" applyFont="1" applyFill="1" applyBorder="1"/>
    <xf numFmtId="176" fontId="75" fillId="3" borderId="120" xfId="0" applyNumberFormat="1" applyFont="1" applyFill="1" applyBorder="1"/>
    <xf numFmtId="0" fontId="75" fillId="3" borderId="119" xfId="0" applyFont="1" applyFill="1" applyBorder="1" applyAlignment="1">
      <alignment horizontal="center"/>
    </xf>
    <xf numFmtId="37" fontId="75" fillId="3" borderId="121" xfId="0" applyNumberFormat="1" applyFont="1" applyFill="1" applyBorder="1"/>
    <xf numFmtId="176" fontId="75" fillId="3" borderId="13" xfId="0" applyNumberFormat="1" applyFont="1" applyFill="1" applyBorder="1"/>
    <xf numFmtId="39" fontId="73" fillId="0" borderId="0" xfId="0" applyNumberFormat="1" applyFont="1"/>
    <xf numFmtId="0" fontId="66" fillId="0" borderId="0" xfId="0" applyFont="1" applyAlignment="1">
      <alignment horizontal="right" vertical="center"/>
    </xf>
    <xf numFmtId="37" fontId="75" fillId="3" borderId="122" xfId="0" applyNumberFormat="1" applyFont="1" applyFill="1" applyBorder="1"/>
    <xf numFmtId="37" fontId="75" fillId="3" borderId="123" xfId="0" applyNumberFormat="1" applyFont="1" applyFill="1" applyBorder="1"/>
    <xf numFmtId="37" fontId="75" fillId="3" borderId="124" xfId="0" applyNumberFormat="1" applyFont="1" applyFill="1" applyBorder="1"/>
    <xf numFmtId="176" fontId="75" fillId="3" borderId="125" xfId="0" applyNumberFormat="1" applyFont="1" applyFill="1" applyBorder="1"/>
    <xf numFmtId="0" fontId="71" fillId="0" borderId="8" xfId="0" applyFont="1" applyBorder="1"/>
    <xf numFmtId="37" fontId="71" fillId="0" borderId="73" xfId="0" applyNumberFormat="1" applyFont="1" applyBorder="1"/>
    <xf numFmtId="0" fontId="71" fillId="0" borderId="73" xfId="0" applyFont="1" applyBorder="1"/>
    <xf numFmtId="0" fontId="71" fillId="0" borderId="55" xfId="0" applyFont="1" applyBorder="1"/>
    <xf numFmtId="0" fontId="71" fillId="0" borderId="56" xfId="0" applyFont="1" applyBorder="1"/>
    <xf numFmtId="0" fontId="71" fillId="0" borderId="9" xfId="0" applyFont="1" applyBorder="1"/>
    <xf numFmtId="176" fontId="75" fillId="3" borderId="39" xfId="0" applyNumberFormat="1" applyFont="1" applyFill="1" applyBorder="1"/>
    <xf numFmtId="0" fontId="76" fillId="0" borderId="0" xfId="0" applyFont="1"/>
    <xf numFmtId="37" fontId="76" fillId="0" borderId="0" xfId="0" applyNumberFormat="1" applyFont="1"/>
    <xf numFmtId="179" fontId="71" fillId="0" borderId="0" xfId="0" applyNumberFormat="1" applyFont="1" applyAlignment="1">
      <alignment horizontal="right"/>
    </xf>
    <xf numFmtId="166" fontId="71" fillId="0" borderId="0" xfId="0" applyNumberFormat="1" applyFont="1"/>
    <xf numFmtId="0" fontId="97" fillId="22" borderId="1" xfId="0" applyFont="1" applyFill="1" applyBorder="1"/>
    <xf numFmtId="0" fontId="62" fillId="0" borderId="61" xfId="0" applyFont="1" applyBorder="1" applyAlignment="1">
      <alignment horizontal="center"/>
    </xf>
    <xf numFmtId="0" fontId="62" fillId="0" borderId="61" xfId="0" applyFont="1" applyBorder="1"/>
    <xf numFmtId="1" fontId="61" fillId="2" borderId="1" xfId="0" applyNumberFormat="1" applyFont="1" applyFill="1" applyBorder="1" applyAlignment="1">
      <alignment horizontal="right"/>
    </xf>
    <xf numFmtId="167" fontId="61" fillId="2" borderId="1" xfId="0" applyNumberFormat="1" applyFont="1" applyFill="1" applyBorder="1"/>
    <xf numFmtId="167" fontId="61" fillId="0" borderId="0" xfId="0" applyNumberFormat="1" applyFont="1"/>
    <xf numFmtId="176" fontId="61" fillId="0" borderId="0" xfId="0" applyNumberFormat="1" applyFont="1" applyAlignment="1">
      <alignment horizontal="center"/>
    </xf>
    <xf numFmtId="3" fontId="61" fillId="2" borderId="1" xfId="0" applyNumberFormat="1" applyFont="1" applyFill="1" applyBorder="1" applyAlignment="1">
      <alignment horizontal="right"/>
    </xf>
    <xf numFmtId="1" fontId="62" fillId="2" borderId="1" xfId="0" applyNumberFormat="1" applyFont="1" applyFill="1" applyBorder="1" applyAlignment="1">
      <alignment horizontal="right"/>
    </xf>
    <xf numFmtId="167" fontId="62" fillId="2" borderId="1" xfId="0" applyNumberFormat="1" applyFont="1" applyFill="1" applyBorder="1"/>
    <xf numFmtId="167" fontId="62" fillId="0" borderId="0" xfId="0" applyNumberFormat="1" applyFont="1"/>
    <xf numFmtId="176" fontId="62" fillId="0" borderId="0" xfId="0" applyNumberFormat="1" applyFont="1" applyAlignment="1">
      <alignment horizontal="center"/>
    </xf>
    <xf numFmtId="3" fontId="62" fillId="2" borderId="1" xfId="0" applyNumberFormat="1" applyFont="1" applyFill="1" applyBorder="1" applyAlignment="1">
      <alignment horizontal="right"/>
    </xf>
    <xf numFmtId="1" fontId="62" fillId="0" borderId="126" xfId="0" applyNumberFormat="1" applyFont="1" applyBorder="1" applyAlignment="1">
      <alignment horizontal="right"/>
    </xf>
    <xf numFmtId="167" fontId="62" fillId="0" borderId="126" xfId="0" applyNumberFormat="1" applyFont="1" applyBorder="1"/>
    <xf numFmtId="167" fontId="98" fillId="0" borderId="126" xfId="0" applyNumberFormat="1" applyFont="1" applyBorder="1"/>
    <xf numFmtId="176" fontId="62" fillId="0" borderId="126" xfId="0" applyNumberFormat="1" applyFont="1" applyBorder="1" applyAlignment="1">
      <alignment horizontal="center"/>
    </xf>
    <xf numFmtId="3" fontId="62" fillId="0" borderId="126" xfId="0" applyNumberFormat="1" applyFont="1" applyBorder="1" applyAlignment="1">
      <alignment horizontal="right"/>
    </xf>
    <xf numFmtId="167" fontId="61" fillId="0" borderId="126" xfId="0" applyNumberFormat="1" applyFont="1" applyBorder="1"/>
    <xf numFmtId="176" fontId="99" fillId="0" borderId="0" xfId="0" applyNumberFormat="1" applyFont="1" applyAlignment="1">
      <alignment horizontal="center" vertical="top"/>
    </xf>
    <xf numFmtId="1" fontId="62" fillId="0" borderId="0" xfId="0" applyNumberFormat="1" applyFont="1"/>
    <xf numFmtId="1" fontId="61" fillId="0" borderId="0" xfId="0" applyNumberFormat="1" applyFont="1" applyAlignment="1">
      <alignment horizontal="right"/>
    </xf>
    <xf numFmtId="3" fontId="61" fillId="0" borderId="0" xfId="0" applyNumberFormat="1" applyFont="1" applyAlignment="1">
      <alignment horizontal="right"/>
    </xf>
    <xf numFmtId="1" fontId="62" fillId="0" borderId="0" xfId="0" applyNumberFormat="1" applyFont="1" applyAlignment="1">
      <alignment horizontal="right"/>
    </xf>
    <xf numFmtId="3" fontId="62" fillId="0" borderId="0" xfId="0" applyNumberFormat="1" applyFont="1" applyAlignment="1">
      <alignment horizontal="right"/>
    </xf>
    <xf numFmtId="167" fontId="100" fillId="0" borderId="0" xfId="0" applyNumberFormat="1" applyFont="1" applyAlignment="1">
      <alignment horizontal="center" vertical="center"/>
    </xf>
    <xf numFmtId="0" fontId="62" fillId="0" borderId="61" xfId="0" applyFont="1" applyBorder="1" applyAlignment="1">
      <alignment horizontal="left"/>
    </xf>
    <xf numFmtId="167" fontId="62" fillId="0" borderId="0" xfId="0" applyNumberFormat="1" applyFont="1" applyAlignment="1">
      <alignment horizontal="center"/>
    </xf>
    <xf numFmtId="176" fontId="62" fillId="0" borderId="0" xfId="0" applyNumberFormat="1" applyFont="1" applyAlignment="1">
      <alignment horizontal="right"/>
    </xf>
    <xf numFmtId="0" fontId="62" fillId="0" borderId="130" xfId="0" applyFont="1" applyBorder="1"/>
    <xf numFmtId="0" fontId="62" fillId="0" borderId="63" xfId="0" applyFont="1" applyBorder="1"/>
    <xf numFmtId="0" fontId="62" fillId="0" borderId="131" xfId="0" applyFont="1" applyBorder="1"/>
    <xf numFmtId="1" fontId="62" fillId="0" borderId="0" xfId="0" applyNumberFormat="1" applyFont="1" applyAlignment="1">
      <alignment horizontal="center"/>
    </xf>
    <xf numFmtId="0" fontId="62" fillId="0" borderId="76" xfId="0" applyFont="1" applyBorder="1" applyAlignment="1">
      <alignment horizontal="center"/>
    </xf>
    <xf numFmtId="176" fontId="62" fillId="2" borderId="1" xfId="0" applyNumberFormat="1" applyFont="1" applyFill="1" applyBorder="1" applyAlignment="1">
      <alignment horizontal="center"/>
    </xf>
    <xf numFmtId="167" fontId="62" fillId="0" borderId="62" xfId="0" applyNumberFormat="1" applyFont="1" applyBorder="1"/>
    <xf numFmtId="176" fontId="62" fillId="0" borderId="62" xfId="0" applyNumberFormat="1" applyFont="1" applyBorder="1" applyAlignment="1">
      <alignment horizontal="center"/>
    </xf>
    <xf numFmtId="167" fontId="62" fillId="0" borderId="63" xfId="0" applyNumberFormat="1" applyFont="1" applyBorder="1"/>
    <xf numFmtId="176" fontId="62" fillId="0" borderId="63" xfId="0" applyNumberFormat="1" applyFont="1" applyBorder="1" applyAlignment="1">
      <alignment horizontal="center"/>
    </xf>
    <xf numFmtId="167" fontId="62" fillId="0" borderId="64" xfId="0" applyNumberFormat="1" applyFont="1" applyBorder="1"/>
    <xf numFmtId="176" fontId="62" fillId="0" borderId="64" xfId="0" applyNumberFormat="1" applyFont="1" applyBorder="1" applyAlignment="1">
      <alignment horizontal="center"/>
    </xf>
    <xf numFmtId="3" fontId="62" fillId="0" borderId="0" xfId="0" applyNumberFormat="1" applyFont="1"/>
    <xf numFmtId="176" fontId="62" fillId="0" borderId="0" xfId="0" applyNumberFormat="1" applyFont="1"/>
    <xf numFmtId="10" fontId="63" fillId="0" borderId="0" xfId="0" applyNumberFormat="1" applyFont="1"/>
    <xf numFmtId="0" fontId="101" fillId="0" borderId="0" xfId="0" applyFont="1"/>
    <xf numFmtId="10" fontId="101" fillId="0" borderId="0" xfId="0" applyNumberFormat="1" applyFont="1"/>
    <xf numFmtId="37" fontId="65" fillId="3" borderId="12" xfId="0" applyNumberFormat="1" applyFont="1" applyFill="1" applyBorder="1"/>
    <xf numFmtId="9" fontId="72" fillId="0" borderId="0" xfId="0" applyNumberFormat="1" applyFont="1"/>
    <xf numFmtId="181" fontId="72" fillId="0" borderId="0" xfId="0" applyNumberFormat="1" applyFont="1"/>
    <xf numFmtId="0" fontId="72" fillId="21" borderId="1" xfId="0" applyFont="1" applyFill="1" applyBorder="1"/>
    <xf numFmtId="39" fontId="72" fillId="0" borderId="14" xfId="0" applyNumberFormat="1" applyFont="1" applyBorder="1"/>
    <xf numFmtId="2" fontId="72" fillId="0" borderId="0" xfId="0" applyNumberFormat="1" applyFont="1"/>
    <xf numFmtId="177" fontId="72" fillId="0" borderId="0" xfId="0" applyNumberFormat="1" applyFont="1"/>
    <xf numFmtId="39" fontId="65" fillId="6" borderId="23" xfId="0" applyNumberFormat="1" applyFont="1" applyFill="1" applyBorder="1"/>
    <xf numFmtId="173" fontId="72" fillId="0" borderId="9" xfId="0" applyNumberFormat="1" applyFont="1" applyBorder="1"/>
    <xf numFmtId="39" fontId="65" fillId="0" borderId="0" xfId="0" applyNumberFormat="1" applyFont="1"/>
    <xf numFmtId="176" fontId="71" fillId="0" borderId="0" xfId="0" applyNumberFormat="1" applyFont="1"/>
    <xf numFmtId="3" fontId="71" fillId="0" borderId="0" xfId="0" applyNumberFormat="1" applyFont="1"/>
    <xf numFmtId="4" fontId="71" fillId="0" borderId="0" xfId="0" applyNumberFormat="1" applyFont="1"/>
    <xf numFmtId="9" fontId="71" fillId="0" borderId="0" xfId="0" applyNumberFormat="1" applyFont="1"/>
    <xf numFmtId="2" fontId="63" fillId="0" borderId="0" xfId="0" applyNumberFormat="1" applyFont="1"/>
    <xf numFmtId="0" fontId="75" fillId="10" borderId="52" xfId="0" applyFont="1" applyFill="1" applyBorder="1" applyAlignment="1">
      <alignment horizontal="center"/>
    </xf>
    <xf numFmtId="0" fontId="75" fillId="10" borderId="132" xfId="0" applyFont="1" applyFill="1" applyBorder="1" applyAlignment="1">
      <alignment horizontal="center"/>
    </xf>
    <xf numFmtId="3" fontId="63" fillId="0" borderId="0" xfId="0" applyNumberFormat="1" applyFont="1"/>
    <xf numFmtId="37" fontId="73" fillId="0" borderId="96" xfId="0" applyNumberFormat="1" applyFont="1" applyBorder="1"/>
    <xf numFmtId="37" fontId="75" fillId="3" borderId="133" xfId="0" applyNumberFormat="1" applyFont="1" applyFill="1" applyBorder="1"/>
    <xf numFmtId="37" fontId="73" fillId="0" borderId="134" xfId="0" applyNumberFormat="1" applyFont="1" applyBorder="1"/>
    <xf numFmtId="37" fontId="73" fillId="0" borderId="135" xfId="0" applyNumberFormat="1" applyFont="1" applyBorder="1"/>
    <xf numFmtId="37" fontId="75" fillId="3" borderId="136" xfId="0" applyNumberFormat="1" applyFont="1" applyFill="1" applyBorder="1"/>
    <xf numFmtId="37" fontId="75" fillId="3" borderId="137" xfId="0" applyNumberFormat="1" applyFont="1" applyFill="1" applyBorder="1"/>
    <xf numFmtId="4" fontId="63" fillId="0" borderId="0" xfId="0" applyNumberFormat="1" applyFont="1"/>
    <xf numFmtId="176" fontId="63" fillId="0" borderId="0" xfId="0" applyNumberFormat="1" applyFont="1"/>
    <xf numFmtId="37" fontId="73" fillId="0" borderId="138" xfId="0" applyNumberFormat="1" applyFont="1" applyBorder="1"/>
    <xf numFmtId="173" fontId="71" fillId="0" borderId="0" xfId="0" applyNumberFormat="1" applyFont="1"/>
    <xf numFmtId="0" fontId="73" fillId="0" borderId="134" xfId="0" applyFont="1" applyBorder="1"/>
    <xf numFmtId="0" fontId="73" fillId="0" borderId="55" xfId="0" applyFont="1" applyBorder="1"/>
    <xf numFmtId="37" fontId="73" fillId="6" borderId="139" xfId="0" applyNumberFormat="1" applyFont="1" applyFill="1" applyBorder="1"/>
    <xf numFmtId="39" fontId="73" fillId="0" borderId="56" xfId="0" applyNumberFormat="1" applyFont="1" applyBorder="1"/>
    <xf numFmtId="39" fontId="73" fillId="0" borderId="55" xfId="0" applyNumberFormat="1" applyFont="1" applyBorder="1"/>
    <xf numFmtId="0" fontId="66" fillId="0" borderId="56" xfId="0" applyFont="1" applyBorder="1"/>
    <xf numFmtId="0" fontId="66" fillId="0" borderId="55" xfId="0" applyFont="1" applyBorder="1"/>
    <xf numFmtId="37" fontId="75" fillId="3" borderId="140" xfId="0" applyNumberFormat="1" applyFont="1" applyFill="1" applyBorder="1"/>
    <xf numFmtId="0" fontId="71" fillId="0" borderId="134" xfId="0" applyFont="1" applyBorder="1"/>
    <xf numFmtId="37" fontId="75" fillId="3" borderId="141" xfId="0" applyNumberFormat="1" applyFont="1" applyFill="1" applyBorder="1"/>
    <xf numFmtId="37" fontId="102" fillId="0" borderId="0" xfId="0" applyNumberFormat="1" applyFont="1"/>
    <xf numFmtId="174" fontId="79" fillId="6" borderId="1" xfId="0" applyNumberFormat="1" applyFont="1" applyFill="1" applyBorder="1" applyAlignment="1">
      <alignment horizontal="right"/>
    </xf>
    <xf numFmtId="0" fontId="79" fillId="6" borderId="1" xfId="0" applyFont="1" applyFill="1" applyBorder="1"/>
    <xf numFmtId="9" fontId="71" fillId="6" borderId="1" xfId="0" applyNumberFormat="1" applyFont="1" applyFill="1" applyBorder="1"/>
    <xf numFmtId="0" fontId="78" fillId="6" borderId="1" xfId="0" applyFont="1" applyFill="1" applyBorder="1" applyAlignment="1">
      <alignment horizontal="center"/>
    </xf>
    <xf numFmtId="174" fontId="71" fillId="6" borderId="1" xfId="0" applyNumberFormat="1" applyFont="1" applyFill="1" applyBorder="1" applyAlignment="1">
      <alignment horizontal="center"/>
    </xf>
    <xf numFmtId="0" fontId="103" fillId="6" borderId="1" xfId="0" applyFont="1" applyFill="1" applyBorder="1" applyAlignment="1">
      <alignment horizontal="center"/>
    </xf>
    <xf numFmtId="0" fontId="104" fillId="0" borderId="0" xfId="0" applyFont="1" applyAlignment="1">
      <alignment horizontal="center" vertical="top"/>
    </xf>
    <xf numFmtId="170" fontId="105" fillId="0" borderId="0" xfId="0" applyNumberFormat="1" applyFont="1" applyAlignment="1">
      <alignment horizontal="center" vertical="top"/>
    </xf>
    <xf numFmtId="0" fontId="106" fillId="24" borderId="142" xfId="0" applyFont="1" applyFill="1" applyBorder="1" applyAlignment="1">
      <alignment horizontal="center" vertical="center" wrapText="1"/>
    </xf>
    <xf numFmtId="49" fontId="62" fillId="4" borderId="1" xfId="0" applyNumberFormat="1" applyFont="1" applyFill="1" applyBorder="1" applyAlignment="1">
      <alignment horizontal="left" vertical="center"/>
    </xf>
    <xf numFmtId="0" fontId="62" fillId="4" borderId="1" xfId="0" applyFont="1" applyFill="1" applyBorder="1"/>
    <xf numFmtId="182" fontId="62" fillId="4" borderId="1" xfId="0" applyNumberFormat="1" applyFont="1" applyFill="1" applyBorder="1" applyAlignment="1">
      <alignment horizontal="right" vertical="center"/>
    </xf>
    <xf numFmtId="1" fontId="62" fillId="0" borderId="0" xfId="0" applyNumberFormat="1" applyFont="1" applyAlignment="1">
      <alignment horizontal="left" vertical="top"/>
    </xf>
    <xf numFmtId="49" fontId="62" fillId="0" borderId="0" xfId="0" applyNumberFormat="1" applyFont="1" applyAlignment="1">
      <alignment horizontal="left" vertical="top"/>
    </xf>
    <xf numFmtId="4" fontId="62" fillId="0" borderId="0" xfId="0" applyNumberFormat="1" applyFont="1" applyAlignment="1">
      <alignment horizontal="center" vertical="top"/>
    </xf>
    <xf numFmtId="0" fontId="62" fillId="8" borderId="1" xfId="0" applyFont="1" applyFill="1" applyBorder="1" applyAlignment="1">
      <alignment horizontal="center"/>
    </xf>
    <xf numFmtId="179" fontId="63" fillId="0" borderId="0" xfId="0" applyNumberFormat="1" applyFont="1" applyAlignment="1">
      <alignment horizontal="center"/>
    </xf>
    <xf numFmtId="183" fontId="63" fillId="0" borderId="0" xfId="0" applyNumberFormat="1" applyFont="1" applyAlignment="1">
      <alignment horizontal="center"/>
    </xf>
    <xf numFmtId="170" fontId="62" fillId="0" borderId="0" xfId="0" applyNumberFormat="1" applyFont="1" applyAlignment="1">
      <alignment horizontal="center" vertical="top"/>
    </xf>
    <xf numFmtId="168" fontId="62" fillId="4" borderId="1" xfId="0" applyNumberFormat="1" applyFont="1" applyFill="1" applyBorder="1"/>
    <xf numFmtId="4" fontId="62" fillId="25" borderId="1" xfId="0" applyNumberFormat="1" applyFont="1" applyFill="1" applyBorder="1" applyAlignment="1">
      <alignment horizontal="center" vertical="top"/>
    </xf>
    <xf numFmtId="4" fontId="62" fillId="10" borderId="1" xfId="0" applyNumberFormat="1" applyFont="1" applyFill="1" applyBorder="1" applyAlignment="1">
      <alignment horizontal="center" vertical="top"/>
    </xf>
    <xf numFmtId="0" fontId="62" fillId="4" borderId="1" xfId="0" applyFont="1" applyFill="1" applyBorder="1" applyAlignment="1">
      <alignment horizontal="left" vertical="top"/>
    </xf>
    <xf numFmtId="168" fontId="62" fillId="4" borderId="1" xfId="0" applyNumberFormat="1" applyFont="1" applyFill="1" applyBorder="1" applyAlignment="1">
      <alignment horizontal="left" vertical="top"/>
    </xf>
    <xf numFmtId="1" fontId="62" fillId="4" borderId="1" xfId="0" applyNumberFormat="1" applyFont="1" applyFill="1" applyBorder="1" applyAlignment="1">
      <alignment horizontal="center" vertical="top"/>
    </xf>
    <xf numFmtId="1" fontId="62" fillId="4" borderId="1" xfId="0" applyNumberFormat="1" applyFont="1" applyFill="1" applyBorder="1" applyAlignment="1">
      <alignment horizontal="center"/>
    </xf>
    <xf numFmtId="1" fontId="62" fillId="4" borderId="1" xfId="0" applyNumberFormat="1" applyFont="1" applyFill="1" applyBorder="1" applyAlignment="1">
      <alignment horizontal="center" vertical="center"/>
    </xf>
    <xf numFmtId="49" fontId="62" fillId="26" borderId="1" xfId="0" applyNumberFormat="1" applyFont="1" applyFill="1" applyBorder="1" applyAlignment="1">
      <alignment horizontal="left" vertical="top"/>
    </xf>
    <xf numFmtId="4" fontId="62" fillId="26" borderId="1" xfId="0" applyNumberFormat="1" applyFont="1" applyFill="1" applyBorder="1" applyAlignment="1">
      <alignment horizontal="center" vertical="top"/>
    </xf>
    <xf numFmtId="4" fontId="62" fillId="4" borderId="1" xfId="0" applyNumberFormat="1" applyFont="1" applyFill="1" applyBorder="1"/>
    <xf numFmtId="0" fontId="107" fillId="8" borderId="1" xfId="0" applyFont="1" applyFill="1" applyBorder="1" applyAlignment="1">
      <alignment horizontal="center"/>
    </xf>
    <xf numFmtId="4" fontId="62" fillId="4" borderId="1" xfId="0" applyNumberFormat="1" applyFont="1" applyFill="1" applyBorder="1" applyAlignment="1">
      <alignment horizontal="left" vertical="top"/>
    </xf>
    <xf numFmtId="170" fontId="63" fillId="0" borderId="0" xfId="0" applyNumberFormat="1" applyFont="1"/>
    <xf numFmtId="0" fontId="106" fillId="27" borderId="1" xfId="0" applyFont="1" applyFill="1" applyBorder="1" applyAlignment="1">
      <alignment horizontal="left" vertical="top"/>
    </xf>
    <xf numFmtId="0" fontId="63" fillId="27" borderId="1" xfId="0" applyFont="1" applyFill="1" applyBorder="1" applyAlignment="1">
      <alignment horizontal="center"/>
    </xf>
    <xf numFmtId="0" fontId="61" fillId="7" borderId="1" xfId="0" applyFont="1" applyFill="1" applyBorder="1"/>
    <xf numFmtId="0" fontId="108" fillId="23" borderId="143" xfId="0" applyFont="1" applyFill="1" applyBorder="1" applyAlignment="1">
      <alignment horizontal="left" vertical="top"/>
    </xf>
    <xf numFmtId="49" fontId="109" fillId="23" borderId="143" xfId="0" applyNumberFormat="1" applyFont="1" applyFill="1" applyBorder="1" applyAlignment="1">
      <alignment horizontal="left" vertical="top"/>
    </xf>
    <xf numFmtId="0" fontId="109" fillId="23" borderId="1" xfId="0" applyFont="1" applyFill="1" applyBorder="1" applyAlignment="1">
      <alignment horizontal="left" vertical="top"/>
    </xf>
    <xf numFmtId="0" fontId="62" fillId="23" borderId="1" xfId="0" applyFont="1" applyFill="1" applyBorder="1" applyAlignment="1">
      <alignment horizontal="center"/>
    </xf>
    <xf numFmtId="0" fontId="62" fillId="23" borderId="1" xfId="0" applyFont="1" applyFill="1" applyBorder="1"/>
    <xf numFmtId="49" fontId="62" fillId="23" borderId="1" xfId="0" applyNumberFormat="1" applyFont="1" applyFill="1" applyBorder="1" applyAlignment="1">
      <alignment horizontal="center"/>
    </xf>
    <xf numFmtId="0" fontId="62" fillId="7" borderId="1" xfId="0" applyFont="1" applyFill="1" applyBorder="1"/>
    <xf numFmtId="0" fontId="110" fillId="0" borderId="0" xfId="0" applyFont="1"/>
    <xf numFmtId="0" fontId="109" fillId="23" borderId="143" xfId="0" applyFont="1" applyFill="1" applyBorder="1" applyAlignment="1">
      <alignment horizontal="left" vertical="top"/>
    </xf>
    <xf numFmtId="0" fontId="63" fillId="23" borderId="1" xfId="0" applyFont="1" applyFill="1" applyBorder="1" applyAlignment="1">
      <alignment horizontal="center"/>
    </xf>
    <xf numFmtId="49" fontId="62" fillId="4" borderId="143" xfId="0" applyNumberFormat="1" applyFont="1" applyFill="1" applyBorder="1" applyAlignment="1">
      <alignment horizontal="left" vertical="center"/>
    </xf>
    <xf numFmtId="39" fontId="109" fillId="23" borderId="143" xfId="0" applyNumberFormat="1" applyFont="1" applyFill="1" applyBorder="1" applyAlignment="1">
      <alignment horizontal="left" vertical="top"/>
    </xf>
    <xf numFmtId="1" fontId="108" fillId="23" borderId="143" xfId="0" applyNumberFormat="1" applyFont="1" applyFill="1" applyBorder="1" applyAlignment="1">
      <alignment horizontal="left" vertical="top"/>
    </xf>
    <xf numFmtId="49" fontId="108" fillId="23" borderId="143" xfId="0" applyNumberFormat="1" applyFont="1" applyFill="1" applyBorder="1" applyAlignment="1">
      <alignment horizontal="left" vertical="top"/>
    </xf>
    <xf numFmtId="0" fontId="108" fillId="23" borderId="144" xfId="0" applyFont="1" applyFill="1" applyBorder="1" applyAlignment="1">
      <alignment horizontal="left" vertical="top"/>
    </xf>
    <xf numFmtId="49" fontId="109" fillId="23" borderId="144" xfId="0" applyNumberFormat="1" applyFont="1" applyFill="1" applyBorder="1" applyAlignment="1">
      <alignment horizontal="left" vertical="top"/>
    </xf>
    <xf numFmtId="0" fontId="109" fillId="23" borderId="142" xfId="0" applyFont="1" applyFill="1" applyBorder="1" applyAlignment="1">
      <alignment horizontal="left" vertical="top"/>
    </xf>
    <xf numFmtId="0" fontId="109" fillId="23" borderId="145" xfId="0" applyFont="1" applyFill="1" applyBorder="1" applyAlignment="1">
      <alignment horizontal="left" vertical="top"/>
    </xf>
    <xf numFmtId="0" fontId="109" fillId="23" borderId="144" xfId="0" applyFont="1" applyFill="1" applyBorder="1" applyAlignment="1">
      <alignment horizontal="left" vertical="top"/>
    </xf>
    <xf numFmtId="49" fontId="109" fillId="26" borderId="143" xfId="0" applyNumberFormat="1" applyFont="1" applyFill="1" applyBorder="1" applyAlignment="1">
      <alignment horizontal="left" vertical="top"/>
    </xf>
    <xf numFmtId="49" fontId="109" fillId="23" borderId="1" xfId="0" applyNumberFormat="1" applyFont="1" applyFill="1" applyBorder="1" applyAlignment="1">
      <alignment horizontal="left" vertical="top"/>
    </xf>
    <xf numFmtId="49" fontId="108" fillId="23" borderId="1" xfId="0" applyNumberFormat="1" applyFont="1" applyFill="1" applyBorder="1" applyAlignment="1">
      <alignment horizontal="left" vertical="top"/>
    </xf>
    <xf numFmtId="49" fontId="62" fillId="10" borderId="1" xfId="0" applyNumberFormat="1" applyFont="1" applyFill="1" applyBorder="1" applyAlignment="1">
      <alignment horizontal="left" vertical="top"/>
    </xf>
    <xf numFmtId="39" fontId="109" fillId="23" borderId="146" xfId="0" applyNumberFormat="1" applyFont="1" applyFill="1" applyBorder="1" applyAlignment="1">
      <alignment horizontal="left" vertical="top"/>
    </xf>
    <xf numFmtId="39" fontId="109" fillId="23" borderId="144" xfId="0" applyNumberFormat="1" applyFont="1" applyFill="1" applyBorder="1" applyAlignment="1">
      <alignment horizontal="left" vertical="top"/>
    </xf>
    <xf numFmtId="0" fontId="108" fillId="23" borderId="1" xfId="0" applyFont="1" applyFill="1" applyBorder="1" applyAlignment="1">
      <alignment horizontal="left" vertical="top"/>
    </xf>
    <xf numFmtId="39" fontId="109" fillId="23" borderId="1" xfId="0" applyNumberFormat="1" applyFont="1" applyFill="1" applyBorder="1" applyAlignment="1">
      <alignment horizontal="left" vertical="top"/>
    </xf>
    <xf numFmtId="0" fontId="113" fillId="23" borderId="143" xfId="0" applyFont="1" applyFill="1" applyBorder="1" applyAlignment="1">
      <alignment horizontal="left" vertical="top"/>
    </xf>
    <xf numFmtId="0" fontId="109" fillId="23" borderId="146" xfId="0" applyFont="1" applyFill="1" applyBorder="1" applyAlignment="1">
      <alignment horizontal="left" vertical="top"/>
    </xf>
    <xf numFmtId="0" fontId="114" fillId="28" borderId="143" xfId="0" applyFont="1" applyFill="1" applyBorder="1" applyAlignment="1">
      <alignment horizontal="left" vertical="top"/>
    </xf>
    <xf numFmtId="0" fontId="109" fillId="28" borderId="143" xfId="0" applyFont="1" applyFill="1" applyBorder="1" applyAlignment="1">
      <alignment horizontal="left" vertical="top"/>
    </xf>
    <xf numFmtId="0" fontId="108" fillId="4" borderId="143" xfId="0" applyFont="1" applyFill="1" applyBorder="1" applyAlignment="1">
      <alignment horizontal="left" vertical="top"/>
    </xf>
    <xf numFmtId="0" fontId="109" fillId="4" borderId="143" xfId="0" applyFont="1" applyFill="1" applyBorder="1" applyAlignment="1">
      <alignment horizontal="left" vertical="top"/>
    </xf>
    <xf numFmtId="0" fontId="109" fillId="4" borderId="1" xfId="0" applyFont="1" applyFill="1" applyBorder="1" applyAlignment="1">
      <alignment horizontal="left" vertical="top"/>
    </xf>
    <xf numFmtId="170" fontId="62" fillId="4" borderId="1" xfId="0" applyNumberFormat="1" applyFont="1" applyFill="1" applyBorder="1" applyAlignment="1">
      <alignment horizontal="center" vertical="top"/>
    </xf>
    <xf numFmtId="170" fontId="62" fillId="26" borderId="1" xfId="0" applyNumberFormat="1" applyFont="1" applyFill="1" applyBorder="1" applyAlignment="1">
      <alignment horizontal="center" vertical="top"/>
    </xf>
    <xf numFmtId="4" fontId="62" fillId="4" borderId="1" xfId="0" applyNumberFormat="1" applyFont="1" applyFill="1" applyBorder="1" applyAlignment="1">
      <alignment horizontal="center" vertical="top"/>
    </xf>
    <xf numFmtId="49" fontId="62" fillId="0" borderId="0" xfId="0" applyNumberFormat="1" applyFont="1" applyAlignment="1">
      <alignment horizontal="left" vertical="center"/>
    </xf>
    <xf numFmtId="182" fontId="62" fillId="0" borderId="0" xfId="0" applyNumberFormat="1" applyFont="1" applyAlignment="1">
      <alignment horizontal="right" vertical="center"/>
    </xf>
    <xf numFmtId="0" fontId="62" fillId="0" borderId="0" xfId="0" applyFont="1" applyAlignment="1">
      <alignment horizontal="left" vertical="top"/>
    </xf>
    <xf numFmtId="184" fontId="62" fillId="0" borderId="0" xfId="0" applyNumberFormat="1" applyFont="1" applyAlignment="1">
      <alignment horizontal="right" vertical="top"/>
    </xf>
    <xf numFmtId="1" fontId="108" fillId="23" borderId="147" xfId="0" applyNumberFormat="1" applyFont="1" applyFill="1" applyBorder="1" applyAlignment="1">
      <alignment horizontal="left" vertical="top"/>
    </xf>
    <xf numFmtId="49" fontId="109" fillId="23" borderId="147" xfId="0" applyNumberFormat="1" applyFont="1" applyFill="1" applyBorder="1" applyAlignment="1">
      <alignment horizontal="left" vertical="top"/>
    </xf>
    <xf numFmtId="49" fontId="108" fillId="23" borderId="147" xfId="0" applyNumberFormat="1" applyFont="1" applyFill="1" applyBorder="1" applyAlignment="1">
      <alignment horizontal="left" vertical="top"/>
    </xf>
    <xf numFmtId="1" fontId="108" fillId="4" borderId="143" xfId="0" applyNumberFormat="1" applyFont="1" applyFill="1" applyBorder="1" applyAlignment="1">
      <alignment horizontal="left" vertical="top"/>
    </xf>
    <xf numFmtId="0" fontId="109" fillId="23" borderId="147" xfId="0" applyFont="1" applyFill="1" applyBorder="1" applyAlignment="1">
      <alignment horizontal="left" vertical="top"/>
    </xf>
    <xf numFmtId="0" fontId="109" fillId="23" borderId="148" xfId="0" applyFont="1" applyFill="1" applyBorder="1" applyAlignment="1">
      <alignment horizontal="left" vertical="top"/>
    </xf>
    <xf numFmtId="0" fontId="109" fillId="23" borderId="149" xfId="0" applyFont="1" applyFill="1" applyBorder="1" applyAlignment="1">
      <alignment horizontal="left" vertical="top"/>
    </xf>
    <xf numFmtId="0" fontId="108" fillId="23" borderId="150" xfId="0" applyFont="1" applyFill="1" applyBorder="1" applyAlignment="1">
      <alignment horizontal="left" vertical="top"/>
    </xf>
    <xf numFmtId="39" fontId="109" fillId="23" borderId="149" xfId="0" applyNumberFormat="1" applyFont="1" applyFill="1" applyBorder="1" applyAlignment="1">
      <alignment horizontal="left" vertical="top"/>
    </xf>
    <xf numFmtId="39" fontId="109" fillId="23" borderId="147" xfId="0" applyNumberFormat="1" applyFont="1" applyFill="1" applyBorder="1" applyAlignment="1">
      <alignment horizontal="left" vertical="top"/>
    </xf>
    <xf numFmtId="0" fontId="108" fillId="23" borderId="147" xfId="0" applyFont="1" applyFill="1" applyBorder="1" applyAlignment="1">
      <alignment horizontal="left" vertical="top"/>
    </xf>
    <xf numFmtId="0" fontId="115" fillId="29" borderId="151" xfId="0" applyFont="1" applyFill="1" applyBorder="1"/>
    <xf numFmtId="0" fontId="115" fillId="29" borderId="152" xfId="0" applyFont="1" applyFill="1" applyBorder="1"/>
    <xf numFmtId="0" fontId="115" fillId="29" borderId="153" xfId="0" applyFont="1" applyFill="1" applyBorder="1"/>
    <xf numFmtId="3" fontId="116" fillId="29" borderId="154" xfId="0" applyNumberFormat="1" applyFont="1" applyFill="1" applyBorder="1" applyAlignment="1">
      <alignment horizontal="center"/>
    </xf>
    <xf numFmtId="3" fontId="116" fillId="29" borderId="0" xfId="0" applyNumberFormat="1" applyFont="1" applyFill="1" applyAlignment="1">
      <alignment horizontal="center"/>
    </xf>
    <xf numFmtId="3" fontId="116" fillId="29" borderId="155" xfId="0" applyNumberFormat="1" applyFont="1" applyFill="1" applyBorder="1" applyAlignment="1">
      <alignment horizontal="center"/>
    </xf>
    <xf numFmtId="3" fontId="116" fillId="29" borderId="156" xfId="0" applyNumberFormat="1" applyFont="1" applyFill="1" applyBorder="1" applyAlignment="1">
      <alignment horizontal="center"/>
    </xf>
    <xf numFmtId="3" fontId="116" fillId="29" borderId="157" xfId="0" applyNumberFormat="1" applyFont="1" applyFill="1" applyBorder="1" applyAlignment="1">
      <alignment horizontal="center"/>
    </xf>
    <xf numFmtId="3" fontId="116" fillId="29" borderId="158" xfId="0" applyNumberFormat="1" applyFont="1" applyFill="1" applyBorder="1" applyAlignment="1">
      <alignment horizontal="right"/>
    </xf>
    <xf numFmtId="3" fontId="116" fillId="29" borderId="158" xfId="0" applyNumberFormat="1" applyFont="1" applyFill="1" applyBorder="1" applyAlignment="1" applyProtection="1">
      <alignment horizontal="right"/>
      <protection locked="0"/>
    </xf>
    <xf numFmtId="3" fontId="116" fillId="29" borderId="154" xfId="0" applyNumberFormat="1" applyFont="1" applyFill="1" applyBorder="1"/>
    <xf numFmtId="3" fontId="116" fillId="29" borderId="0" xfId="0" applyNumberFormat="1" applyFont="1" applyFill="1"/>
    <xf numFmtId="3" fontId="116" fillId="29" borderId="155" xfId="0" applyNumberFormat="1" applyFont="1" applyFill="1" applyBorder="1"/>
    <xf numFmtId="3" fontId="116" fillId="29" borderId="154" xfId="0" applyNumberFormat="1" applyFont="1" applyFill="1" applyBorder="1" applyProtection="1">
      <protection locked="0"/>
    </xf>
    <xf numFmtId="3" fontId="116" fillId="29" borderId="155" xfId="0" applyNumberFormat="1" applyFont="1" applyFill="1" applyBorder="1" applyProtection="1">
      <protection locked="0"/>
    </xf>
    <xf numFmtId="3" fontId="115" fillId="29" borderId="159" xfId="0" applyNumberFormat="1" applyFont="1" applyFill="1" applyBorder="1"/>
    <xf numFmtId="3" fontId="115" fillId="29" borderId="160" xfId="0" applyNumberFormat="1" applyFont="1" applyFill="1" applyBorder="1"/>
    <xf numFmtId="3" fontId="115" fillId="29" borderId="161" xfId="0" applyNumberFormat="1" applyFont="1" applyFill="1" applyBorder="1"/>
    <xf numFmtId="0" fontId="116" fillId="29" borderId="154" xfId="0" applyFont="1" applyFill="1" applyBorder="1"/>
    <xf numFmtId="0" fontId="116" fillId="29" borderId="155" xfId="0" applyFont="1" applyFill="1" applyBorder="1"/>
    <xf numFmtId="3" fontId="116" fillId="29" borderId="162" xfId="0" applyNumberFormat="1" applyFont="1" applyFill="1" applyBorder="1"/>
    <xf numFmtId="3" fontId="116" fillId="29" borderId="163" xfId="0" applyNumberFormat="1" applyFont="1" applyFill="1" applyBorder="1"/>
    <xf numFmtId="3" fontId="116" fillId="29" borderId="164" xfId="0" applyNumberFormat="1" applyFont="1" applyFill="1" applyBorder="1"/>
    <xf numFmtId="3" fontId="116" fillId="29" borderId="162" xfId="0" applyNumberFormat="1" applyFont="1" applyFill="1" applyBorder="1" applyProtection="1">
      <protection locked="0"/>
    </xf>
    <xf numFmtId="3" fontId="116" fillId="29" borderId="164" xfId="0" applyNumberFormat="1" applyFont="1" applyFill="1" applyBorder="1" applyProtection="1">
      <protection locked="0"/>
    </xf>
    <xf numFmtId="3" fontId="116" fillId="29" borderId="159" xfId="0" applyNumberFormat="1" applyFont="1" applyFill="1" applyBorder="1"/>
    <xf numFmtId="3" fontId="116" fillId="29" borderId="160" xfId="0" applyNumberFormat="1" applyFont="1" applyFill="1" applyBorder="1"/>
    <xf numFmtId="3" fontId="116" fillId="29" borderId="161" xfId="0" applyNumberFormat="1" applyFont="1" applyFill="1" applyBorder="1"/>
    <xf numFmtId="0" fontId="116" fillId="29" borderId="0" xfId="0" applyFont="1" applyFill="1"/>
    <xf numFmtId="37" fontId="116" fillId="29" borderId="155" xfId="0" applyNumberFormat="1" applyFont="1" applyFill="1" applyBorder="1"/>
    <xf numFmtId="37" fontId="115" fillId="30" borderId="165" xfId="0" applyNumberFormat="1" applyFont="1" applyFill="1" applyBorder="1"/>
    <xf numFmtId="175" fontId="115" fillId="30" borderId="166" xfId="0" applyNumberFormat="1" applyFont="1" applyFill="1" applyBorder="1"/>
    <xf numFmtId="37" fontId="115" fillId="30" borderId="167" xfId="0" applyNumberFormat="1" applyFont="1" applyFill="1" applyBorder="1"/>
    <xf numFmtId="0" fontId="115" fillId="30" borderId="168" xfId="0" applyFont="1" applyFill="1" applyBorder="1"/>
    <xf numFmtId="0" fontId="115" fillId="30" borderId="169" xfId="0" applyFont="1" applyFill="1" applyBorder="1"/>
    <xf numFmtId="0" fontId="115" fillId="30" borderId="170" xfId="0" applyFont="1" applyFill="1" applyBorder="1"/>
    <xf numFmtId="0" fontId="115" fillId="31" borderId="154" xfId="0" applyFont="1" applyFill="1" applyBorder="1"/>
    <xf numFmtId="0" fontId="115" fillId="31" borderId="0" xfId="0" applyFont="1" applyFill="1"/>
    <xf numFmtId="0" fontId="115" fillId="31" borderId="155" xfId="0" applyFont="1" applyFill="1" applyBorder="1"/>
    <xf numFmtId="0" fontId="116" fillId="29" borderId="0" xfId="0" applyFont="1" applyFill="1" applyAlignment="1">
      <alignment horizontal="center"/>
    </xf>
    <xf numFmtId="9" fontId="116" fillId="29" borderId="154" xfId="2" applyFont="1" applyFill="1" applyBorder="1"/>
    <xf numFmtId="37" fontId="116" fillId="29" borderId="0" xfId="0" applyNumberFormat="1" applyFont="1" applyFill="1"/>
    <xf numFmtId="37" fontId="116" fillId="29" borderId="155" xfId="0" applyNumberFormat="1" applyFont="1" applyFill="1" applyBorder="1" applyProtection="1">
      <protection locked="0"/>
    </xf>
    <xf numFmtId="9" fontId="116" fillId="29" borderId="156" xfId="2" applyFont="1" applyFill="1" applyBorder="1"/>
    <xf numFmtId="37" fontId="116" fillId="29" borderId="157" xfId="0" applyNumberFormat="1" applyFont="1" applyFill="1" applyBorder="1"/>
    <xf numFmtId="37" fontId="116" fillId="29" borderId="158" xfId="0" applyNumberFormat="1" applyFont="1" applyFill="1" applyBorder="1"/>
    <xf numFmtId="37" fontId="116" fillId="29" borderId="158" xfId="0" applyNumberFormat="1" applyFont="1" applyFill="1" applyBorder="1" applyProtection="1">
      <protection locked="0"/>
    </xf>
    <xf numFmtId="0" fontId="116" fillId="29" borderId="156" xfId="0" applyFont="1" applyFill="1" applyBorder="1"/>
    <xf numFmtId="0" fontId="115" fillId="30" borderId="171" xfId="0" applyFont="1" applyFill="1" applyBorder="1" applyAlignment="1">
      <alignment horizontal="center"/>
    </xf>
    <xf numFmtId="176" fontId="115" fillId="30" borderId="172" xfId="0" applyNumberFormat="1" applyFont="1" applyFill="1" applyBorder="1"/>
    <xf numFmtId="37" fontId="115" fillId="30" borderId="173" xfId="0" applyNumberFormat="1" applyFont="1" applyFill="1" applyBorder="1"/>
    <xf numFmtId="0" fontId="116" fillId="29" borderId="159" xfId="0" applyFont="1" applyFill="1" applyBorder="1"/>
    <xf numFmtId="0" fontId="116" fillId="29" borderId="160" xfId="0" applyFont="1" applyFill="1" applyBorder="1"/>
    <xf numFmtId="37" fontId="116" fillId="29" borderId="161" xfId="0" applyNumberFormat="1" applyFont="1" applyFill="1" applyBorder="1"/>
    <xf numFmtId="37" fontId="116" fillId="29" borderId="161" xfId="0" applyNumberFormat="1" applyFont="1" applyFill="1" applyBorder="1" applyProtection="1">
      <protection locked="0"/>
    </xf>
    <xf numFmtId="0" fontId="116" fillId="29" borderId="157" xfId="0" applyFont="1" applyFill="1" applyBorder="1"/>
    <xf numFmtId="0" fontId="116" fillId="29" borderId="162" xfId="0" applyFont="1" applyFill="1" applyBorder="1"/>
    <xf numFmtId="0" fontId="116" fillId="29" borderId="163" xfId="0" applyFont="1" applyFill="1" applyBorder="1"/>
    <xf numFmtId="37" fontId="116" fillId="29" borderId="164" xfId="0" applyNumberFormat="1" applyFont="1" applyFill="1" applyBorder="1"/>
    <xf numFmtId="37" fontId="116" fillId="29" borderId="164" xfId="0" applyNumberFormat="1" applyFont="1" applyFill="1" applyBorder="1" applyProtection="1">
      <protection locked="0"/>
    </xf>
    <xf numFmtId="37" fontId="115" fillId="30" borderId="174" xfId="0" applyNumberFormat="1" applyFont="1" applyFill="1" applyBorder="1"/>
    <xf numFmtId="0" fontId="115" fillId="30" borderId="175" xfId="0" applyFont="1" applyFill="1" applyBorder="1" applyAlignment="1">
      <alignment horizontal="center"/>
    </xf>
    <xf numFmtId="176" fontId="115" fillId="30" borderId="176" xfId="0" applyNumberFormat="1" applyFont="1" applyFill="1" applyBorder="1"/>
    <xf numFmtId="37" fontId="115" fillId="30" borderId="177" xfId="0" applyNumberFormat="1" applyFont="1" applyFill="1" applyBorder="1"/>
    <xf numFmtId="0" fontId="116" fillId="31" borderId="156" xfId="0" applyFont="1" applyFill="1" applyBorder="1"/>
    <xf numFmtId="0" fontId="116" fillId="31" borderId="157" xfId="0" applyFont="1" applyFill="1" applyBorder="1"/>
    <xf numFmtId="37" fontId="115" fillId="31" borderId="155" xfId="0" applyNumberFormat="1" applyFont="1" applyFill="1" applyBorder="1"/>
    <xf numFmtId="0" fontId="116" fillId="30" borderId="178" xfId="0" applyFont="1" applyFill="1" applyBorder="1"/>
    <xf numFmtId="0" fontId="116" fillId="30" borderId="179" xfId="0" applyFont="1" applyFill="1" applyBorder="1"/>
    <xf numFmtId="37" fontId="115" fillId="30" borderId="180" xfId="0" applyNumberFormat="1" applyFont="1" applyFill="1" applyBorder="1"/>
    <xf numFmtId="0" fontId="117" fillId="29" borderId="0" xfId="0" applyFont="1" applyFill="1"/>
    <xf numFmtId="37" fontId="117" fillId="29" borderId="0" xfId="0" applyNumberFormat="1" applyFont="1" applyFill="1"/>
    <xf numFmtId="0" fontId="118" fillId="29" borderId="0" xfId="0" applyFont="1" applyFill="1"/>
    <xf numFmtId="0" fontId="119" fillId="29" borderId="0" xfId="0" applyFont="1" applyFill="1"/>
    <xf numFmtId="0" fontId="116" fillId="29" borderId="154" xfId="0" applyFont="1" applyFill="1" applyBorder="1" applyAlignment="1">
      <alignment horizontal="center"/>
    </xf>
    <xf numFmtId="0" fontId="116" fillId="29" borderId="155" xfId="0" applyFont="1" applyFill="1" applyBorder="1" applyAlignment="1">
      <alignment horizontal="center"/>
    </xf>
    <xf numFmtId="3" fontId="116" fillId="29" borderId="158" xfId="0" applyNumberFormat="1" applyFont="1" applyFill="1" applyBorder="1" applyAlignment="1" applyProtection="1">
      <alignment horizontal="center"/>
      <protection locked="0"/>
    </xf>
    <xf numFmtId="3" fontId="116" fillId="29" borderId="156" xfId="0" applyNumberFormat="1" applyFont="1" applyFill="1" applyBorder="1"/>
    <xf numFmtId="3" fontId="116" fillId="29" borderId="157" xfId="0" applyNumberFormat="1" applyFont="1" applyFill="1" applyBorder="1"/>
    <xf numFmtId="3" fontId="116" fillId="29" borderId="158" xfId="0" applyNumberFormat="1" applyFont="1" applyFill="1" applyBorder="1"/>
    <xf numFmtId="0" fontId="115" fillId="29" borderId="154" xfId="0" applyFont="1" applyFill="1" applyBorder="1"/>
    <xf numFmtId="0" fontId="115" fillId="29" borderId="0" xfId="0" applyFont="1" applyFill="1"/>
    <xf numFmtId="0" fontId="115" fillId="29" borderId="155" xfId="0" applyFont="1" applyFill="1" applyBorder="1"/>
    <xf numFmtId="0" fontId="116" fillId="29" borderId="154" xfId="0" applyFont="1" applyFill="1" applyBorder="1" applyAlignment="1">
      <alignment horizontal="right"/>
    </xf>
    <xf numFmtId="176" fontId="116" fillId="29" borderId="0" xfId="0" applyNumberFormat="1" applyFont="1" applyFill="1"/>
    <xf numFmtId="0" fontId="115" fillId="30" borderId="181" xfId="0" applyFont="1" applyFill="1" applyBorder="1" applyAlignment="1">
      <alignment horizontal="center"/>
    </xf>
    <xf numFmtId="176" fontId="115" fillId="30" borderId="182" xfId="0" applyNumberFormat="1" applyFont="1" applyFill="1" applyBorder="1"/>
    <xf numFmtId="0" fontId="115" fillId="30" borderId="178" xfId="0" applyFont="1" applyFill="1" applyBorder="1"/>
    <xf numFmtId="0" fontId="115" fillId="30" borderId="179" xfId="0" applyFont="1" applyFill="1" applyBorder="1"/>
    <xf numFmtId="37" fontId="118" fillId="29" borderId="0" xfId="0" applyNumberFormat="1" applyFont="1" applyFill="1"/>
    <xf numFmtId="37" fontId="116" fillId="29" borderId="154" xfId="0" applyNumberFormat="1" applyFont="1" applyFill="1" applyBorder="1"/>
    <xf numFmtId="37" fontId="116" fillId="29" borderId="154" xfId="0" applyNumberFormat="1" applyFont="1" applyFill="1" applyBorder="1" applyProtection="1">
      <protection locked="0"/>
    </xf>
    <xf numFmtId="37" fontId="116" fillId="29" borderId="0" xfId="0" applyNumberFormat="1" applyFont="1" applyFill="1" applyProtection="1">
      <protection locked="0"/>
    </xf>
    <xf numFmtId="176" fontId="116" fillId="29" borderId="155" xfId="0" applyNumberFormat="1" applyFont="1" applyFill="1" applyBorder="1"/>
    <xf numFmtId="37" fontId="116" fillId="29" borderId="156" xfId="0" applyNumberFormat="1" applyFont="1" applyFill="1" applyBorder="1"/>
    <xf numFmtId="2" fontId="116" fillId="29" borderId="157" xfId="0" applyNumberFormat="1" applyFont="1" applyFill="1" applyBorder="1"/>
    <xf numFmtId="176" fontId="116" fillId="29" borderId="158" xfId="0" applyNumberFormat="1" applyFont="1" applyFill="1" applyBorder="1"/>
    <xf numFmtId="37" fontId="116" fillId="29" borderId="159" xfId="0" applyNumberFormat="1" applyFont="1" applyFill="1" applyBorder="1"/>
    <xf numFmtId="37" fontId="116" fillId="29" borderId="160" xfId="0" applyNumberFormat="1" applyFont="1" applyFill="1" applyBorder="1"/>
    <xf numFmtId="37" fontId="116" fillId="29" borderId="159" xfId="0" applyNumberFormat="1" applyFont="1" applyFill="1" applyBorder="1" applyProtection="1">
      <protection locked="0"/>
    </xf>
    <xf numFmtId="37" fontId="116" fillId="29" borderId="160" xfId="0" applyNumberFormat="1" applyFont="1" applyFill="1" applyBorder="1" applyProtection="1">
      <protection locked="0"/>
    </xf>
    <xf numFmtId="175" fontId="116" fillId="29" borderId="0" xfId="0" applyNumberFormat="1" applyFont="1" applyFill="1"/>
    <xf numFmtId="177" fontId="116" fillId="29" borderId="0" xfId="0" applyNumberFormat="1" applyFont="1" applyFill="1"/>
    <xf numFmtId="37" fontId="115" fillId="29" borderId="154" xfId="0" applyNumberFormat="1" applyFont="1" applyFill="1" applyBorder="1"/>
    <xf numFmtId="175" fontId="115" fillId="29" borderId="0" xfId="0" applyNumberFormat="1" applyFont="1" applyFill="1"/>
    <xf numFmtId="37" fontId="115" fillId="29" borderId="156" xfId="0" applyNumberFormat="1" applyFont="1" applyFill="1" applyBorder="1"/>
    <xf numFmtId="177" fontId="116" fillId="29" borderId="157" xfId="0" applyNumberFormat="1" applyFont="1" applyFill="1" applyBorder="1"/>
    <xf numFmtId="37" fontId="115" fillId="31" borderId="165" xfId="0" applyNumberFormat="1" applyFont="1" applyFill="1" applyBorder="1"/>
    <xf numFmtId="37" fontId="115" fillId="31" borderId="166" xfId="0" applyNumberFormat="1" applyFont="1" applyFill="1" applyBorder="1"/>
    <xf numFmtId="37" fontId="115" fillId="31" borderId="167" xfId="0" applyNumberFormat="1" applyFont="1" applyFill="1" applyBorder="1"/>
    <xf numFmtId="37" fontId="115" fillId="31" borderId="156" xfId="0" applyNumberFormat="1" applyFont="1" applyFill="1" applyBorder="1"/>
    <xf numFmtId="39" fontId="115" fillId="31" borderId="157" xfId="0" applyNumberFormat="1" applyFont="1" applyFill="1" applyBorder="1"/>
    <xf numFmtId="176" fontId="115" fillId="29" borderId="155" xfId="0" applyNumberFormat="1" applyFont="1" applyFill="1" applyBorder="1"/>
    <xf numFmtId="37" fontId="116" fillId="29" borderId="183" xfId="0" applyNumberFormat="1" applyFont="1" applyFill="1" applyBorder="1"/>
    <xf numFmtId="175" fontId="116" fillId="29" borderId="0" xfId="0" applyNumberFormat="1" applyFont="1" applyFill="1" applyProtection="1">
      <protection locked="0"/>
    </xf>
    <xf numFmtId="175" fontId="116" fillId="29" borderId="160" xfId="0" applyNumberFormat="1" applyFont="1" applyFill="1" applyBorder="1"/>
    <xf numFmtId="175" fontId="116" fillId="29" borderId="160" xfId="0" applyNumberFormat="1" applyFont="1" applyFill="1" applyBorder="1" applyProtection="1">
      <protection locked="0"/>
    </xf>
    <xf numFmtId="175" fontId="116" fillId="29" borderId="157" xfId="0" applyNumberFormat="1" applyFont="1" applyFill="1" applyBorder="1"/>
    <xf numFmtId="37" fontId="115" fillId="31" borderId="159" xfId="0" applyNumberFormat="1" applyFont="1" applyFill="1" applyBorder="1"/>
    <xf numFmtId="175" fontId="115" fillId="31" borderId="160" xfId="0" applyNumberFormat="1" applyFont="1" applyFill="1" applyBorder="1"/>
    <xf numFmtId="37" fontId="115" fillId="31" borderId="161" xfId="0" applyNumberFormat="1" applyFont="1" applyFill="1" applyBorder="1"/>
    <xf numFmtId="37" fontId="115" fillId="30" borderId="166" xfId="0" applyNumberFormat="1" applyFont="1" applyFill="1" applyBorder="1"/>
    <xf numFmtId="176" fontId="115" fillId="30" borderId="170" xfId="0" applyNumberFormat="1" applyFont="1" applyFill="1" applyBorder="1"/>
    <xf numFmtId="176" fontId="115" fillId="31" borderId="155" xfId="0" applyNumberFormat="1" applyFont="1" applyFill="1" applyBorder="1"/>
    <xf numFmtId="37" fontId="115" fillId="29" borderId="159" xfId="0" applyNumberFormat="1" applyFont="1" applyFill="1" applyBorder="1"/>
    <xf numFmtId="176" fontId="115" fillId="29" borderId="160" xfId="0" applyNumberFormat="1" applyFont="1" applyFill="1" applyBorder="1"/>
    <xf numFmtId="37" fontId="115" fillId="29" borderId="161" xfId="0" applyNumberFormat="1" applyFont="1" applyFill="1" applyBorder="1"/>
    <xf numFmtId="0" fontId="116" fillId="29" borderId="158" xfId="0" applyFont="1" applyFill="1" applyBorder="1"/>
    <xf numFmtId="176" fontId="116" fillId="29" borderId="0" xfId="2" applyNumberFormat="1" applyFont="1" applyFill="1"/>
    <xf numFmtId="37" fontId="116" fillId="29" borderId="162" xfId="0" applyNumberFormat="1" applyFont="1" applyFill="1" applyBorder="1"/>
    <xf numFmtId="176" fontId="116" fillId="29" borderId="163" xfId="0" applyNumberFormat="1" applyFont="1" applyFill="1" applyBorder="1"/>
    <xf numFmtId="37" fontId="116" fillId="29" borderId="162" xfId="0" applyNumberFormat="1" applyFont="1" applyFill="1" applyBorder="1" applyProtection="1">
      <protection locked="0"/>
    </xf>
    <xf numFmtId="176" fontId="115" fillId="30" borderId="166" xfId="0" applyNumberFormat="1" applyFont="1" applyFill="1" applyBorder="1"/>
    <xf numFmtId="37" fontId="115" fillId="30" borderId="184" xfId="0" applyNumberFormat="1" applyFont="1" applyFill="1" applyBorder="1"/>
    <xf numFmtId="175" fontId="115" fillId="30" borderId="185" xfId="0" applyNumberFormat="1" applyFont="1" applyFill="1" applyBorder="1"/>
    <xf numFmtId="37" fontId="115" fillId="30" borderId="186" xfId="0" applyNumberFormat="1" applyFont="1" applyFill="1" applyBorder="1"/>
    <xf numFmtId="37" fontId="115" fillId="31" borderId="154" xfId="0" applyNumberFormat="1" applyFont="1" applyFill="1" applyBorder="1"/>
    <xf numFmtId="175" fontId="115" fillId="31" borderId="0" xfId="0" applyNumberFormat="1" applyFont="1" applyFill="1"/>
    <xf numFmtId="37" fontId="115" fillId="29" borderId="0" xfId="0" applyNumberFormat="1" applyFont="1" applyFill="1"/>
    <xf numFmtId="0" fontId="116" fillId="30" borderId="187" xfId="0" applyFont="1" applyFill="1" applyBorder="1"/>
    <xf numFmtId="0" fontId="116" fillId="30" borderId="188" xfId="0" applyFont="1" applyFill="1" applyBorder="1"/>
    <xf numFmtId="37" fontId="115" fillId="30" borderId="189" xfId="0" applyNumberFormat="1" applyFont="1" applyFill="1" applyBorder="1"/>
    <xf numFmtId="37" fontId="119" fillId="29" borderId="0" xfId="0" applyNumberFormat="1" applyFont="1" applyFill="1"/>
    <xf numFmtId="0" fontId="118" fillId="29" borderId="0" xfId="0" applyFont="1" applyFill="1" applyAlignment="1">
      <alignment horizontal="center"/>
    </xf>
    <xf numFmtId="0" fontId="118" fillId="29" borderId="169" xfId="0" applyFont="1" applyFill="1" applyBorder="1" applyAlignment="1">
      <alignment horizontal="center"/>
    </xf>
    <xf numFmtId="37" fontId="118" fillId="29" borderId="169" xfId="0" applyNumberFormat="1" applyFont="1" applyFill="1" applyBorder="1" applyAlignment="1">
      <alignment horizontal="center"/>
    </xf>
    <xf numFmtId="0" fontId="116" fillId="29" borderId="190" xfId="0" applyFont="1" applyFill="1" applyBorder="1" applyAlignment="1">
      <alignment horizontal="center"/>
    </xf>
    <xf numFmtId="0" fontId="116" fillId="29" borderId="157" xfId="0" applyFont="1" applyFill="1" applyBorder="1" applyAlignment="1">
      <alignment horizontal="center"/>
    </xf>
    <xf numFmtId="0" fontId="116" fillId="29" borderId="191" xfId="0" applyFont="1" applyFill="1" applyBorder="1" applyAlignment="1">
      <alignment horizontal="center"/>
    </xf>
    <xf numFmtId="37" fontId="120" fillId="29" borderId="190" xfId="0" applyNumberFormat="1" applyFont="1" applyFill="1" applyBorder="1"/>
    <xf numFmtId="37" fontId="120" fillId="29" borderId="157" xfId="0" applyNumberFormat="1" applyFont="1" applyFill="1" applyBorder="1"/>
    <xf numFmtId="37" fontId="120" fillId="29" borderId="191" xfId="0" applyNumberFormat="1" applyFont="1" applyFill="1" applyBorder="1"/>
    <xf numFmtId="37" fontId="121" fillId="30" borderId="190" xfId="0" applyNumberFormat="1" applyFont="1" applyFill="1" applyBorder="1"/>
    <xf numFmtId="37" fontId="121" fillId="30" borderId="157" xfId="0" applyNumberFormat="1" applyFont="1" applyFill="1" applyBorder="1"/>
    <xf numFmtId="37" fontId="121" fillId="30" borderId="191" xfId="0" applyNumberFormat="1" applyFont="1" applyFill="1" applyBorder="1"/>
    <xf numFmtId="37" fontId="120" fillId="29" borderId="192" xfId="0" applyNumberFormat="1" applyFont="1" applyFill="1" applyBorder="1"/>
    <xf numFmtId="0" fontId="120" fillId="29" borderId="0" xfId="0" applyFont="1" applyFill="1"/>
    <xf numFmtId="37" fontId="120" fillId="29" borderId="193" xfId="0" applyNumberFormat="1" applyFont="1" applyFill="1" applyBorder="1"/>
    <xf numFmtId="176" fontId="120" fillId="29" borderId="192" xfId="2" applyNumberFormat="1" applyFont="1" applyFill="1" applyBorder="1"/>
    <xf numFmtId="175" fontId="120" fillId="29" borderId="0" xfId="0" applyNumberFormat="1" applyFont="1" applyFill="1"/>
    <xf numFmtId="0" fontId="120" fillId="29" borderId="192" xfId="0" applyFont="1" applyFill="1" applyBorder="1"/>
    <xf numFmtId="176" fontId="120" fillId="29" borderId="190" xfId="2" applyNumberFormat="1" applyFont="1" applyFill="1" applyBorder="1"/>
    <xf numFmtId="175" fontId="120" fillId="29" borderId="157" xfId="0" applyNumberFormat="1" applyFont="1" applyFill="1" applyBorder="1"/>
    <xf numFmtId="0" fontId="120" fillId="29" borderId="190" xfId="0" applyFont="1" applyFill="1" applyBorder="1"/>
    <xf numFmtId="176" fontId="121" fillId="30" borderId="194" xfId="0" applyNumberFormat="1" applyFont="1" applyFill="1" applyBorder="1"/>
    <xf numFmtId="173" fontId="121" fillId="30" borderId="172" xfId="1" applyNumberFormat="1" applyFont="1" applyFill="1" applyBorder="1"/>
    <xf numFmtId="37" fontId="121" fillId="30" borderId="195" xfId="0" applyNumberFormat="1" applyFont="1" applyFill="1" applyBorder="1"/>
    <xf numFmtId="0" fontId="121" fillId="30" borderId="172" xfId="0" applyFont="1" applyFill="1" applyBorder="1"/>
    <xf numFmtId="37" fontId="120" fillId="29" borderId="193" xfId="0" applyNumberFormat="1" applyFont="1" applyFill="1" applyBorder="1" applyProtection="1">
      <protection locked="0"/>
    </xf>
    <xf numFmtId="176" fontId="120" fillId="29" borderId="157" xfId="2" applyNumberFormat="1" applyFont="1" applyFill="1" applyBorder="1"/>
    <xf numFmtId="176" fontId="120" fillId="29" borderId="0" xfId="2" applyNumberFormat="1" applyFont="1" applyFill="1"/>
    <xf numFmtId="175" fontId="121" fillId="30" borderId="172" xfId="0" applyNumberFormat="1" applyFont="1" applyFill="1" applyBorder="1"/>
    <xf numFmtId="0" fontId="120" fillId="29" borderId="196" xfId="0" applyFont="1" applyFill="1" applyBorder="1"/>
    <xf numFmtId="175" fontId="120" fillId="29" borderId="160" xfId="0" applyNumberFormat="1" applyFont="1" applyFill="1" applyBorder="1"/>
    <xf numFmtId="37" fontId="120" fillId="29" borderId="197" xfId="0" applyNumberFormat="1" applyFont="1" applyFill="1" applyBorder="1"/>
    <xf numFmtId="0" fontId="120" fillId="29" borderId="198" xfId="0" applyFont="1" applyFill="1" applyBorder="1"/>
    <xf numFmtId="175" fontId="120" fillId="29" borderId="163" xfId="0" applyNumberFormat="1" applyFont="1" applyFill="1" applyBorder="1"/>
    <xf numFmtId="37" fontId="120" fillId="29" borderId="199" xfId="0" applyNumberFormat="1" applyFont="1" applyFill="1" applyBorder="1"/>
    <xf numFmtId="0" fontId="120" fillId="29" borderId="200" xfId="0" applyFont="1" applyFill="1" applyBorder="1"/>
    <xf numFmtId="175" fontId="120" fillId="29" borderId="201" xfId="0" applyNumberFormat="1" applyFont="1" applyFill="1" applyBorder="1"/>
    <xf numFmtId="37" fontId="120" fillId="29" borderId="191" xfId="0" applyNumberFormat="1" applyFont="1" applyFill="1" applyBorder="1" applyProtection="1">
      <protection locked="0"/>
    </xf>
    <xf numFmtId="0" fontId="122" fillId="29" borderId="192" xfId="0" applyFont="1" applyFill="1" applyBorder="1"/>
    <xf numFmtId="0" fontId="122" fillId="29" borderId="0" xfId="0" applyFont="1" applyFill="1"/>
    <xf numFmtId="37" fontId="122" fillId="29" borderId="193" xfId="0" applyNumberFormat="1" applyFont="1" applyFill="1" applyBorder="1"/>
    <xf numFmtId="176" fontId="121" fillId="29" borderId="196" xfId="0" applyNumberFormat="1" applyFont="1" applyFill="1" applyBorder="1"/>
    <xf numFmtId="0" fontId="121" fillId="29" borderId="160" xfId="0" applyFont="1" applyFill="1" applyBorder="1"/>
    <xf numFmtId="37" fontId="120" fillId="31" borderId="197" xfId="0" applyNumberFormat="1" applyFont="1" applyFill="1" applyBorder="1"/>
    <xf numFmtId="176" fontId="121" fillId="29" borderId="192" xfId="0" applyNumberFormat="1" applyFont="1" applyFill="1" applyBorder="1"/>
    <xf numFmtId="0" fontId="121" fillId="29" borderId="0" xfId="0" applyFont="1" applyFill="1"/>
    <xf numFmtId="176" fontId="121" fillId="29" borderId="190" xfId="0" applyNumberFormat="1" applyFont="1" applyFill="1" applyBorder="1"/>
    <xf numFmtId="0" fontId="120" fillId="30" borderId="172" xfId="0" applyFont="1" applyFill="1" applyBorder="1"/>
    <xf numFmtId="0" fontId="123" fillId="31" borderId="196" xfId="0" applyFont="1" applyFill="1" applyBorder="1"/>
    <xf numFmtId="0" fontId="122" fillId="31" borderId="160" xfId="0" applyFont="1" applyFill="1" applyBorder="1"/>
    <xf numFmtId="37" fontId="122" fillId="31" borderId="197" xfId="0" applyNumberFormat="1" applyFont="1" applyFill="1" applyBorder="1"/>
    <xf numFmtId="0" fontId="121" fillId="30" borderId="202" xfId="0" applyFont="1" applyFill="1" applyBorder="1" applyAlignment="1">
      <alignment horizontal="center"/>
    </xf>
    <xf numFmtId="176" fontId="121" fillId="30" borderId="203" xfId="0" applyNumberFormat="1" applyFont="1" applyFill="1" applyBorder="1"/>
    <xf numFmtId="37" fontId="121" fillId="30" borderId="204" xfId="0" applyNumberFormat="1" applyFont="1" applyFill="1" applyBorder="1"/>
    <xf numFmtId="0" fontId="121" fillId="30" borderId="205" xfId="0" applyFont="1" applyFill="1" applyBorder="1" applyAlignment="1">
      <alignment horizontal="center"/>
    </xf>
    <xf numFmtId="176" fontId="121" fillId="30" borderId="188" xfId="0" applyNumberFormat="1" applyFont="1" applyFill="1" applyBorder="1"/>
    <xf numFmtId="37" fontId="121" fillId="30" borderId="206" xfId="0" applyNumberFormat="1" applyFont="1" applyFill="1" applyBorder="1"/>
    <xf numFmtId="39" fontId="120" fillId="29" borderId="0" xfId="0" applyNumberFormat="1" applyFont="1" applyFill="1"/>
    <xf numFmtId="0" fontId="121" fillId="30" borderId="207" xfId="0" applyFont="1" applyFill="1" applyBorder="1" applyAlignment="1">
      <alignment horizontal="center"/>
    </xf>
    <xf numFmtId="176" fontId="121" fillId="30" borderId="207" xfId="0" applyNumberFormat="1" applyFont="1" applyFill="1" applyBorder="1"/>
    <xf numFmtId="37" fontId="121" fillId="30" borderId="207" xfId="0" applyNumberFormat="1" applyFont="1" applyFill="1" applyBorder="1"/>
    <xf numFmtId="0" fontId="121" fillId="30" borderId="208" xfId="0" applyFont="1" applyFill="1" applyBorder="1" applyAlignment="1">
      <alignment horizontal="center"/>
    </xf>
    <xf numFmtId="37" fontId="121" fillId="30" borderId="209" xfId="0" applyNumberFormat="1" applyFont="1" applyFill="1" applyBorder="1"/>
    <xf numFmtId="0" fontId="124" fillId="29" borderId="0" xfId="0" applyFont="1" applyFill="1"/>
    <xf numFmtId="0" fontId="124" fillId="29" borderId="192" xfId="0" applyFont="1" applyFill="1" applyBorder="1"/>
    <xf numFmtId="0" fontId="124" fillId="29" borderId="193" xfId="0" applyFont="1" applyFill="1" applyBorder="1"/>
    <xf numFmtId="37" fontId="120" fillId="29" borderId="0" xfId="0" applyNumberFormat="1" applyFont="1" applyFill="1"/>
    <xf numFmtId="0" fontId="118" fillId="29" borderId="192" xfId="0" applyFont="1" applyFill="1" applyBorder="1"/>
    <xf numFmtId="0" fontId="116" fillId="29" borderId="192" xfId="0" applyFont="1" applyFill="1" applyBorder="1"/>
    <xf numFmtId="0" fontId="115" fillId="29" borderId="192" xfId="0" applyFont="1" applyFill="1" applyBorder="1"/>
    <xf numFmtId="0" fontId="121" fillId="30" borderId="210" xfId="0" applyFont="1" applyFill="1" applyBorder="1" applyAlignment="1">
      <alignment horizontal="center"/>
    </xf>
    <xf numFmtId="176" fontId="121" fillId="30" borderId="210" xfId="0" applyNumberFormat="1" applyFont="1" applyFill="1" applyBorder="1"/>
    <xf numFmtId="37" fontId="121" fillId="30" borderId="210" xfId="0" applyNumberFormat="1" applyFont="1" applyFill="1" applyBorder="1"/>
    <xf numFmtId="0" fontId="121" fillId="30" borderId="211" xfId="0" applyFont="1" applyFill="1" applyBorder="1" applyAlignment="1">
      <alignment horizontal="center"/>
    </xf>
    <xf numFmtId="37" fontId="121" fillId="30" borderId="212" xfId="0" applyNumberFormat="1" applyFont="1" applyFill="1" applyBorder="1"/>
    <xf numFmtId="0" fontId="93" fillId="32" borderId="1" xfId="0" applyFont="1" applyFill="1" applyBorder="1"/>
    <xf numFmtId="0" fontId="93" fillId="32" borderId="1" xfId="0" applyFont="1" applyFill="1" applyBorder="1" applyAlignment="1">
      <alignment horizontal="center" vertical="center"/>
    </xf>
    <xf numFmtId="0" fontId="93" fillId="32" borderId="1" xfId="0" applyFont="1" applyFill="1" applyBorder="1" applyAlignment="1">
      <alignment horizontal="right"/>
    </xf>
    <xf numFmtId="176" fontId="65" fillId="3" borderId="13" xfId="2" applyNumberFormat="1" applyFont="1" applyFill="1" applyBorder="1"/>
    <xf numFmtId="3" fontId="72" fillId="0" borderId="95" xfId="0" applyNumberFormat="1" applyFont="1" applyBorder="1"/>
    <xf numFmtId="3" fontId="72" fillId="0" borderId="21" xfId="0" applyNumberFormat="1" applyFont="1" applyBorder="1"/>
    <xf numFmtId="176" fontId="65" fillId="3" borderId="36" xfId="2" applyNumberFormat="1" applyFont="1" applyFill="1" applyBorder="1"/>
    <xf numFmtId="0" fontId="93" fillId="32" borderId="1" xfId="0" applyFont="1" applyFill="1" applyBorder="1" applyAlignment="1">
      <alignment vertical="center"/>
    </xf>
    <xf numFmtId="0" fontId="66" fillId="0" borderId="1" xfId="0" applyFont="1" applyBorder="1" applyAlignment="1">
      <alignment horizontal="right" vertical="center"/>
    </xf>
    <xf numFmtId="0" fontId="66" fillId="0" borderId="1" xfId="0" applyFont="1" applyBorder="1" applyAlignment="1">
      <alignment horizontal="center" vertical="center"/>
    </xf>
    <xf numFmtId="0" fontId="66" fillId="0" borderId="1" xfId="0" applyFont="1" applyBorder="1"/>
    <xf numFmtId="37" fontId="73" fillId="0" borderId="110" xfId="0" applyNumberFormat="1" applyFont="1" applyBorder="1"/>
    <xf numFmtId="0" fontId="66" fillId="0" borderId="1" xfId="0" applyFont="1" applyBorder="1" applyAlignment="1">
      <alignment horizontal="right"/>
    </xf>
    <xf numFmtId="166" fontId="71" fillId="0" borderId="0" xfId="1" applyFont="1"/>
    <xf numFmtId="37" fontId="72" fillId="0" borderId="21" xfId="0" applyNumberFormat="1" applyFont="1" applyBorder="1"/>
    <xf numFmtId="37" fontId="73" fillId="0" borderId="1" xfId="0" applyNumberFormat="1" applyFont="1" applyBorder="1"/>
    <xf numFmtId="0" fontId="61" fillId="0" borderId="213" xfId="0" applyFont="1" applyBorder="1" applyAlignment="1">
      <alignment horizontal="center" vertical="center"/>
    </xf>
    <xf numFmtId="0" fontId="62" fillId="0" borderId="215" xfId="0" applyFont="1" applyBorder="1" applyAlignment="1">
      <alignment horizontal="center" vertical="center"/>
    </xf>
    <xf numFmtId="170" fontId="61" fillId="0" borderId="216" xfId="0" applyNumberFormat="1" applyFont="1" applyBorder="1" applyAlignment="1">
      <alignment horizontal="center" vertical="center"/>
    </xf>
    <xf numFmtId="170" fontId="62" fillId="0" borderId="216" xfId="0" applyNumberFormat="1" applyFont="1" applyBorder="1" applyAlignment="1">
      <alignment horizontal="center" vertical="center"/>
    </xf>
    <xf numFmtId="0" fontId="62" fillId="0" borderId="217" xfId="0" applyFont="1" applyBorder="1" applyAlignment="1">
      <alignment horizontal="center" vertical="center"/>
    </xf>
    <xf numFmtId="170" fontId="62" fillId="0" borderId="218" xfId="0" applyNumberFormat="1" applyFont="1" applyBorder="1" applyAlignment="1">
      <alignment horizontal="center" vertical="center"/>
    </xf>
    <xf numFmtId="0" fontId="115" fillId="29" borderId="151" xfId="0" applyFont="1" applyFill="1" applyBorder="1" applyAlignment="1">
      <alignment horizontal="center"/>
    </xf>
    <xf numFmtId="0" fontId="115" fillId="29" borderId="152" xfId="0" applyFont="1" applyFill="1" applyBorder="1" applyAlignment="1">
      <alignment horizontal="center"/>
    </xf>
    <xf numFmtId="0" fontId="115" fillId="29" borderId="153" xfId="0" applyFont="1" applyFill="1" applyBorder="1" applyAlignment="1">
      <alignment horizontal="center"/>
    </xf>
    <xf numFmtId="0" fontId="66" fillId="0" borderId="14" xfId="0" applyFont="1" applyBorder="1" applyAlignment="1">
      <alignment horizontal="center"/>
    </xf>
    <xf numFmtId="0" fontId="69" fillId="0" borderId="14" xfId="0" applyFont="1" applyBorder="1"/>
    <xf numFmtId="170" fontId="61" fillId="0" borderId="1" xfId="0" applyNumberFormat="1" applyFont="1" applyBorder="1" applyAlignment="1">
      <alignment horizontal="center" vertical="center"/>
    </xf>
    <xf numFmtId="170" fontId="62" fillId="0" borderId="1" xfId="0" applyNumberFormat="1" applyFont="1" applyBorder="1" applyAlignment="1">
      <alignment horizontal="center" vertical="center"/>
    </xf>
    <xf numFmtId="0" fontId="89" fillId="0" borderId="219" xfId="0" applyFont="1" applyBorder="1" applyAlignment="1">
      <alignment horizontal="center" vertical="center"/>
    </xf>
    <xf numFmtId="0" fontId="86" fillId="0" borderId="214" xfId="0" applyFont="1" applyBorder="1" applyAlignment="1">
      <alignment horizontal="center" vertical="center"/>
    </xf>
    <xf numFmtId="170" fontId="62" fillId="0" borderId="220" xfId="0" applyNumberFormat="1" applyFont="1" applyBorder="1" applyAlignment="1">
      <alignment horizontal="center" vertical="center"/>
    </xf>
    <xf numFmtId="176" fontId="75" fillId="0" borderId="8" xfId="0" applyNumberFormat="1" applyFont="1" applyBorder="1" applyAlignment="1">
      <alignment vertical="center"/>
    </xf>
    <xf numFmtId="176" fontId="75" fillId="0" borderId="9" xfId="0" applyNumberFormat="1" applyFont="1" applyBorder="1" applyAlignment="1">
      <alignment vertical="center"/>
    </xf>
    <xf numFmtId="0" fontId="125" fillId="0" borderId="0" xfId="0" applyFont="1"/>
    <xf numFmtId="0" fontId="125" fillId="0" borderId="0" xfId="0" applyFont="1" applyAlignment="1">
      <alignment horizontal="center"/>
    </xf>
    <xf numFmtId="0" fontId="125" fillId="0" borderId="0" xfId="0" applyFont="1" applyAlignment="1">
      <alignment horizontal="right" vertical="center"/>
    </xf>
    <xf numFmtId="0" fontId="125" fillId="0" borderId="0" xfId="0" applyFont="1" applyAlignment="1">
      <alignment horizontal="center" vertical="center"/>
    </xf>
    <xf numFmtId="0" fontId="125" fillId="0" borderId="0" xfId="0" applyFont="1" applyAlignment="1">
      <alignment horizontal="right"/>
    </xf>
    <xf numFmtId="0" fontId="72" fillId="0" borderId="1" xfId="0" applyFont="1" applyBorder="1"/>
    <xf numFmtId="0" fontId="72" fillId="0" borderId="20" xfId="0" applyFont="1" applyBorder="1"/>
    <xf numFmtId="14" fontId="63" fillId="0" borderId="0" xfId="0" applyNumberFormat="1" applyFont="1" applyAlignment="1">
      <alignment horizontal="left"/>
    </xf>
    <xf numFmtId="0" fontId="62" fillId="0" borderId="213" xfId="0" applyFont="1" applyBorder="1"/>
    <xf numFmtId="0" fontId="88" fillId="0" borderId="219" xfId="0" applyFont="1" applyBorder="1"/>
    <xf numFmtId="0" fontId="62" fillId="0" borderId="214" xfId="0" applyFont="1" applyBorder="1"/>
    <xf numFmtId="0" fontId="61" fillId="0" borderId="215" xfId="0" applyFont="1" applyBorder="1" applyAlignment="1">
      <alignment horizontal="left"/>
    </xf>
    <xf numFmtId="170" fontId="61" fillId="0" borderId="1" xfId="0" applyNumberFormat="1" applyFont="1" applyBorder="1" applyAlignment="1">
      <alignment horizontal="center"/>
    </xf>
    <xf numFmtId="0" fontId="62" fillId="0" borderId="216" xfId="0" applyFont="1" applyBorder="1"/>
    <xf numFmtId="170" fontId="62" fillId="0" borderId="1" xfId="0" applyNumberFormat="1" applyFont="1" applyBorder="1" applyAlignment="1">
      <alignment horizontal="right"/>
    </xf>
    <xf numFmtId="0" fontId="62" fillId="0" borderId="215" xfId="0" applyFont="1" applyBorder="1"/>
    <xf numFmtId="0" fontId="62" fillId="0" borderId="1" xfId="0" applyFont="1" applyBorder="1"/>
    <xf numFmtId="0" fontId="61" fillId="0" borderId="217" xfId="0" applyFont="1" applyBorder="1" applyAlignment="1">
      <alignment horizontal="left"/>
    </xf>
    <xf numFmtId="170" fontId="62" fillId="0" borderId="220" xfId="0" applyNumberFormat="1" applyFont="1" applyBorder="1" applyAlignment="1">
      <alignment horizontal="right"/>
    </xf>
    <xf numFmtId="178" fontId="63" fillId="0" borderId="0" xfId="0" applyNumberFormat="1" applyFont="1"/>
    <xf numFmtId="3" fontId="0" fillId="0" borderId="0" xfId="0" applyNumberFormat="1"/>
    <xf numFmtId="10" fontId="71" fillId="0" borderId="0" xfId="0" applyNumberFormat="1" applyFont="1"/>
    <xf numFmtId="173" fontId="71" fillId="0" borderId="0" xfId="1" applyNumberFormat="1" applyFont="1"/>
    <xf numFmtId="185" fontId="63" fillId="0" borderId="0" xfId="3" applyNumberFormat="1" applyFont="1"/>
    <xf numFmtId="185" fontId="63" fillId="10" borderId="1" xfId="3" applyNumberFormat="1" applyFont="1" applyFill="1" applyBorder="1" applyAlignment="1">
      <alignment horizontal="center" vertical="center"/>
    </xf>
    <xf numFmtId="185" fontId="63" fillId="10" borderId="1" xfId="3" applyNumberFormat="1" applyFont="1" applyFill="1" applyBorder="1" applyAlignment="1">
      <alignment horizontal="center"/>
    </xf>
    <xf numFmtId="17" fontId="71" fillId="0" borderId="0" xfId="0" applyNumberFormat="1" applyFont="1" applyAlignment="1">
      <alignment horizontal="right"/>
    </xf>
    <xf numFmtId="10" fontId="0" fillId="0" borderId="0" xfId="0" applyNumberFormat="1"/>
    <xf numFmtId="10" fontId="62" fillId="0" borderId="216" xfId="0" applyNumberFormat="1" applyFont="1" applyBorder="1" applyAlignment="1">
      <alignment horizontal="center"/>
    </xf>
    <xf numFmtId="0" fontId="72" fillId="33" borderId="0" xfId="0" applyFont="1" applyFill="1"/>
    <xf numFmtId="0" fontId="63" fillId="34" borderId="0" xfId="0" applyFont="1" applyFill="1" applyAlignment="1">
      <alignment horizontal="center"/>
    </xf>
    <xf numFmtId="0" fontId="63" fillId="35" borderId="0" xfId="0" applyFont="1" applyFill="1" applyAlignment="1">
      <alignment horizontal="center"/>
    </xf>
    <xf numFmtId="3" fontId="75" fillId="3" borderId="29" xfId="0" applyNumberFormat="1" applyFont="1" applyFill="1" applyBorder="1" applyAlignment="1">
      <alignment horizontal="right"/>
    </xf>
    <xf numFmtId="1" fontId="72" fillId="0" borderId="14" xfId="0" applyNumberFormat="1" applyFont="1" applyBorder="1"/>
    <xf numFmtId="1" fontId="72" fillId="0" borderId="92" xfId="0" applyNumberFormat="1" applyFont="1" applyBorder="1"/>
    <xf numFmtId="37" fontId="73" fillId="33" borderId="0" xfId="0" applyNumberFormat="1" applyFont="1" applyFill="1"/>
    <xf numFmtId="37" fontId="73" fillId="0" borderId="111" xfId="0" applyNumberFormat="1" applyFont="1" applyBorder="1"/>
    <xf numFmtId="173" fontId="72" fillId="0" borderId="0" xfId="1" applyNumberFormat="1" applyFont="1"/>
    <xf numFmtId="49" fontId="106" fillId="27" borderId="1" xfId="0" applyNumberFormat="1" applyFont="1" applyFill="1" applyBorder="1" applyAlignment="1">
      <alignment horizontal="left" vertical="top"/>
    </xf>
    <xf numFmtId="49" fontId="108" fillId="23" borderId="144" xfId="0" applyNumberFormat="1" applyFont="1" applyFill="1" applyBorder="1" applyAlignment="1">
      <alignment horizontal="left" vertical="top"/>
    </xf>
    <xf numFmtId="49" fontId="111" fillId="23" borderId="143" xfId="0" applyNumberFormat="1" applyFont="1" applyFill="1" applyBorder="1" applyAlignment="1">
      <alignment horizontal="left" vertical="top"/>
    </xf>
    <xf numFmtId="49" fontId="108" fillId="23" borderId="143" xfId="0" quotePrefix="1" applyNumberFormat="1" applyFont="1" applyFill="1" applyBorder="1" applyAlignment="1">
      <alignment horizontal="left" vertical="top"/>
    </xf>
    <xf numFmtId="0" fontId="0" fillId="36" borderId="0" xfId="0" applyFill="1"/>
    <xf numFmtId="166" fontId="63" fillId="36" borderId="0" xfId="0" applyNumberFormat="1" applyFont="1" applyFill="1"/>
    <xf numFmtId="1" fontId="63" fillId="36" borderId="0" xfId="0" applyNumberFormat="1" applyFont="1" applyFill="1" applyAlignment="1">
      <alignment horizontal="center"/>
    </xf>
    <xf numFmtId="49" fontId="57" fillId="0" borderId="1" xfId="10" applyNumberFormat="1" applyAlignment="1">
      <alignment horizontal="left" vertical="center"/>
    </xf>
    <xf numFmtId="166" fontId="57" fillId="0" borderId="1" xfId="1" applyFont="1" applyBorder="1" applyAlignment="1">
      <alignment horizontal="left" vertical="center"/>
    </xf>
    <xf numFmtId="0" fontId="56" fillId="36" borderId="1" xfId="11" applyFill="1"/>
    <xf numFmtId="43" fontId="56" fillId="36" borderId="1" xfId="12" applyFont="1" applyFill="1" applyAlignment="1">
      <alignment horizontal="right" vertical="center"/>
    </xf>
    <xf numFmtId="49" fontId="62" fillId="37" borderId="1" xfId="0" applyNumberFormat="1" applyFont="1" applyFill="1" applyBorder="1" applyAlignment="1">
      <alignment horizontal="left" vertical="center"/>
    </xf>
    <xf numFmtId="0" fontId="62" fillId="37" borderId="1" xfId="0" applyFont="1" applyFill="1" applyBorder="1" applyAlignment="1">
      <alignment horizontal="left" vertical="top"/>
    </xf>
    <xf numFmtId="0" fontId="62" fillId="37" borderId="1" xfId="0" applyFont="1" applyFill="1" applyBorder="1"/>
    <xf numFmtId="182" fontId="62" fillId="37" borderId="1" xfId="0" applyNumberFormat="1" applyFont="1" applyFill="1" applyBorder="1" applyAlignment="1">
      <alignment horizontal="right" vertical="center"/>
    </xf>
    <xf numFmtId="4" fontId="62" fillId="37" borderId="1" xfId="0" applyNumberFormat="1" applyFont="1" applyFill="1" applyBorder="1"/>
    <xf numFmtId="37" fontId="0" fillId="0" borderId="0" xfId="0" applyNumberFormat="1"/>
    <xf numFmtId="49" fontId="62" fillId="10" borderId="143" xfId="0" applyNumberFormat="1" applyFont="1" applyFill="1" applyBorder="1" applyAlignment="1">
      <alignment horizontal="left" vertical="top"/>
    </xf>
    <xf numFmtId="49" fontId="112" fillId="23" borderId="143" xfId="0" applyNumberFormat="1" applyFont="1" applyFill="1" applyBorder="1" applyAlignment="1">
      <alignment horizontal="left" vertical="top"/>
    </xf>
    <xf numFmtId="49" fontId="62" fillId="0" borderId="1" xfId="0" applyNumberFormat="1" applyFont="1" applyBorder="1" applyAlignment="1">
      <alignment horizontal="left" vertical="top"/>
    </xf>
    <xf numFmtId="0" fontId="109" fillId="23" borderId="0" xfId="0" applyFont="1" applyFill="1" applyAlignment="1">
      <alignment horizontal="left" vertical="top"/>
    </xf>
    <xf numFmtId="49" fontId="62" fillId="10" borderId="144" xfId="0" applyNumberFormat="1" applyFont="1" applyFill="1" applyBorder="1" applyAlignment="1">
      <alignment horizontal="left" vertical="top"/>
    </xf>
    <xf numFmtId="3" fontId="65" fillId="0" borderId="0" xfId="0" applyNumberFormat="1" applyFont="1"/>
    <xf numFmtId="49" fontId="109" fillId="23" borderId="145" xfId="0" applyNumberFormat="1" applyFont="1" applyFill="1" applyBorder="1" applyAlignment="1">
      <alignment horizontal="left" vertical="top"/>
    </xf>
    <xf numFmtId="0" fontId="33" fillId="36" borderId="1" xfId="690" applyFill="1"/>
    <xf numFmtId="43" fontId="33" fillId="36" borderId="1" xfId="691" applyFont="1" applyFill="1" applyAlignment="1">
      <alignment horizontal="right" vertical="center"/>
    </xf>
    <xf numFmtId="0" fontId="28" fillId="36" borderId="1" xfId="1397" applyFill="1"/>
    <xf numFmtId="43" fontId="28" fillId="36" borderId="1" xfId="1398" applyFont="1" applyFill="1" applyAlignment="1">
      <alignment horizontal="right" vertical="center"/>
    </xf>
    <xf numFmtId="0" fontId="26" fillId="33" borderId="1" xfId="2755" applyFill="1"/>
    <xf numFmtId="186" fontId="26" fillId="33" borderId="1" xfId="2755" applyNumberFormat="1" applyFill="1" applyAlignment="1">
      <alignment horizontal="right" vertical="center"/>
    </xf>
    <xf numFmtId="187" fontId="26" fillId="33" borderId="1" xfId="2755" applyNumberFormat="1" applyFill="1" applyAlignment="1">
      <alignment horizontal="right" vertical="center"/>
    </xf>
    <xf numFmtId="49" fontId="26" fillId="33" borderId="1" xfId="2755" applyNumberFormat="1" applyFill="1" applyAlignment="1">
      <alignment horizontal="left" vertical="center"/>
    </xf>
    <xf numFmtId="49" fontId="127" fillId="36" borderId="1" xfId="2807" applyNumberFormat="1" applyFont="1" applyFill="1" applyAlignment="1">
      <alignment horizontal="left" vertical="center"/>
    </xf>
    <xf numFmtId="43" fontId="127" fillId="36" borderId="1" xfId="2808" applyFont="1" applyFill="1" applyAlignment="1">
      <alignment horizontal="right" vertical="center"/>
    </xf>
    <xf numFmtId="49" fontId="24" fillId="36" borderId="1" xfId="2807" applyNumberFormat="1" applyFill="1" applyAlignment="1">
      <alignment horizontal="left" vertical="center"/>
    </xf>
    <xf numFmtId="0" fontId="24" fillId="36" borderId="1" xfId="2807" applyFill="1"/>
    <xf numFmtId="43" fontId="24" fillId="36" borderId="1" xfId="2808" applyFont="1" applyFill="1" applyAlignment="1">
      <alignment horizontal="right" vertical="center"/>
    </xf>
    <xf numFmtId="187" fontId="22" fillId="34" borderId="1" xfId="2811" applyNumberFormat="1" applyFill="1" applyAlignment="1">
      <alignment horizontal="right" vertical="center"/>
    </xf>
    <xf numFmtId="0" fontId="22" fillId="0" borderId="1" xfId="2811"/>
    <xf numFmtId="49" fontId="127" fillId="0" borderId="1" xfId="2811" applyNumberFormat="1" applyFont="1" applyAlignment="1">
      <alignment horizontal="left" vertical="center"/>
    </xf>
    <xf numFmtId="49" fontId="22" fillId="0" borderId="1" xfId="2811" applyNumberFormat="1" applyAlignment="1">
      <alignment horizontal="left" vertical="center"/>
    </xf>
    <xf numFmtId="186" fontId="127" fillId="0" borderId="1" xfId="2811" applyNumberFormat="1" applyFont="1" applyAlignment="1">
      <alignment horizontal="right" vertical="center"/>
    </xf>
    <xf numFmtId="186" fontId="22" fillId="0" borderId="1" xfId="2811" applyNumberFormat="1" applyAlignment="1">
      <alignment horizontal="right" vertical="center"/>
    </xf>
    <xf numFmtId="187" fontId="127" fillId="0" borderId="1" xfId="2811" applyNumberFormat="1" applyFont="1" applyAlignment="1">
      <alignment horizontal="right" vertical="center"/>
    </xf>
    <xf numFmtId="187" fontId="22" fillId="0" borderId="1" xfId="2811" applyNumberFormat="1" applyAlignment="1">
      <alignment horizontal="right" vertical="center"/>
    </xf>
    <xf numFmtId="49" fontId="86" fillId="0" borderId="1" xfId="4224" applyNumberFormat="1" applyFont="1" applyAlignment="1">
      <alignment horizontal="center" vertical="center"/>
    </xf>
    <xf numFmtId="187" fontId="22" fillId="34" borderId="1" xfId="5565" applyNumberFormat="1" applyFill="1" applyAlignment="1">
      <alignment horizontal="right" vertical="center"/>
    </xf>
    <xf numFmtId="0" fontId="22" fillId="0" borderId="1" xfId="5565"/>
    <xf numFmtId="49" fontId="127" fillId="0" borderId="1" xfId="5565" applyNumberFormat="1" applyFont="1" applyAlignment="1">
      <alignment horizontal="left" vertical="center"/>
    </xf>
    <xf numFmtId="49" fontId="22" fillId="0" borderId="1" xfId="5565" applyNumberFormat="1" applyAlignment="1">
      <alignment horizontal="left" vertical="center"/>
    </xf>
    <xf numFmtId="186" fontId="127" fillId="0" borderId="1" xfId="5565" applyNumberFormat="1" applyFont="1" applyAlignment="1">
      <alignment horizontal="right" vertical="center"/>
    </xf>
    <xf numFmtId="186" fontId="22" fillId="0" borderId="1" xfId="5565" applyNumberFormat="1" applyAlignment="1">
      <alignment horizontal="right" vertical="center"/>
    </xf>
    <xf numFmtId="187" fontId="127" fillId="0" borderId="1" xfId="5565" applyNumberFormat="1" applyFont="1" applyAlignment="1">
      <alignment horizontal="right" vertical="center"/>
    </xf>
    <xf numFmtId="187" fontId="22" fillId="0" borderId="1" xfId="5565" applyNumberFormat="1" applyAlignment="1">
      <alignment horizontal="right" vertical="center"/>
    </xf>
    <xf numFmtId="49" fontId="86" fillId="0" borderId="1" xfId="5551" applyNumberFormat="1" applyFont="1" applyAlignment="1">
      <alignment horizontal="center" vertical="center"/>
    </xf>
    <xf numFmtId="43" fontId="72" fillId="0" borderId="8" xfId="0" applyNumberFormat="1" applyFont="1" applyBorder="1"/>
    <xf numFmtId="0" fontId="20" fillId="36" borderId="1" xfId="5624" applyFill="1"/>
    <xf numFmtId="43" fontId="71" fillId="0" borderId="0" xfId="0" applyNumberFormat="1" applyFont="1"/>
    <xf numFmtId="166" fontId="76" fillId="0" borderId="0" xfId="1" applyFont="1"/>
    <xf numFmtId="10" fontId="76" fillId="0" borderId="0" xfId="2" applyNumberFormat="1" applyFont="1"/>
    <xf numFmtId="3" fontId="72" fillId="0" borderId="1" xfId="0" applyNumberFormat="1" applyFont="1" applyBorder="1"/>
    <xf numFmtId="3" fontId="72" fillId="0" borderId="20" xfId="0" applyNumberFormat="1" applyFont="1" applyBorder="1"/>
    <xf numFmtId="3" fontId="72" fillId="0" borderId="23" xfId="0" applyNumberFormat="1" applyFont="1" applyBorder="1"/>
    <xf numFmtId="0" fontId="19" fillId="0" borderId="1" xfId="5626"/>
    <xf numFmtId="2" fontId="132" fillId="0" borderId="1" xfId="5626" applyNumberFormat="1" applyFont="1" applyAlignment="1">
      <alignment horizontal="center"/>
    </xf>
    <xf numFmtId="0" fontId="132" fillId="0" borderId="1" xfId="5626" applyFont="1"/>
    <xf numFmtId="2" fontId="19" fillId="0" borderId="1" xfId="5626" applyNumberFormat="1" applyAlignment="1">
      <alignment horizontal="center"/>
    </xf>
    <xf numFmtId="0" fontId="133" fillId="0" borderId="1" xfId="5626" applyFont="1"/>
    <xf numFmtId="2" fontId="130" fillId="38" borderId="221" xfId="5626" applyNumberFormat="1" applyFont="1" applyFill="1" applyBorder="1" applyAlignment="1">
      <alignment horizontal="center"/>
    </xf>
    <xf numFmtId="2" fontId="130" fillId="38" borderId="223" xfId="5626" applyNumberFormat="1" applyFont="1" applyFill="1" applyBorder="1" applyAlignment="1">
      <alignment horizontal="center"/>
    </xf>
    <xf numFmtId="0" fontId="19" fillId="0" borderId="163" xfId="5626" applyBorder="1"/>
    <xf numFmtId="0" fontId="19" fillId="0" borderId="224" xfId="5626" applyBorder="1"/>
    <xf numFmtId="0" fontId="130" fillId="0" borderId="225" xfId="5627" applyFont="1" applyBorder="1"/>
    <xf numFmtId="0" fontId="19" fillId="29" borderId="226" xfId="5626" applyFill="1" applyBorder="1"/>
    <xf numFmtId="37" fontId="130" fillId="0" borderId="221" xfId="5626" applyNumberFormat="1" applyFont="1" applyBorder="1" applyAlignment="1">
      <alignment horizontal="center"/>
    </xf>
    <xf numFmtId="37" fontId="130" fillId="0" borderId="223" xfId="5626" applyNumberFormat="1" applyFont="1" applyBorder="1" applyAlignment="1">
      <alignment horizontal="center"/>
    </xf>
    <xf numFmtId="176" fontId="130" fillId="0" borderId="223" xfId="5628" applyNumberFormat="1" applyFont="1" applyBorder="1" applyAlignment="1">
      <alignment horizontal="center"/>
    </xf>
    <xf numFmtId="0" fontId="131" fillId="0" borderId="1" xfId="5626" applyFont="1"/>
    <xf numFmtId="0" fontId="19" fillId="0" borderId="225" xfId="5626" applyBorder="1"/>
    <xf numFmtId="0" fontId="1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19" fillId="0" borderId="226" xfId="5626" applyBorder="1" applyAlignment="1">
      <alignment horizontal="left"/>
    </xf>
    <xf numFmtId="37" fontId="19" fillId="0" borderId="227" xfId="5626" applyNumberFormat="1" applyBorder="1" applyAlignment="1">
      <alignment horizontal="center"/>
    </xf>
    <xf numFmtId="37" fontId="19"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30" fillId="0" borderId="226" xfId="5626" applyFont="1" applyBorder="1"/>
    <xf numFmtId="37" fontId="130" fillId="0" borderId="227" xfId="5629" applyNumberFormat="1" applyFont="1" applyBorder="1" applyAlignment="1">
      <alignment horizontal="center"/>
    </xf>
    <xf numFmtId="37" fontId="130"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19" fillId="0" borderId="225" xfId="5626" applyBorder="1" applyAlignment="1">
      <alignment horizontal="left"/>
    </xf>
    <xf numFmtId="37" fontId="0" fillId="0" borderId="229" xfId="5629" applyNumberFormat="1" applyFont="1" applyFill="1" applyBorder="1" applyAlignment="1">
      <alignment horizontal="center"/>
    </xf>
    <xf numFmtId="0" fontId="131"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9" fillId="0" borderId="232" xfId="5626" applyBorder="1" applyAlignment="1">
      <alignment horizontal="left"/>
    </xf>
    <xf numFmtId="0" fontId="19" fillId="0" borderId="227" xfId="5626" applyBorder="1"/>
    <xf numFmtId="176" fontId="0" fillId="0" borderId="231" xfId="5628" applyNumberFormat="1" applyFont="1" applyBorder="1" applyAlignment="1">
      <alignment horizontal="center"/>
    </xf>
    <xf numFmtId="2" fontId="19" fillId="0" borderId="231" xfId="5626" applyNumberFormat="1" applyBorder="1" applyAlignment="1">
      <alignment horizontal="center"/>
    </xf>
    <xf numFmtId="0" fontId="19" fillId="0" borderId="1" xfId="5626" applyAlignment="1">
      <alignment horizontal="left"/>
    </xf>
    <xf numFmtId="2" fontId="0" fillId="0" borderId="1" xfId="5629" applyNumberFormat="1" applyFont="1" applyBorder="1" applyAlignment="1">
      <alignment horizontal="center"/>
    </xf>
    <xf numFmtId="37" fontId="130" fillId="0" borderId="230" xfId="5629" applyNumberFormat="1" applyFont="1" applyBorder="1" applyAlignment="1">
      <alignment horizontal="center"/>
    </xf>
    <xf numFmtId="37" fontId="134" fillId="0" borderId="228" xfId="5629" applyNumberFormat="1" applyFont="1" applyBorder="1" applyAlignment="1">
      <alignment horizontal="center"/>
    </xf>
    <xf numFmtId="0" fontId="130" fillId="0" borderId="232" xfId="5626" applyFont="1" applyBorder="1"/>
    <xf numFmtId="37" fontId="130" fillId="0" borderId="231" xfId="5629" applyNumberFormat="1" applyFont="1" applyBorder="1" applyAlignment="1">
      <alignment horizontal="center"/>
    </xf>
    <xf numFmtId="0" fontId="129" fillId="0" borderId="1" xfId="5626" applyFont="1"/>
    <xf numFmtId="0" fontId="19" fillId="29" borderId="233" xfId="5626" applyFill="1" applyBorder="1"/>
    <xf numFmtId="0" fontId="130" fillId="0" borderId="1" xfId="5626" applyFont="1"/>
    <xf numFmtId="0" fontId="19" fillId="0" borderId="1" xfId="5626" applyAlignment="1">
      <alignment horizontal="center"/>
    </xf>
    <xf numFmtId="2" fontId="129" fillId="0" borderId="1" xfId="5626" applyNumberFormat="1" applyFont="1" applyAlignment="1">
      <alignment horizontal="center"/>
    </xf>
    <xf numFmtId="2" fontId="19" fillId="0" borderId="1" xfId="5626" applyNumberFormat="1"/>
    <xf numFmtId="1" fontId="62" fillId="36" borderId="232" xfId="5626" applyNumberFormat="1" applyFont="1" applyFill="1" applyBorder="1" applyAlignment="1">
      <alignment horizontal="left" vertical="top"/>
    </xf>
    <xf numFmtId="188" fontId="19" fillId="33" borderId="1" xfId="5626" applyNumberFormat="1" applyFill="1" applyAlignment="1">
      <alignment horizontal="center"/>
    </xf>
    <xf numFmtId="0" fontId="130" fillId="0" borderId="1" xfId="5626" applyFont="1" applyAlignment="1">
      <alignment horizontal="center" vertical="center"/>
    </xf>
    <xf numFmtId="0" fontId="130" fillId="0" borderId="225" xfId="5626" applyFont="1" applyBorder="1" applyAlignment="1">
      <alignment horizontal="center" vertical="center"/>
    </xf>
    <xf numFmtId="0" fontId="130" fillId="0" borderId="233" xfId="5626" applyFont="1" applyBorder="1" applyAlignment="1">
      <alignment horizontal="center" vertical="center"/>
    </xf>
    <xf numFmtId="0" fontId="130" fillId="0" borderId="233" xfId="5626" applyFont="1" applyBorder="1" applyAlignment="1">
      <alignment horizontal="center" wrapText="1"/>
    </xf>
    <xf numFmtId="0" fontId="19" fillId="0" borderId="1" xfId="5626" applyAlignment="1">
      <alignment horizontal="center" vertical="center"/>
    </xf>
    <xf numFmtId="0" fontId="130" fillId="0" borderId="225" xfId="5626" applyFont="1" applyBorder="1" applyAlignment="1">
      <alignment horizontal="center"/>
    </xf>
    <xf numFmtId="3" fontId="19" fillId="36" borderId="226" xfId="5626" applyNumberFormat="1" applyFill="1" applyBorder="1" applyAlignment="1">
      <alignment horizontal="center"/>
    </xf>
    <xf numFmtId="2" fontId="130" fillId="0" borderId="226" xfId="5626" applyNumberFormat="1" applyFont="1" applyBorder="1" applyAlignment="1">
      <alignment horizontal="center"/>
    </xf>
    <xf numFmtId="0" fontId="130" fillId="0" borderId="226" xfId="5626" applyFont="1" applyBorder="1" applyAlignment="1">
      <alignment horizontal="center"/>
    </xf>
    <xf numFmtId="0" fontId="130" fillId="0" borderId="232" xfId="5626" applyFont="1" applyBorder="1" applyAlignment="1">
      <alignment horizontal="center"/>
    </xf>
    <xf numFmtId="3" fontId="19" fillId="36" borderId="232" xfId="5626" applyNumberFormat="1" applyFill="1" applyBorder="1" applyAlignment="1">
      <alignment horizontal="center"/>
    </xf>
    <xf numFmtId="176" fontId="72" fillId="0" borderId="0" xfId="2" applyNumberFormat="1" applyFont="1"/>
    <xf numFmtId="176" fontId="72" fillId="0" borderId="8" xfId="2" applyNumberFormat="1" applyFont="1" applyBorder="1"/>
    <xf numFmtId="176" fontId="72" fillId="0" borderId="93" xfId="2" applyNumberFormat="1" applyFont="1" applyBorder="1"/>
    <xf numFmtId="176" fontId="65" fillId="3" borderId="35" xfId="2" applyNumberFormat="1" applyFont="1" applyFill="1" applyBorder="1"/>
    <xf numFmtId="176" fontId="73" fillId="0" borderId="71" xfId="2" applyNumberFormat="1" applyFont="1" applyBorder="1"/>
    <xf numFmtId="176" fontId="73" fillId="0" borderId="85" xfId="2" applyNumberFormat="1" applyFont="1" applyBorder="1"/>
    <xf numFmtId="176" fontId="73" fillId="0" borderId="14" xfId="2" applyNumberFormat="1" applyFont="1" applyBorder="1"/>
    <xf numFmtId="176" fontId="73" fillId="0" borderId="0" xfId="2" applyNumberFormat="1" applyFont="1"/>
    <xf numFmtId="37" fontId="128" fillId="0" borderId="0" xfId="0" applyNumberFormat="1" applyFont="1"/>
    <xf numFmtId="188" fontId="19" fillId="0" borderId="1" xfId="5626" applyNumberFormat="1"/>
    <xf numFmtId="186" fontId="14" fillId="36" borderId="1" xfId="5635" applyNumberFormat="1" applyFill="1" applyAlignment="1">
      <alignment horizontal="right" vertical="center"/>
    </xf>
    <xf numFmtId="0" fontId="14" fillId="36" borderId="1" xfId="5635" applyFill="1"/>
    <xf numFmtId="4" fontId="62" fillId="36" borderId="0" xfId="0" applyNumberFormat="1" applyFont="1" applyFill="1" applyAlignment="1">
      <alignment horizontal="center" vertical="top"/>
    </xf>
    <xf numFmtId="10" fontId="62" fillId="0" borderId="218" xfId="0" applyNumberFormat="1" applyFont="1" applyBorder="1" applyAlignment="1">
      <alignment horizontal="center"/>
    </xf>
    <xf numFmtId="49" fontId="136" fillId="23" borderId="143" xfId="11272" applyNumberFormat="1" applyFill="1" applyBorder="1" applyAlignment="1">
      <alignment horizontal="left" vertical="top"/>
    </xf>
    <xf numFmtId="0" fontId="8" fillId="36" borderId="1" xfId="11277" applyFill="1"/>
    <xf numFmtId="186" fontId="8" fillId="36" borderId="1" xfId="11277" applyNumberFormat="1" applyFill="1" applyAlignment="1">
      <alignment horizontal="right" vertical="center"/>
    </xf>
    <xf numFmtId="0" fontId="7" fillId="0" borderId="0" xfId="0" applyFont="1"/>
    <xf numFmtId="9" fontId="72" fillId="0" borderId="0" xfId="2" applyFont="1" applyAlignment="1">
      <alignment horizontal="right"/>
    </xf>
    <xf numFmtId="9" fontId="72" fillId="0" borderId="0" xfId="2" applyFont="1"/>
    <xf numFmtId="9" fontId="72" fillId="0" borderId="8" xfId="2" applyFont="1" applyFill="1" applyBorder="1"/>
    <xf numFmtId="176" fontId="72" fillId="0" borderId="0" xfId="2" applyNumberFormat="1" applyFont="1" applyFill="1"/>
    <xf numFmtId="0" fontId="5" fillId="36" borderId="1" xfId="11279" applyFill="1"/>
    <xf numFmtId="186" fontId="5" fillId="36" borderId="1" xfId="11279" applyNumberFormat="1" applyFill="1" applyAlignment="1">
      <alignment horizontal="right" vertical="center"/>
    </xf>
    <xf numFmtId="0" fontId="4" fillId="0" borderId="1" xfId="11280"/>
    <xf numFmtId="49" fontId="86" fillId="0" borderId="227" xfId="11280" applyNumberFormat="1" applyFont="1" applyBorder="1" applyAlignment="1">
      <alignment horizontal="center" vertical="center"/>
    </xf>
    <xf numFmtId="49" fontId="86" fillId="0" borderId="1" xfId="11280" applyNumberFormat="1" applyFont="1" applyAlignment="1">
      <alignment horizontal="center" vertical="center"/>
    </xf>
    <xf numFmtId="3" fontId="86" fillId="0" borderId="1" xfId="11280" applyNumberFormat="1" applyFont="1" applyAlignment="1">
      <alignment horizontal="center" vertical="center"/>
    </xf>
    <xf numFmtId="49" fontId="86" fillId="0" borderId="224" xfId="11280" applyNumberFormat="1" applyFont="1" applyBorder="1" applyAlignment="1">
      <alignment horizontal="center" vertical="center"/>
    </xf>
    <xf numFmtId="0" fontId="4" fillId="0" borderId="227" xfId="11280" applyBorder="1" applyAlignment="1">
      <alignment horizontal="center"/>
    </xf>
    <xf numFmtId="0" fontId="4" fillId="0" borderId="1" xfId="11280" applyAlignment="1">
      <alignment horizontal="center"/>
    </xf>
    <xf numFmtId="3" fontId="4" fillId="0" borderId="1" xfId="11280" applyNumberFormat="1" applyAlignment="1">
      <alignment horizontal="center"/>
    </xf>
    <xf numFmtId="0" fontId="4" fillId="0" borderId="224" xfId="11280" applyBorder="1" applyAlignment="1">
      <alignment horizontal="center"/>
    </xf>
    <xf numFmtId="43" fontId="3" fillId="36" borderId="1" xfId="5625" applyFont="1" applyFill="1" applyAlignment="1">
      <alignment horizontal="right" vertical="center"/>
    </xf>
    <xf numFmtId="0" fontId="108" fillId="39" borderId="143" xfId="0" applyFont="1" applyFill="1" applyBorder="1" applyAlignment="1">
      <alignment horizontal="left" vertical="top"/>
    </xf>
    <xf numFmtId="0" fontId="109" fillId="39" borderId="143" xfId="0" applyFont="1" applyFill="1" applyBorder="1" applyAlignment="1">
      <alignment horizontal="left" vertical="top"/>
    </xf>
    <xf numFmtId="49" fontId="108" fillId="39" borderId="143" xfId="0" applyNumberFormat="1" applyFont="1" applyFill="1" applyBorder="1" applyAlignment="1">
      <alignment horizontal="left" vertical="top"/>
    </xf>
    <xf numFmtId="37" fontId="72" fillId="36" borderId="5" xfId="0" applyNumberFormat="1" applyFont="1" applyFill="1" applyBorder="1"/>
    <xf numFmtId="173" fontId="73" fillId="0" borderId="73" xfId="0" applyNumberFormat="1" applyFont="1" applyBorder="1"/>
    <xf numFmtId="49" fontId="127" fillId="36" borderId="1" xfId="11282" applyNumberFormat="1" applyFont="1" applyFill="1" applyAlignment="1">
      <alignment horizontal="left" vertical="center"/>
    </xf>
    <xf numFmtId="186" fontId="127" fillId="36" borderId="1" xfId="11282" applyNumberFormat="1" applyFont="1" applyFill="1" applyAlignment="1">
      <alignment horizontal="right" vertical="center"/>
    </xf>
    <xf numFmtId="49" fontId="1" fillId="36" borderId="1" xfId="11282" applyNumberFormat="1" applyFill="1" applyAlignment="1">
      <alignment horizontal="left" vertical="center"/>
    </xf>
    <xf numFmtId="0" fontId="1" fillId="36" borderId="1" xfId="11282" applyFill="1"/>
    <xf numFmtId="186" fontId="1" fillId="36" borderId="1" xfId="11282" applyNumberFormat="1" applyFill="1" applyAlignment="1">
      <alignment horizontal="right" vertical="center"/>
    </xf>
    <xf numFmtId="9" fontId="74" fillId="0" borderId="0" xfId="2" applyFont="1"/>
    <xf numFmtId="0" fontId="3" fillId="0" borderId="1" xfId="11280" applyFont="1" applyAlignment="1">
      <alignment horizontal="center"/>
    </xf>
    <xf numFmtId="0" fontId="3" fillId="0" borderId="224" xfId="11280" applyFont="1" applyBorder="1" applyAlignment="1">
      <alignment horizontal="center"/>
    </xf>
    <xf numFmtId="0" fontId="1" fillId="0" borderId="1" xfId="11280" applyFont="1" applyAlignment="1">
      <alignment horizontal="center"/>
    </xf>
    <xf numFmtId="0" fontId="61" fillId="8" borderId="44" xfId="0" applyFont="1" applyFill="1" applyBorder="1" applyAlignment="1">
      <alignment horizontal="center" vertical="center" wrapText="1"/>
    </xf>
    <xf numFmtId="0" fontId="69" fillId="0" borderId="49" xfId="0" applyFont="1" applyBorder="1"/>
    <xf numFmtId="0" fontId="85" fillId="9" borderId="50" xfId="0" applyFont="1" applyFill="1" applyBorder="1" applyAlignment="1">
      <alignment horizontal="center" vertical="center" wrapText="1"/>
    </xf>
    <xf numFmtId="0" fontId="69" fillId="0" borderId="51" xfId="0" applyFont="1" applyBorder="1"/>
    <xf numFmtId="0" fontId="63" fillId="13" borderId="89" xfId="0" applyFont="1" applyFill="1" applyBorder="1" applyAlignment="1">
      <alignment horizontal="left" vertical="top" wrapText="1"/>
    </xf>
    <xf numFmtId="0" fontId="69" fillId="0" borderId="69" xfId="0" applyFont="1" applyBorder="1"/>
    <xf numFmtId="0" fontId="69" fillId="0" borderId="83" xfId="0" applyFont="1" applyBorder="1"/>
    <xf numFmtId="0" fontId="85" fillId="0" borderId="14" xfId="0" applyFont="1" applyBorder="1" applyAlignment="1">
      <alignment horizontal="center"/>
    </xf>
    <xf numFmtId="0" fontId="69" fillId="0" borderId="14" xfId="0" applyFont="1" applyBorder="1"/>
    <xf numFmtId="0" fontId="65" fillId="0" borderId="17" xfId="0" applyFont="1" applyBorder="1" applyAlignment="1">
      <alignment horizontal="center"/>
    </xf>
    <xf numFmtId="0" fontId="69" fillId="0" borderId="17" xfId="0" applyFont="1" applyBorder="1"/>
    <xf numFmtId="0" fontId="69" fillId="0" borderId="4" xfId="0" applyFont="1" applyBorder="1"/>
    <xf numFmtId="0" fontId="65" fillId="0" borderId="16" xfId="0" applyFont="1" applyBorder="1" applyAlignment="1">
      <alignment horizontal="center"/>
    </xf>
    <xf numFmtId="0" fontId="69" fillId="0" borderId="18" xfId="0" applyFont="1" applyBorder="1"/>
    <xf numFmtId="0" fontId="65" fillId="0" borderId="3" xfId="0" applyFont="1" applyBorder="1" applyAlignment="1">
      <alignment horizontal="center"/>
    </xf>
    <xf numFmtId="0" fontId="65" fillId="0" borderId="104" xfId="0" applyFont="1" applyBorder="1" applyAlignment="1">
      <alignment horizontal="center" vertical="center"/>
    </xf>
    <xf numFmtId="0" fontId="69" fillId="0" borderId="102" xfId="0" applyFont="1" applyBorder="1"/>
    <xf numFmtId="0" fontId="69" fillId="0" borderId="105" xfId="0" applyFont="1" applyBorder="1"/>
    <xf numFmtId="0" fontId="65" fillId="0" borderId="102" xfId="0" applyFont="1" applyBorder="1" applyAlignment="1">
      <alignment horizontal="center" vertical="center"/>
    </xf>
    <xf numFmtId="0" fontId="69" fillId="0" borderId="103" xfId="0" applyFont="1" applyBorder="1"/>
    <xf numFmtId="0" fontId="132" fillId="0" borderId="234" xfId="11280" applyFont="1" applyBorder="1" applyAlignment="1">
      <alignment horizontal="center" wrapText="1"/>
    </xf>
    <xf numFmtId="0" fontId="132" fillId="0" borderId="235" xfId="11280" applyFont="1" applyBorder="1" applyAlignment="1">
      <alignment horizontal="center" wrapText="1"/>
    </xf>
    <xf numFmtId="0" fontId="132" fillId="0" borderId="236" xfId="11280" applyFont="1" applyBorder="1" applyAlignment="1">
      <alignment horizontal="center" wrapText="1"/>
    </xf>
    <xf numFmtId="0" fontId="130" fillId="0" borderId="221" xfId="5626" applyFont="1" applyBorder="1" applyAlignment="1">
      <alignment horizontal="center"/>
    </xf>
    <xf numFmtId="0" fontId="130" fillId="0" borderId="223" xfId="5626" applyFont="1" applyBorder="1" applyAlignment="1">
      <alignment horizontal="center"/>
    </xf>
    <xf numFmtId="0" fontId="132" fillId="0" borderId="1" xfId="5626" applyFont="1" applyAlignment="1">
      <alignment horizontal="left" vertical="center"/>
    </xf>
    <xf numFmtId="2" fontId="130" fillId="38" borderId="221" xfId="5626" applyNumberFormat="1" applyFont="1" applyFill="1" applyBorder="1" applyAlignment="1">
      <alignment horizontal="center"/>
    </xf>
    <xf numFmtId="2" fontId="130" fillId="38" borderId="222" xfId="5626" applyNumberFormat="1" applyFont="1" applyFill="1" applyBorder="1" applyAlignment="1">
      <alignment horizontal="center"/>
    </xf>
    <xf numFmtId="2" fontId="130" fillId="38" borderId="223" xfId="5626" applyNumberFormat="1" applyFont="1" applyFill="1" applyBorder="1" applyAlignment="1">
      <alignment horizontal="center"/>
    </xf>
    <xf numFmtId="2" fontId="130" fillId="38" borderId="221" xfId="5626" applyNumberFormat="1" applyFont="1" applyFill="1" applyBorder="1" applyAlignment="1">
      <alignment horizontal="center" wrapText="1"/>
    </xf>
    <xf numFmtId="2" fontId="130" fillId="38" borderId="222" xfId="5626" applyNumberFormat="1" applyFont="1" applyFill="1" applyBorder="1" applyAlignment="1">
      <alignment horizontal="center" wrapText="1"/>
    </xf>
    <xf numFmtId="2" fontId="130" fillId="38" borderId="223" xfId="5626" applyNumberFormat="1" applyFont="1" applyFill="1" applyBorder="1" applyAlignment="1">
      <alignment horizontal="center" wrapText="1"/>
    </xf>
    <xf numFmtId="0" fontId="130" fillId="0" borderId="1" xfId="5626" applyFont="1" applyAlignment="1">
      <alignment horizontal="center"/>
    </xf>
    <xf numFmtId="0" fontId="61" fillId="0" borderId="127" xfId="0" applyFont="1" applyBorder="1" applyAlignment="1">
      <alignment horizontal="center"/>
    </xf>
    <xf numFmtId="0" fontId="69" fillId="0" borderId="128" xfId="0" applyFont="1" applyBorder="1"/>
    <xf numFmtId="0" fontId="69" fillId="0" borderId="129" xfId="0" applyFont="1" applyBorder="1"/>
    <xf numFmtId="0" fontId="62" fillId="0" borderId="130" xfId="0" applyFont="1" applyBorder="1" applyAlignment="1">
      <alignment horizontal="center"/>
    </xf>
    <xf numFmtId="0" fontId="69" fillId="0" borderId="63" xfId="0" applyFont="1" applyBorder="1"/>
    <xf numFmtId="0" fontId="69" fillId="0" borderId="131" xfId="0" applyFont="1" applyBorder="1"/>
  </cellXfs>
  <cellStyles count="11283">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2" xfId="5627" xr:uid="{20E9F1DB-2D3E-46AC-AD47-2E44A71F58C5}"/>
    <cellStyle name="Normal 62 2" xfId="11263" xr:uid="{96D22385-6A32-43A8-BF00-5C3D51D7C97E}"/>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4.0%</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-4,354</c:v>
                  </c:pt>
                  <c:pt idx="9">
                    <c:v>313</c:v>
                  </c:pt>
                  <c:pt idx="10">
                    <c:v>-6.7%</c:v>
                  </c:pt>
                  <c:pt idx="13">
                    <c:v>0</c:v>
                  </c:pt>
                </c:lvl>
                <c:lvl>
                  <c:pt idx="0">
                    <c:v>-917</c:v>
                  </c:pt>
                  <c:pt idx="2">
                    <c:v>-917</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236019.96</c:v>
                </c:pt>
                <c:pt idx="2">
                  <c:v>-128461.29477760478</c:v>
                </c:pt>
                <c:pt idx="3" formatCode="0.0%">
                  <c:v>-0.35244966124797805</c:v>
                </c:pt>
                <c:pt idx="4" formatCode="General">
                  <c:v>0</c:v>
                </c:pt>
                <c:pt idx="5" formatCode="0.0%">
                  <c:v>5.672079933193333E-2</c:v>
                </c:pt>
                <c:pt idx="6">
                  <c:v>180299.1699999994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25" sqref="E25"/>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12</v>
      </c>
      <c r="C3" s="4">
        <f>+VLOOKUP(B3,$K$3:$L$14,2,0)</f>
        <v>4</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X</v>
      </c>
      <c r="N6" s="4" t="str">
        <f t="shared" si="1"/>
        <v>X</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C24" sqref="C24"/>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Avril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1570613.6700000002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1570613.6700000002</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1903267.8</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386143.73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601016</v>
      </c>
      <c r="C10" s="15"/>
      <c r="D10" s="20" t="s">
        <v>33</v>
      </c>
      <c r="E10" s="21">
        <f>-SUMIFS(BV_Data_An_Cour!$P:$P,BV_Data_An_Cour!$U:$U,$A$1,BV_Data_An_Cour!$V:$V,$D10)</f>
        <v>225405.73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244017.37</v>
      </c>
      <c r="C11" s="15"/>
      <c r="D11" s="20" t="s">
        <v>35</v>
      </c>
      <c r="E11" s="21">
        <f>-SUMIFS(BV_Data_An_Cour!$P:$P,BV_Data_An_Cour!$U:$U,$A$1,BV_Data_An_Cour!$V:$V,$D11)</f>
        <v>-230223.20999999996</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38141.160000000003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29228.720000000001</v>
      </c>
      <c r="C13" s="15"/>
      <c r="D13" s="20" t="s">
        <v>39</v>
      </c>
      <c r="E13" s="21">
        <f>-SUMIFS(BV_Data_An_Cour!$P:$P,BV_Data_An_Cour!$U:$U,$A$1,BV_Data_An_Cour!$V:$V,$D13)</f>
        <v>33050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46289.36</v>
      </c>
      <c r="C14" s="15"/>
      <c r="D14" s="20" t="s">
        <v>41</v>
      </c>
      <c r="E14" s="21">
        <f>-SUMIFS(BV_Data_An_Cour!$P:$P,BV_Data_An_Cour!$U:$U,$A$1,BV_Data_An_Cour!$V:$V,$D14)</f>
        <v>104241.45</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5547.23</v>
      </c>
      <c r="C15" s="15"/>
      <c r="D15" s="20" t="s">
        <v>43</v>
      </c>
      <c r="E15" s="21">
        <f>-SUMIFS(BV_Data_An_Cour!$P:$P,BV_Data_An_Cour!$U:$U,$A$1,BV_Data_An_Cour!$V:$V,$D15)</f>
        <v>604967.77999999991</v>
      </c>
      <c r="F15" s="3"/>
      <c r="G15" s="3"/>
      <c r="H15" s="3"/>
      <c r="I15" s="3"/>
      <c r="J15" s="3"/>
      <c r="K15" s="3"/>
      <c r="L15" s="3"/>
      <c r="M15" s="3"/>
      <c r="N15" s="3"/>
      <c r="O15" s="3"/>
      <c r="P15" s="3"/>
      <c r="Q15" s="3"/>
      <c r="R15" s="3"/>
      <c r="S15" s="3"/>
      <c r="T15" s="3"/>
      <c r="U15" s="3"/>
      <c r="V15" s="3"/>
      <c r="W15" s="3"/>
      <c r="X15" s="3"/>
      <c r="Y15" s="3"/>
    </row>
    <row r="16" spans="1:25" ht="14.4">
      <c r="A16" s="17" t="s">
        <v>44</v>
      </c>
      <c r="B16" s="18">
        <f>+SUM(B8:B15)</f>
        <v>3253651.3700000006</v>
      </c>
      <c r="C16" s="19"/>
      <c r="D16" s="17" t="s">
        <v>45</v>
      </c>
      <c r="E16" s="18">
        <f>+SUM(E10:E15)</f>
        <v>737441.75</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6603791.6800000006</v>
      </c>
      <c r="C18" s="15"/>
      <c r="D18" s="20" t="s">
        <v>47</v>
      </c>
      <c r="E18" s="21">
        <f>-SUMIFS(BV_Data_An_Cour!$P:$P,BV_Data_An_Cour!$U:$U,$A$1,BV_Data_An_Cour!$V:$V,$D18)</f>
        <v>9510585.8499999996</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2675437.87</v>
      </c>
      <c r="C19" s="15"/>
      <c r="D19" s="20" t="s">
        <v>49</v>
      </c>
      <c r="E19" s="21">
        <f>-SUMIFS(BV_Data_An_Cour!$P:$P,BV_Data_An_Cour!$U:$U,$A$1,BV_Data_An_Cour!$V:$V,$D19)</f>
        <v>1161903.97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686479</v>
      </c>
      <c r="C20" s="15"/>
      <c r="D20" s="17" t="s">
        <v>51</v>
      </c>
      <c r="E20" s="18">
        <f>+SUM(E18:E19)</f>
        <v>10672489.82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9965708.5500000007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437444.62</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-319.19999999999908</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11951.17</v>
      </c>
      <c r="C24" s="15"/>
      <c r="D24" s="20" t="s">
        <v>57</v>
      </c>
      <c r="E24" s="21">
        <f>-SUMIFS(BV_Data_An_Cour!$P:$P,BV_Data_An_Cour!$U:$U,$A$1,BV_Data_An_Cour!$V:$V,$D24)</f>
        <v>487103.16000000003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-22753.58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126296.98000000001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924228.58000000007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115494.57</v>
      </c>
      <c r="C30" s="19"/>
      <c r="D30" s="23" t="s">
        <v>63</v>
      </c>
      <c r="E30" s="24">
        <f>+E5+E7+E16+E20+E28</f>
        <v>12334160.15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14905468.160000002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4334085.6999999993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378067.53999999992</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23119.270000000019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19665.210000000006</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4754937.7299999995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12334160.15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4473600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7378681.2400000021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9228537.7300000004</v>
      </c>
      <c r="C53" s="19"/>
      <c r="D53" s="23" t="s">
        <v>89</v>
      </c>
      <c r="E53" s="24">
        <f>SUM(E48:E51)</f>
        <v>11799845.740000002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24134005.890000001</v>
      </c>
      <c r="C56" s="19"/>
      <c r="D56" s="23" t="s">
        <v>91</v>
      </c>
      <c r="E56" s="24">
        <f>+E53+E45</f>
        <v>24134005.890000001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66" zoomScale="80" zoomScaleNormal="80" workbookViewId="0">
      <selection activeCell="AF313" sqref="AF31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"Budget 2024 Mensuel Révisé"&amp;" "&amp;Parametres!$B$1</f>
        <v>Budget 2024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1">
        <v>2024</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32266637.104539726</v>
      </c>
      <c r="F8" s="737"/>
      <c r="G8" s="738"/>
      <c r="H8" s="740">
        <v>1621482.1660572723</v>
      </c>
      <c r="I8" s="737"/>
      <c r="J8" s="738"/>
      <c r="K8" s="740">
        <v>1621482.1660572723</v>
      </c>
      <c r="L8" s="737"/>
      <c r="M8" s="738"/>
      <c r="N8" s="740">
        <v>2270075.0324801812</v>
      </c>
      <c r="O8" s="737"/>
      <c r="P8" s="738"/>
      <c r="Q8" s="740">
        <v>3243094.3321145447</v>
      </c>
      <c r="R8" s="737"/>
      <c r="S8" s="738"/>
      <c r="T8" s="740">
        <v>3729070.9819317264</v>
      </c>
      <c r="U8" s="737"/>
      <c r="V8" s="738"/>
      <c r="W8" s="740">
        <v>2918459.89890309</v>
      </c>
      <c r="X8" s="737"/>
      <c r="Y8" s="738"/>
      <c r="Z8" s="740">
        <v>2594371.4656916359</v>
      </c>
      <c r="AA8" s="737"/>
      <c r="AB8" s="738"/>
      <c r="AC8" s="740">
        <v>2918927.89890309</v>
      </c>
      <c r="AD8" s="737"/>
      <c r="AE8" s="738"/>
      <c r="AF8" s="740">
        <v>2594475.4656916359</v>
      </c>
      <c r="AG8" s="737"/>
      <c r="AH8" s="738"/>
      <c r="AI8" s="740">
        <v>3890933.1985374531</v>
      </c>
      <c r="AJ8" s="737"/>
      <c r="AK8" s="738"/>
      <c r="AL8" s="740">
        <v>3242782.3321145447</v>
      </c>
      <c r="AM8" s="737"/>
      <c r="AN8" s="738"/>
      <c r="AO8" s="740">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120</v>
      </c>
      <c r="D9" s="742">
        <v>2187.1313189070997</v>
      </c>
      <c r="E9" s="743">
        <v>262455.75826885196</v>
      </c>
      <c r="F9" s="744">
        <v>6</v>
      </c>
      <c r="G9" s="742">
        <v>2198.1219285498491</v>
      </c>
      <c r="H9" s="745">
        <v>13188.731571299095</v>
      </c>
      <c r="I9" s="744">
        <v>6</v>
      </c>
      <c r="J9" s="742">
        <v>2198.1219285498491</v>
      </c>
      <c r="K9" s="745">
        <v>13188.731571299095</v>
      </c>
      <c r="L9" s="744">
        <v>8.4</v>
      </c>
      <c r="M9" s="742">
        <v>2198.1219285498491</v>
      </c>
      <c r="N9" s="745">
        <v>18464.224199818735</v>
      </c>
      <c r="O9" s="744">
        <v>12</v>
      </c>
      <c r="P9" s="742">
        <v>2198.1219285498491</v>
      </c>
      <c r="Q9" s="745">
        <v>26377.46314259819</v>
      </c>
      <c r="R9" s="744">
        <v>14</v>
      </c>
      <c r="S9" s="742">
        <v>2166.7201867134227</v>
      </c>
      <c r="T9" s="745">
        <v>30334.082613987917</v>
      </c>
      <c r="U9" s="744">
        <v>10.999999999999998</v>
      </c>
      <c r="V9" s="742">
        <v>2158.1560753034883</v>
      </c>
      <c r="W9" s="745">
        <v>23739.716828338369</v>
      </c>
      <c r="X9" s="744">
        <v>9.6</v>
      </c>
      <c r="Y9" s="742">
        <v>2198.1219285498491</v>
      </c>
      <c r="Z9" s="745">
        <v>21101.970514078552</v>
      </c>
      <c r="AA9" s="744">
        <v>10.999999999999998</v>
      </c>
      <c r="AB9" s="742">
        <v>2158.1560753034883</v>
      </c>
      <c r="AC9" s="745">
        <v>23739.716828338369</v>
      </c>
      <c r="AD9" s="744">
        <v>9.6</v>
      </c>
      <c r="AE9" s="742">
        <v>2198.1219285498491</v>
      </c>
      <c r="AF9" s="745">
        <v>21101.970514078552</v>
      </c>
      <c r="AG9" s="744">
        <v>14.399999999999999</v>
      </c>
      <c r="AH9" s="742">
        <v>2198.1219285498491</v>
      </c>
      <c r="AI9" s="745">
        <v>31652.955771117824</v>
      </c>
      <c r="AJ9" s="744">
        <v>12</v>
      </c>
      <c r="AK9" s="742">
        <v>2198.1219285498491</v>
      </c>
      <c r="AL9" s="745">
        <v>26377.46314259819</v>
      </c>
      <c r="AM9" s="744">
        <v>6</v>
      </c>
      <c r="AN9" s="742">
        <v>2198.1219285498491</v>
      </c>
      <c r="AO9" s="745">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496</v>
      </c>
      <c r="D10" s="742">
        <v>2858.8784302962704</v>
      </c>
      <c r="E10" s="743">
        <v>1418003.7014269501</v>
      </c>
      <c r="F10" s="744">
        <v>25</v>
      </c>
      <c r="G10" s="742">
        <v>2850.2586963355784</v>
      </c>
      <c r="H10" s="745">
        <v>71256.467408389464</v>
      </c>
      <c r="I10" s="744">
        <v>25</v>
      </c>
      <c r="J10" s="742">
        <v>2850.2586963355784</v>
      </c>
      <c r="K10" s="745">
        <v>71256.467408389464</v>
      </c>
      <c r="L10" s="744">
        <v>35.000000000000007</v>
      </c>
      <c r="M10" s="742">
        <v>2850.258696335578</v>
      </c>
      <c r="N10" s="745">
        <v>99759.054371745253</v>
      </c>
      <c r="O10" s="744">
        <v>50</v>
      </c>
      <c r="P10" s="742">
        <v>2850.2586963355784</v>
      </c>
      <c r="Q10" s="745">
        <v>142512.93481677893</v>
      </c>
      <c r="R10" s="744">
        <v>57.04</v>
      </c>
      <c r="S10" s="742">
        <v>2873.2446535640911</v>
      </c>
      <c r="T10" s="745">
        <v>163889.87503929576</v>
      </c>
      <c r="U10" s="744">
        <v>44.64</v>
      </c>
      <c r="V10" s="742">
        <v>2873.2446535640911</v>
      </c>
      <c r="W10" s="745">
        <v>128261.64133510103</v>
      </c>
      <c r="X10" s="744">
        <v>40</v>
      </c>
      <c r="Y10" s="742">
        <v>2850.2586963355784</v>
      </c>
      <c r="Z10" s="745">
        <v>114010.34785342314</v>
      </c>
      <c r="AA10" s="744">
        <v>45</v>
      </c>
      <c r="AB10" s="742">
        <v>2850.2586963355784</v>
      </c>
      <c r="AC10" s="745">
        <v>128261.64133510103</v>
      </c>
      <c r="AD10" s="744">
        <v>40</v>
      </c>
      <c r="AE10" s="742">
        <v>2850.2586963355784</v>
      </c>
      <c r="AF10" s="745">
        <v>114010.34785342314</v>
      </c>
      <c r="AG10" s="744">
        <v>59.519999999999996</v>
      </c>
      <c r="AH10" s="742">
        <v>2873.2446535640911</v>
      </c>
      <c r="AI10" s="745">
        <v>171015.5217801347</v>
      </c>
      <c r="AJ10" s="744">
        <v>49.800000000000004</v>
      </c>
      <c r="AK10" s="742">
        <v>2861.7055184092151</v>
      </c>
      <c r="AL10" s="745">
        <v>142512.93481677893</v>
      </c>
      <c r="AM10" s="744">
        <v>25</v>
      </c>
      <c r="AN10" s="742">
        <v>2850.2586963355784</v>
      </c>
      <c r="AO10" s="745">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616</v>
      </c>
      <c r="D16" s="747">
        <v>2728.0186034022763</v>
      </c>
      <c r="E16" s="748">
        <v>1680459.4596958021</v>
      </c>
      <c r="F16" s="746">
        <v>31</v>
      </c>
      <c r="G16" s="747">
        <v>2724.0386767641471</v>
      </c>
      <c r="H16" s="748">
        <v>84445.198979688561</v>
      </c>
      <c r="I16" s="746">
        <v>31</v>
      </c>
      <c r="J16" s="747">
        <v>2724.0386767641471</v>
      </c>
      <c r="K16" s="748">
        <v>84445.198979688561</v>
      </c>
      <c r="L16" s="746">
        <v>43.400000000000006</v>
      </c>
      <c r="M16" s="747">
        <v>2724.0386767641471</v>
      </c>
      <c r="N16" s="748">
        <v>118223.27857156399</v>
      </c>
      <c r="O16" s="746">
        <v>62</v>
      </c>
      <c r="P16" s="747">
        <v>2724.0386767641471</v>
      </c>
      <c r="Q16" s="748">
        <v>168890.39795937712</v>
      </c>
      <c r="R16" s="746">
        <v>71.039999999999992</v>
      </c>
      <c r="S16" s="747">
        <v>2734.0084129122142</v>
      </c>
      <c r="T16" s="748">
        <v>194223.95765328367</v>
      </c>
      <c r="U16" s="746">
        <v>55.64</v>
      </c>
      <c r="V16" s="747">
        <v>2731.8720014996297</v>
      </c>
      <c r="W16" s="748">
        <v>152001.35816343941</v>
      </c>
      <c r="X16" s="746">
        <v>49.6</v>
      </c>
      <c r="Y16" s="747">
        <v>2724.0386767641471</v>
      </c>
      <c r="Z16" s="748">
        <v>135112.31836750169</v>
      </c>
      <c r="AA16" s="746">
        <v>56</v>
      </c>
      <c r="AB16" s="747">
        <v>2714.3099672042749</v>
      </c>
      <c r="AC16" s="748">
        <v>152001.35816343941</v>
      </c>
      <c r="AD16" s="746">
        <v>49.6</v>
      </c>
      <c r="AE16" s="747">
        <v>2724.0386767641471</v>
      </c>
      <c r="AF16" s="748">
        <v>135112.31836750169</v>
      </c>
      <c r="AG16" s="746">
        <v>73.919999999999987</v>
      </c>
      <c r="AH16" s="747">
        <v>2741.7272396002782</v>
      </c>
      <c r="AI16" s="748">
        <v>202668.47755125252</v>
      </c>
      <c r="AJ16" s="746">
        <v>61.800000000000004</v>
      </c>
      <c r="AK16" s="747">
        <v>2732.8543359122509</v>
      </c>
      <c r="AL16" s="748">
        <v>168890.39795937712</v>
      </c>
      <c r="AM16" s="746">
        <v>31</v>
      </c>
      <c r="AN16" s="747">
        <v>2724.0386767641471</v>
      </c>
      <c r="AO16" s="748">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48.995000000000005</v>
      </c>
      <c r="D18" s="752">
        <v>2522.7033983960591</v>
      </c>
      <c r="E18" s="753">
        <v>123599.85300441494</v>
      </c>
      <c r="F18" s="754">
        <v>2.4500000000000002</v>
      </c>
      <c r="G18" s="752">
        <v>2535.1215876200376</v>
      </c>
      <c r="H18" s="755">
        <v>6211.0478896690929</v>
      </c>
      <c r="I18" s="754">
        <v>2.4500000000000002</v>
      </c>
      <c r="J18" s="752">
        <v>2535.1215876200376</v>
      </c>
      <c r="K18" s="755">
        <v>6211.0478896690929</v>
      </c>
      <c r="L18" s="754">
        <v>3.43</v>
      </c>
      <c r="M18" s="752">
        <v>2535.1215876200381</v>
      </c>
      <c r="N18" s="755">
        <v>8695.4670455367304</v>
      </c>
      <c r="O18" s="754">
        <v>5</v>
      </c>
      <c r="P18" s="752">
        <v>2484.4191558676371</v>
      </c>
      <c r="Q18" s="755">
        <v>12422.095779338186</v>
      </c>
      <c r="R18" s="754">
        <v>5.6350000000000007</v>
      </c>
      <c r="S18" s="752">
        <v>2535.1215876200376</v>
      </c>
      <c r="T18" s="755">
        <v>14285.410146238914</v>
      </c>
      <c r="U18" s="754">
        <v>4.41</v>
      </c>
      <c r="V18" s="752">
        <v>2535.1215876200376</v>
      </c>
      <c r="W18" s="755">
        <v>11179.886201404366</v>
      </c>
      <c r="X18" s="754">
        <v>3.92</v>
      </c>
      <c r="Y18" s="752">
        <v>2535.1215876200381</v>
      </c>
      <c r="Z18" s="755">
        <v>9937.6766234705483</v>
      </c>
      <c r="AA18" s="754">
        <v>4.41</v>
      </c>
      <c r="AB18" s="752">
        <v>2535.1215876200376</v>
      </c>
      <c r="AC18" s="755">
        <v>11179.886201404366</v>
      </c>
      <c r="AD18" s="754">
        <v>4</v>
      </c>
      <c r="AE18" s="752">
        <v>2484.4191558676371</v>
      </c>
      <c r="AF18" s="755">
        <v>9937.6766234705483</v>
      </c>
      <c r="AG18" s="754">
        <v>5.88</v>
      </c>
      <c r="AH18" s="752">
        <v>2535.1215876200376</v>
      </c>
      <c r="AI18" s="755">
        <v>14906.514935205822</v>
      </c>
      <c r="AJ18" s="754">
        <v>4.96</v>
      </c>
      <c r="AK18" s="752">
        <v>2504.4547942214085</v>
      </c>
      <c r="AL18" s="755">
        <v>12422.095779338186</v>
      </c>
      <c r="AM18" s="754">
        <v>2.4500000000000002</v>
      </c>
      <c r="AN18" s="752">
        <v>2535.1215876200376</v>
      </c>
      <c r="AO18" s="755">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44.774999999999999</v>
      </c>
      <c r="D20" s="742">
        <v>2664.4640678584237</v>
      </c>
      <c r="E20" s="743">
        <v>119301.37863836091</v>
      </c>
      <c r="F20" s="744">
        <v>2.25</v>
      </c>
      <c r="G20" s="742">
        <v>2664.4640678584237</v>
      </c>
      <c r="H20" s="745">
        <v>5995.0441526814539</v>
      </c>
      <c r="I20" s="744">
        <v>2.25</v>
      </c>
      <c r="J20" s="742">
        <v>2664.4640678584237</v>
      </c>
      <c r="K20" s="745">
        <v>5995.0441526814539</v>
      </c>
      <c r="L20" s="744">
        <v>3.1500000000000004</v>
      </c>
      <c r="M20" s="742">
        <v>2664.4640678584237</v>
      </c>
      <c r="N20" s="745">
        <v>8393.061813754035</v>
      </c>
      <c r="O20" s="744">
        <v>4.5</v>
      </c>
      <c r="P20" s="742">
        <v>2664.4640678584237</v>
      </c>
      <c r="Q20" s="745">
        <v>11990.088305362908</v>
      </c>
      <c r="R20" s="744">
        <v>5.1749999999999998</v>
      </c>
      <c r="S20" s="742">
        <v>2664.4640678584237</v>
      </c>
      <c r="T20" s="745">
        <v>13788.601551167343</v>
      </c>
      <c r="U20" s="744">
        <v>4.05</v>
      </c>
      <c r="V20" s="742">
        <v>2664.4640678584233</v>
      </c>
      <c r="W20" s="745">
        <v>10791.079474826614</v>
      </c>
      <c r="X20" s="744">
        <v>3.6</v>
      </c>
      <c r="Y20" s="742">
        <v>2664.4640678584233</v>
      </c>
      <c r="Z20" s="745">
        <v>9592.0706442903247</v>
      </c>
      <c r="AA20" s="744">
        <v>4.05</v>
      </c>
      <c r="AB20" s="742">
        <v>2664.4640678584233</v>
      </c>
      <c r="AC20" s="745">
        <v>10791.079474826614</v>
      </c>
      <c r="AD20" s="744">
        <v>3.6</v>
      </c>
      <c r="AE20" s="742">
        <v>2664.4640678584233</v>
      </c>
      <c r="AF20" s="745">
        <v>9592.0706442903247</v>
      </c>
      <c r="AG20" s="744">
        <v>5.3999999999999995</v>
      </c>
      <c r="AH20" s="742">
        <v>2664.4640678584237</v>
      </c>
      <c r="AI20" s="745">
        <v>14388.105966435487</v>
      </c>
      <c r="AJ20" s="744">
        <v>4.5</v>
      </c>
      <c r="AK20" s="742">
        <v>2664.4640678584237</v>
      </c>
      <c r="AL20" s="745">
        <v>11990.088305362908</v>
      </c>
      <c r="AM20" s="744">
        <v>2.25</v>
      </c>
      <c r="AN20" s="742">
        <v>2664.4640678584237</v>
      </c>
      <c r="AO20" s="745">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84575</v>
      </c>
      <c r="F22" s="741"/>
      <c r="G22" s="742"/>
      <c r="H22" s="745">
        <v>4250</v>
      </c>
      <c r="I22" s="741"/>
      <c r="J22" s="742"/>
      <c r="K22" s="745">
        <v>4250</v>
      </c>
      <c r="L22" s="741"/>
      <c r="M22" s="742"/>
      <c r="N22" s="745">
        <v>5950.0000000000009</v>
      </c>
      <c r="O22" s="741"/>
      <c r="P22" s="742"/>
      <c r="Q22" s="745">
        <v>8500</v>
      </c>
      <c r="R22" s="741"/>
      <c r="S22" s="742"/>
      <c r="T22" s="745">
        <v>9775</v>
      </c>
      <c r="U22" s="741"/>
      <c r="V22" s="742"/>
      <c r="W22" s="745">
        <v>7650</v>
      </c>
      <c r="X22" s="741"/>
      <c r="Y22" s="742"/>
      <c r="Z22" s="745">
        <v>6800</v>
      </c>
      <c r="AA22" s="741"/>
      <c r="AB22" s="742"/>
      <c r="AC22" s="745">
        <v>7650</v>
      </c>
      <c r="AD22" s="741"/>
      <c r="AE22" s="742"/>
      <c r="AF22" s="745">
        <v>6800</v>
      </c>
      <c r="AG22" s="741"/>
      <c r="AH22" s="742"/>
      <c r="AI22" s="745">
        <v>10200</v>
      </c>
      <c r="AJ22" s="741"/>
      <c r="AK22" s="742"/>
      <c r="AL22" s="745">
        <v>8500</v>
      </c>
      <c r="AM22" s="741"/>
      <c r="AN22" s="742"/>
      <c r="AO22" s="745">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200</v>
      </c>
      <c r="E24" s="743">
        <v>132999</v>
      </c>
      <c r="F24" s="744"/>
      <c r="G24" s="742">
        <v>200</v>
      </c>
      <c r="H24" s="745">
        <v>6690.0000000000009</v>
      </c>
      <c r="I24" s="744"/>
      <c r="J24" s="742">
        <v>200</v>
      </c>
      <c r="K24" s="745">
        <v>6690.0000000000009</v>
      </c>
      <c r="L24" s="744"/>
      <c r="M24" s="742">
        <v>200.00000000000003</v>
      </c>
      <c r="N24" s="745">
        <v>9366.0000000000018</v>
      </c>
      <c r="O24" s="744"/>
      <c r="P24" s="742">
        <v>200</v>
      </c>
      <c r="Q24" s="745">
        <v>13400</v>
      </c>
      <c r="R24" s="744"/>
      <c r="S24" s="742">
        <v>200</v>
      </c>
      <c r="T24" s="745">
        <v>15335</v>
      </c>
      <c r="U24" s="744"/>
      <c r="V24" s="742">
        <v>200</v>
      </c>
      <c r="W24" s="745">
        <v>12010</v>
      </c>
      <c r="X24" s="744"/>
      <c r="Y24" s="742">
        <v>200</v>
      </c>
      <c r="Z24" s="745">
        <v>10704</v>
      </c>
      <c r="AA24" s="744"/>
      <c r="AB24" s="742">
        <v>200</v>
      </c>
      <c r="AC24" s="745">
        <v>12082</v>
      </c>
      <c r="AD24" s="744"/>
      <c r="AE24" s="742">
        <v>200</v>
      </c>
      <c r="AF24" s="745">
        <v>10720</v>
      </c>
      <c r="AG24" s="744"/>
      <c r="AH24" s="742">
        <v>200</v>
      </c>
      <c r="AI24" s="745">
        <v>15959.999999999996</v>
      </c>
      <c r="AJ24" s="744"/>
      <c r="AK24" s="742">
        <v>200</v>
      </c>
      <c r="AL24" s="745">
        <v>13352.000000000002</v>
      </c>
      <c r="AM24" s="744"/>
      <c r="AN24" s="742">
        <v>200</v>
      </c>
      <c r="AO24" s="745">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1080</v>
      </c>
      <c r="E25" s="743">
        <v>718194.6</v>
      </c>
      <c r="F25" s="744"/>
      <c r="G25" s="742">
        <v>1080</v>
      </c>
      <c r="H25" s="745">
        <v>36126</v>
      </c>
      <c r="I25" s="744"/>
      <c r="J25" s="742">
        <v>1080</v>
      </c>
      <c r="K25" s="745">
        <v>36126</v>
      </c>
      <c r="L25" s="744"/>
      <c r="M25" s="742">
        <v>1080</v>
      </c>
      <c r="N25" s="745">
        <v>50576.400000000009</v>
      </c>
      <c r="O25" s="744"/>
      <c r="P25" s="742">
        <v>1080</v>
      </c>
      <c r="Q25" s="745">
        <v>72360</v>
      </c>
      <c r="R25" s="744"/>
      <c r="S25" s="742">
        <v>1080</v>
      </c>
      <c r="T25" s="745">
        <v>82809</v>
      </c>
      <c r="U25" s="744"/>
      <c r="V25" s="742">
        <v>1080</v>
      </c>
      <c r="W25" s="745">
        <v>64854</v>
      </c>
      <c r="X25" s="744"/>
      <c r="Y25" s="742">
        <v>1080</v>
      </c>
      <c r="Z25" s="745">
        <v>57801.600000000006</v>
      </c>
      <c r="AA25" s="744"/>
      <c r="AB25" s="742">
        <v>1080</v>
      </c>
      <c r="AC25" s="745">
        <v>65242.799999999996</v>
      </c>
      <c r="AD25" s="744"/>
      <c r="AE25" s="742">
        <v>1080</v>
      </c>
      <c r="AF25" s="745">
        <v>57888</v>
      </c>
      <c r="AG25" s="744"/>
      <c r="AH25" s="742">
        <v>1080</v>
      </c>
      <c r="AI25" s="745">
        <v>86183.999999999985</v>
      </c>
      <c r="AJ25" s="744"/>
      <c r="AK25" s="742">
        <v>1080</v>
      </c>
      <c r="AL25" s="745">
        <v>72100.800000000003</v>
      </c>
      <c r="AM25" s="744"/>
      <c r="AN25" s="742">
        <v>1080</v>
      </c>
      <c r="AO25" s="745">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20.000000000000004</v>
      </c>
      <c r="E26" s="743">
        <v>13299.900000000001</v>
      </c>
      <c r="F26" s="744"/>
      <c r="G26" s="742">
        <v>20</v>
      </c>
      <c r="H26" s="745">
        <v>669</v>
      </c>
      <c r="I26" s="744"/>
      <c r="J26" s="742">
        <v>20</v>
      </c>
      <c r="K26" s="745">
        <v>669</v>
      </c>
      <c r="L26" s="744"/>
      <c r="M26" s="742">
        <v>20</v>
      </c>
      <c r="N26" s="745">
        <v>936.60000000000014</v>
      </c>
      <c r="O26" s="744"/>
      <c r="P26" s="742">
        <v>20</v>
      </c>
      <c r="Q26" s="745">
        <v>1340</v>
      </c>
      <c r="R26" s="744"/>
      <c r="S26" s="742">
        <v>20</v>
      </c>
      <c r="T26" s="745">
        <v>1533.5</v>
      </c>
      <c r="U26" s="744"/>
      <c r="V26" s="742">
        <v>20</v>
      </c>
      <c r="W26" s="745">
        <v>1201</v>
      </c>
      <c r="X26" s="744"/>
      <c r="Y26" s="742">
        <v>20</v>
      </c>
      <c r="Z26" s="745">
        <v>1070.4000000000001</v>
      </c>
      <c r="AA26" s="744"/>
      <c r="AB26" s="742">
        <v>19.999999999999996</v>
      </c>
      <c r="AC26" s="745">
        <v>1208.1999999999998</v>
      </c>
      <c r="AD26" s="744"/>
      <c r="AE26" s="742">
        <v>20</v>
      </c>
      <c r="AF26" s="745">
        <v>1072</v>
      </c>
      <c r="AG26" s="744"/>
      <c r="AH26" s="742">
        <v>20</v>
      </c>
      <c r="AI26" s="745">
        <v>1595.9999999999995</v>
      </c>
      <c r="AJ26" s="744"/>
      <c r="AK26" s="742">
        <v>20</v>
      </c>
      <c r="AL26" s="745">
        <v>1335.2</v>
      </c>
      <c r="AM26" s="744"/>
      <c r="AN26" s="742">
        <v>20</v>
      </c>
      <c r="AO26" s="745">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664.995</v>
      </c>
      <c r="D27" s="747">
        <v>1300</v>
      </c>
      <c r="E27" s="748">
        <v>864493.5</v>
      </c>
      <c r="F27" s="746">
        <v>33.450000000000003</v>
      </c>
      <c r="G27" s="747">
        <v>1300</v>
      </c>
      <c r="H27" s="748">
        <v>43485</v>
      </c>
      <c r="I27" s="746">
        <v>33.450000000000003</v>
      </c>
      <c r="J27" s="747">
        <v>1300</v>
      </c>
      <c r="K27" s="748">
        <v>43485</v>
      </c>
      <c r="L27" s="746">
        <v>46.830000000000005</v>
      </c>
      <c r="M27" s="747">
        <v>1300</v>
      </c>
      <c r="N27" s="748">
        <v>60879.000000000007</v>
      </c>
      <c r="O27" s="746">
        <v>67</v>
      </c>
      <c r="P27" s="747">
        <v>1300</v>
      </c>
      <c r="Q27" s="748">
        <v>87100</v>
      </c>
      <c r="R27" s="746">
        <v>76.674999999999997</v>
      </c>
      <c r="S27" s="747">
        <v>1300</v>
      </c>
      <c r="T27" s="748">
        <v>99677.5</v>
      </c>
      <c r="U27" s="746">
        <v>60.05</v>
      </c>
      <c r="V27" s="747">
        <v>1300</v>
      </c>
      <c r="W27" s="748">
        <v>78065</v>
      </c>
      <c r="X27" s="746">
        <v>53.52</v>
      </c>
      <c r="Y27" s="747">
        <v>1300</v>
      </c>
      <c r="Z27" s="748">
        <v>69576</v>
      </c>
      <c r="AA27" s="746">
        <v>60.41</v>
      </c>
      <c r="AB27" s="747">
        <v>1299.9999999999998</v>
      </c>
      <c r="AC27" s="748">
        <v>78532.999999999985</v>
      </c>
      <c r="AD27" s="746">
        <v>53.6</v>
      </c>
      <c r="AE27" s="747">
        <v>1300</v>
      </c>
      <c r="AF27" s="748">
        <v>69680</v>
      </c>
      <c r="AG27" s="746">
        <v>79.799999999999983</v>
      </c>
      <c r="AH27" s="747">
        <v>1300</v>
      </c>
      <c r="AI27" s="748">
        <v>103739.99999999999</v>
      </c>
      <c r="AJ27" s="746">
        <v>66.760000000000005</v>
      </c>
      <c r="AK27" s="747">
        <v>1300</v>
      </c>
      <c r="AL27" s="748">
        <v>86788</v>
      </c>
      <c r="AM27" s="746">
        <v>33.450000000000003</v>
      </c>
      <c r="AN27" s="747">
        <v>1300</v>
      </c>
      <c r="AO27" s="748">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1">
        <v>709.77</v>
      </c>
      <c r="D30" s="762">
        <v>4046.9859128148241</v>
      </c>
      <c r="E30" s="763">
        <v>2872429.1913385778</v>
      </c>
      <c r="F30" s="761">
        <v>35.700000000000003</v>
      </c>
      <c r="G30" s="762">
        <v>4044.4339221859691</v>
      </c>
      <c r="H30" s="763">
        <v>144386.29102203911</v>
      </c>
      <c r="I30" s="761">
        <v>35.700000000000003</v>
      </c>
      <c r="J30" s="762">
        <v>4044.4339221859691</v>
      </c>
      <c r="K30" s="763">
        <v>144386.29102203911</v>
      </c>
      <c r="L30" s="761">
        <v>49.980000000000004</v>
      </c>
      <c r="M30" s="762">
        <v>4044.4339221859695</v>
      </c>
      <c r="N30" s="763">
        <v>202140.80743085477</v>
      </c>
      <c r="O30" s="761">
        <v>71.5</v>
      </c>
      <c r="P30" s="762">
        <v>4040.5955530640308</v>
      </c>
      <c r="Q30" s="763">
        <v>288902.58204407821</v>
      </c>
      <c r="R30" s="761">
        <v>81.849999999999994</v>
      </c>
      <c r="S30" s="762">
        <v>4053.151733056689</v>
      </c>
      <c r="T30" s="763">
        <v>331750.46935068996</v>
      </c>
      <c r="U30" s="761">
        <v>64.099999999999994</v>
      </c>
      <c r="V30" s="762">
        <v>4051.2843032709889</v>
      </c>
      <c r="W30" s="763">
        <v>259687.32383967037</v>
      </c>
      <c r="X30" s="761">
        <v>57.120000000000005</v>
      </c>
      <c r="Y30" s="762">
        <v>4044.4339221859691</v>
      </c>
      <c r="Z30" s="763">
        <v>231018.06563526258</v>
      </c>
      <c r="AA30" s="761">
        <v>64.459999999999994</v>
      </c>
      <c r="AB30" s="762">
        <v>4035.9187688437851</v>
      </c>
      <c r="AC30" s="763">
        <v>260155.32383967037</v>
      </c>
      <c r="AD30" s="761">
        <v>57.2</v>
      </c>
      <c r="AE30" s="762">
        <v>4040.5955530640308</v>
      </c>
      <c r="AF30" s="763">
        <v>231122.06563526258</v>
      </c>
      <c r="AG30" s="761">
        <v>85.199999999999989</v>
      </c>
      <c r="AH30" s="762">
        <v>4059.89552174758</v>
      </c>
      <c r="AI30" s="763">
        <v>345903.09845289378</v>
      </c>
      <c r="AJ30" s="761">
        <v>71.260000000000005</v>
      </c>
      <c r="AK30" s="762">
        <v>4049.8257373572578</v>
      </c>
      <c r="AL30" s="763">
        <v>288590.58204407821</v>
      </c>
      <c r="AM30" s="761">
        <v>35.700000000000003</v>
      </c>
      <c r="AN30" s="762">
        <v>4044.4339221859691</v>
      </c>
      <c r="AO30" s="763">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0.34000000000000008</v>
      </c>
      <c r="D34" s="772">
        <v>922.38312516345832</v>
      </c>
      <c r="E34" s="760">
        <v>613380.16631807399</v>
      </c>
      <c r="F34" s="771">
        <v>0.34</v>
      </c>
      <c r="G34" s="772">
        <v>921.46857804429294</v>
      </c>
      <c r="H34" s="773">
        <v>30823.123935581603</v>
      </c>
      <c r="I34" s="771">
        <v>0.34</v>
      </c>
      <c r="J34" s="772">
        <v>921.46857804429294</v>
      </c>
      <c r="K34" s="773">
        <v>30823.123935581603</v>
      </c>
      <c r="L34" s="771">
        <v>0.34</v>
      </c>
      <c r="M34" s="772">
        <v>921.46857804429305</v>
      </c>
      <c r="N34" s="773">
        <v>43152.37350981425</v>
      </c>
      <c r="O34" s="771">
        <v>0.34</v>
      </c>
      <c r="P34" s="772">
        <v>920.09325180840608</v>
      </c>
      <c r="Q34" s="773">
        <v>61646.247871163207</v>
      </c>
      <c r="R34" s="771">
        <v>0.34</v>
      </c>
      <c r="S34" s="772">
        <v>924.59321880453456</v>
      </c>
      <c r="T34" s="773">
        <v>70893.185051837689</v>
      </c>
      <c r="U34" s="771">
        <v>0.34</v>
      </c>
      <c r="V34" s="772">
        <v>923.92378158279575</v>
      </c>
      <c r="W34" s="773">
        <v>55481.623084046885</v>
      </c>
      <c r="X34" s="771">
        <v>0.34</v>
      </c>
      <c r="Y34" s="772">
        <v>921.46857804429317</v>
      </c>
      <c r="Z34" s="773">
        <v>49316.998296930571</v>
      </c>
      <c r="AA34" s="771">
        <v>0.34</v>
      </c>
      <c r="AB34" s="772">
        <v>918.41786267251928</v>
      </c>
      <c r="AC34" s="773">
        <v>55481.623084046885</v>
      </c>
      <c r="AD34" s="771">
        <v>0.34</v>
      </c>
      <c r="AE34" s="772">
        <v>920.09325180840619</v>
      </c>
      <c r="AF34" s="773">
        <v>49316.998296930571</v>
      </c>
      <c r="AG34" s="771">
        <v>0.34</v>
      </c>
      <c r="AH34" s="772">
        <v>927.01124618290544</v>
      </c>
      <c r="AI34" s="773">
        <v>73975.497445395842</v>
      </c>
      <c r="AJ34" s="771">
        <v>0.34</v>
      </c>
      <c r="AK34" s="772">
        <v>923.40095672802875</v>
      </c>
      <c r="AL34" s="773">
        <v>61646.247871163207</v>
      </c>
      <c r="AM34" s="771">
        <v>0.34</v>
      </c>
      <c r="AN34" s="772">
        <v>921.46857804429294</v>
      </c>
      <c r="AO34" s="773">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v>
      </c>
      <c r="D35" s="775">
        <v>390</v>
      </c>
      <c r="E35" s="776">
        <v>259348.05</v>
      </c>
      <c r="F35" s="774">
        <v>0.3</v>
      </c>
      <c r="G35" s="775">
        <v>389.99999999999994</v>
      </c>
      <c r="H35" s="777">
        <v>13045.5</v>
      </c>
      <c r="I35" s="774">
        <v>0.3</v>
      </c>
      <c r="J35" s="775">
        <v>389.99999999999994</v>
      </c>
      <c r="K35" s="777">
        <v>13045.5</v>
      </c>
      <c r="L35" s="774">
        <v>0.3</v>
      </c>
      <c r="M35" s="775">
        <v>389.99999999999994</v>
      </c>
      <c r="N35" s="777">
        <v>18263.7</v>
      </c>
      <c r="O35" s="774">
        <v>0.3</v>
      </c>
      <c r="P35" s="775">
        <v>390</v>
      </c>
      <c r="Q35" s="777">
        <v>26130</v>
      </c>
      <c r="R35" s="774">
        <v>0.3</v>
      </c>
      <c r="S35" s="775">
        <v>390</v>
      </c>
      <c r="T35" s="777">
        <v>29903.25</v>
      </c>
      <c r="U35" s="774">
        <v>0.3</v>
      </c>
      <c r="V35" s="775">
        <v>390</v>
      </c>
      <c r="W35" s="777">
        <v>23419.5</v>
      </c>
      <c r="X35" s="774">
        <v>0.3</v>
      </c>
      <c r="Y35" s="775">
        <v>389.99999999999994</v>
      </c>
      <c r="Z35" s="777">
        <v>20872.8</v>
      </c>
      <c r="AA35" s="774">
        <v>0.3</v>
      </c>
      <c r="AB35" s="775">
        <v>389.99999999999994</v>
      </c>
      <c r="AC35" s="777">
        <v>23559.899999999994</v>
      </c>
      <c r="AD35" s="774">
        <v>0.3</v>
      </c>
      <c r="AE35" s="775">
        <v>390</v>
      </c>
      <c r="AF35" s="777">
        <v>20904</v>
      </c>
      <c r="AG35" s="774">
        <v>0.3</v>
      </c>
      <c r="AH35" s="775">
        <v>390</v>
      </c>
      <c r="AI35" s="777">
        <v>31121.999999999993</v>
      </c>
      <c r="AJ35" s="774">
        <v>0.3</v>
      </c>
      <c r="AK35" s="775">
        <v>389.99999999999994</v>
      </c>
      <c r="AL35" s="777">
        <v>26036.399999999998</v>
      </c>
      <c r="AM35" s="774">
        <v>0.3</v>
      </c>
      <c r="AN35" s="775">
        <v>389.99999999999994</v>
      </c>
      <c r="AO35" s="777">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115</v>
      </c>
      <c r="E36" s="760">
        <v>76474.425000000003</v>
      </c>
      <c r="F36" s="749"/>
      <c r="G36" s="772">
        <v>115</v>
      </c>
      <c r="H36" s="773">
        <v>3846.7500000000005</v>
      </c>
      <c r="I36" s="749"/>
      <c r="J36" s="772">
        <v>115</v>
      </c>
      <c r="K36" s="773">
        <v>3846.7500000000005</v>
      </c>
      <c r="L36" s="749"/>
      <c r="M36" s="772">
        <v>115</v>
      </c>
      <c r="N36" s="773">
        <v>5385.4500000000007</v>
      </c>
      <c r="O36" s="749"/>
      <c r="P36" s="772">
        <v>115</v>
      </c>
      <c r="Q36" s="773">
        <v>7705</v>
      </c>
      <c r="R36" s="749"/>
      <c r="S36" s="772">
        <v>115</v>
      </c>
      <c r="T36" s="773">
        <v>8817.625</v>
      </c>
      <c r="U36" s="749"/>
      <c r="V36" s="772">
        <v>115</v>
      </c>
      <c r="W36" s="773">
        <v>6905.75</v>
      </c>
      <c r="X36" s="749"/>
      <c r="Y36" s="772">
        <v>115</v>
      </c>
      <c r="Z36" s="773">
        <v>6154.8</v>
      </c>
      <c r="AA36" s="749"/>
      <c r="AB36" s="772">
        <v>115</v>
      </c>
      <c r="AC36" s="773">
        <v>6947.15</v>
      </c>
      <c r="AD36" s="749"/>
      <c r="AE36" s="772">
        <v>115</v>
      </c>
      <c r="AF36" s="773">
        <v>6164</v>
      </c>
      <c r="AG36" s="749"/>
      <c r="AH36" s="772">
        <v>115</v>
      </c>
      <c r="AI36" s="773">
        <v>9176.9999999999982</v>
      </c>
      <c r="AJ36" s="749"/>
      <c r="AK36" s="772">
        <v>115</v>
      </c>
      <c r="AL36" s="773">
        <v>7677.4000000000005</v>
      </c>
      <c r="AM36" s="749"/>
      <c r="AN36" s="772">
        <v>115</v>
      </c>
      <c r="AO36" s="773">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2.9999999999999996</v>
      </c>
      <c r="E37" s="760">
        <v>1994.9849999999997</v>
      </c>
      <c r="F37" s="749"/>
      <c r="G37" s="772">
        <v>3</v>
      </c>
      <c r="H37" s="773">
        <v>100.35000000000001</v>
      </c>
      <c r="I37" s="749"/>
      <c r="J37" s="772">
        <v>3</v>
      </c>
      <c r="K37" s="773">
        <v>100.35000000000001</v>
      </c>
      <c r="L37" s="749"/>
      <c r="M37" s="772">
        <v>3</v>
      </c>
      <c r="N37" s="773">
        <v>140.49</v>
      </c>
      <c r="O37" s="749"/>
      <c r="P37" s="772">
        <v>3</v>
      </c>
      <c r="Q37" s="773">
        <v>201</v>
      </c>
      <c r="R37" s="749"/>
      <c r="S37" s="772">
        <v>3</v>
      </c>
      <c r="T37" s="773">
        <v>230.02499999999998</v>
      </c>
      <c r="U37" s="749"/>
      <c r="V37" s="772">
        <v>2.9999999999999996</v>
      </c>
      <c r="W37" s="773">
        <v>180.14999999999998</v>
      </c>
      <c r="X37" s="749"/>
      <c r="Y37" s="772">
        <v>3</v>
      </c>
      <c r="Z37" s="773">
        <v>160.56</v>
      </c>
      <c r="AA37" s="749"/>
      <c r="AB37" s="772">
        <v>3</v>
      </c>
      <c r="AC37" s="773">
        <v>181.23</v>
      </c>
      <c r="AD37" s="749"/>
      <c r="AE37" s="772">
        <v>3</v>
      </c>
      <c r="AF37" s="773">
        <v>160.80000000000001</v>
      </c>
      <c r="AG37" s="749"/>
      <c r="AH37" s="772">
        <v>3</v>
      </c>
      <c r="AI37" s="773">
        <v>239.39999999999995</v>
      </c>
      <c r="AJ37" s="749"/>
      <c r="AK37" s="772">
        <v>3</v>
      </c>
      <c r="AL37" s="773">
        <v>200.28000000000003</v>
      </c>
      <c r="AM37" s="749"/>
      <c r="AN37" s="772">
        <v>3</v>
      </c>
      <c r="AO37" s="773">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85.05</v>
      </c>
      <c r="E38" s="776">
        <v>56557.82475</v>
      </c>
      <c r="F38" s="778"/>
      <c r="G38" s="775">
        <v>85.05</v>
      </c>
      <c r="H38" s="777">
        <v>2844.9225000000001</v>
      </c>
      <c r="I38" s="778"/>
      <c r="J38" s="775">
        <v>85.05</v>
      </c>
      <c r="K38" s="777">
        <v>2844.9225000000001</v>
      </c>
      <c r="L38" s="778"/>
      <c r="M38" s="775">
        <v>85.05</v>
      </c>
      <c r="N38" s="777">
        <v>3982.8915000000002</v>
      </c>
      <c r="O38" s="778"/>
      <c r="P38" s="775">
        <v>85.05</v>
      </c>
      <c r="Q38" s="777">
        <v>5698.3499999999995</v>
      </c>
      <c r="R38" s="778"/>
      <c r="S38" s="775">
        <v>85.05</v>
      </c>
      <c r="T38" s="777">
        <v>6521.2087499999998</v>
      </c>
      <c r="U38" s="778"/>
      <c r="V38" s="775">
        <v>85.05</v>
      </c>
      <c r="W38" s="777">
        <v>5107.2524999999996</v>
      </c>
      <c r="X38" s="778"/>
      <c r="Y38" s="775">
        <v>85.05</v>
      </c>
      <c r="Z38" s="777">
        <v>4551.8760000000002</v>
      </c>
      <c r="AA38" s="778"/>
      <c r="AB38" s="775">
        <v>85.050000000000011</v>
      </c>
      <c r="AC38" s="777">
        <v>5137.8705</v>
      </c>
      <c r="AD38" s="778"/>
      <c r="AE38" s="775">
        <v>85.05</v>
      </c>
      <c r="AF38" s="777">
        <v>4558.68</v>
      </c>
      <c r="AG38" s="778"/>
      <c r="AH38" s="775">
        <v>85.05</v>
      </c>
      <c r="AI38" s="777">
        <v>6786.989999999998</v>
      </c>
      <c r="AJ38" s="778"/>
      <c r="AK38" s="775">
        <v>85.05</v>
      </c>
      <c r="AL38" s="777">
        <v>5677.9380000000001</v>
      </c>
      <c r="AM38" s="778"/>
      <c r="AN38" s="775">
        <v>85.05</v>
      </c>
      <c r="AO38" s="777">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116.29034804772968</v>
      </c>
      <c r="E39" s="760">
        <v>77332.5</v>
      </c>
      <c r="F39" s="749"/>
      <c r="G39" s="772">
        <v>191.06128550074737</v>
      </c>
      <c r="H39" s="773">
        <v>6391</v>
      </c>
      <c r="I39" s="749"/>
      <c r="J39" s="772">
        <v>191.06128550074737</v>
      </c>
      <c r="K39" s="773">
        <v>6391</v>
      </c>
      <c r="L39" s="749"/>
      <c r="M39" s="772">
        <v>203.9931667734358</v>
      </c>
      <c r="N39" s="773">
        <v>9553</v>
      </c>
      <c r="O39" s="749"/>
      <c r="P39" s="772">
        <v>112.4776119402985</v>
      </c>
      <c r="Q39" s="773">
        <v>7536</v>
      </c>
      <c r="R39" s="749"/>
      <c r="S39" s="772">
        <v>26.977502445386371</v>
      </c>
      <c r="T39" s="773">
        <v>2068.5</v>
      </c>
      <c r="U39" s="749"/>
      <c r="V39" s="772">
        <v>137.0691090757702</v>
      </c>
      <c r="W39" s="773">
        <v>8231</v>
      </c>
      <c r="X39" s="749"/>
      <c r="Y39" s="772">
        <v>165.99402092675635</v>
      </c>
      <c r="Z39" s="773">
        <v>8884</v>
      </c>
      <c r="AA39" s="749"/>
      <c r="AB39" s="772">
        <v>61.165369971858965</v>
      </c>
      <c r="AC39" s="773">
        <v>3695</v>
      </c>
      <c r="AD39" s="749"/>
      <c r="AE39" s="772">
        <v>81.641791044776113</v>
      </c>
      <c r="AF39" s="773">
        <v>4376</v>
      </c>
      <c r="AG39" s="749"/>
      <c r="AH39" s="772">
        <v>78.395989974937379</v>
      </c>
      <c r="AI39" s="773">
        <v>6256.0000000000018</v>
      </c>
      <c r="AJ39" s="749"/>
      <c r="AK39" s="772">
        <v>113.2414619532654</v>
      </c>
      <c r="AL39" s="773">
        <v>7559.9999999999991</v>
      </c>
      <c r="AM39" s="749"/>
      <c r="AN39" s="772">
        <v>191.06128550074737</v>
      </c>
      <c r="AO39" s="773">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306.72127074983638</v>
      </c>
      <c r="E40" s="760">
        <v>203968.11144228745</v>
      </c>
      <c r="F40" s="749"/>
      <c r="G40" s="772">
        <v>376.75365470852012</v>
      </c>
      <c r="H40" s="773">
        <v>12602.409749999999</v>
      </c>
      <c r="I40" s="749"/>
      <c r="J40" s="772">
        <v>457.45428754708507</v>
      </c>
      <c r="K40" s="773">
        <v>15301.845918449997</v>
      </c>
      <c r="L40" s="749"/>
      <c r="M40" s="772">
        <v>413.62169091928234</v>
      </c>
      <c r="N40" s="773">
        <v>19369.903785749993</v>
      </c>
      <c r="O40" s="749"/>
      <c r="P40" s="772">
        <v>318.30489402145508</v>
      </c>
      <c r="Q40" s="773">
        <v>21326.427899437491</v>
      </c>
      <c r="R40" s="749"/>
      <c r="S40" s="772">
        <v>234.37934533420278</v>
      </c>
      <c r="T40" s="773">
        <v>17971.036303499997</v>
      </c>
      <c r="U40" s="749"/>
      <c r="V40" s="772">
        <v>277.29498755495416</v>
      </c>
      <c r="W40" s="773">
        <v>16651.564002674997</v>
      </c>
      <c r="X40" s="749"/>
      <c r="Y40" s="772">
        <v>337.05323834360985</v>
      </c>
      <c r="Z40" s="773">
        <v>18039.089316149999</v>
      </c>
      <c r="AA40" s="749"/>
      <c r="AB40" s="772">
        <v>275.89284711761292</v>
      </c>
      <c r="AC40" s="773">
        <v>16666.686894374994</v>
      </c>
      <c r="AD40" s="749"/>
      <c r="AE40" s="772">
        <v>409.69587666744388</v>
      </c>
      <c r="AF40" s="773">
        <v>21959.698989374992</v>
      </c>
      <c r="AG40" s="749"/>
      <c r="AH40" s="772">
        <v>242.16209411842112</v>
      </c>
      <c r="AI40" s="773">
        <v>19324.535110650002</v>
      </c>
      <c r="AJ40" s="749"/>
      <c r="AK40" s="772">
        <v>188.77186563810668</v>
      </c>
      <c r="AL40" s="773">
        <v>12602.409750000003</v>
      </c>
      <c r="AM40" s="749"/>
      <c r="AN40" s="772">
        <v>363.30354923542609</v>
      </c>
      <c r="AO40" s="773">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0.44876861243345384</v>
      </c>
      <c r="E44" s="781">
        <v>1289056.0625103614</v>
      </c>
      <c r="F44" s="779" t="s">
        <v>119</v>
      </c>
      <c r="G44" s="780">
        <v>0.48241460939632846</v>
      </c>
      <c r="H44" s="781">
        <v>69654.056185581605</v>
      </c>
      <c r="I44" s="779" t="s">
        <v>119</v>
      </c>
      <c r="J44" s="780">
        <v>0.50111054063288862</v>
      </c>
      <c r="K44" s="781">
        <v>72353.492354031609</v>
      </c>
      <c r="L44" s="779" t="s">
        <v>119</v>
      </c>
      <c r="M44" s="780">
        <v>0.49395176592296264</v>
      </c>
      <c r="N44" s="781">
        <v>99847.80879556424</v>
      </c>
      <c r="O44" s="779" t="s">
        <v>119</v>
      </c>
      <c r="P44" s="780">
        <v>0.45081987446802874</v>
      </c>
      <c r="Q44" s="781">
        <v>130243.02577060071</v>
      </c>
      <c r="R44" s="779" t="s">
        <v>119</v>
      </c>
      <c r="S44" s="780">
        <v>0.41116695440495538</v>
      </c>
      <c r="T44" s="781">
        <v>136404.83010533769</v>
      </c>
      <c r="U44" s="779" t="s">
        <v>119</v>
      </c>
      <c r="V44" s="780">
        <v>0.44660185130301311</v>
      </c>
      <c r="W44" s="781">
        <v>115976.83958672188</v>
      </c>
      <c r="X44" s="779" t="s">
        <v>119</v>
      </c>
      <c r="Y44" s="780">
        <v>0.46740986821161618</v>
      </c>
      <c r="Z44" s="781">
        <v>107980.12361308058</v>
      </c>
      <c r="AA44" s="779" t="s">
        <v>119</v>
      </c>
      <c r="AB44" s="780">
        <v>0.42924149631180325</v>
      </c>
      <c r="AC44" s="781">
        <v>111669.46047842185</v>
      </c>
      <c r="AD44" s="779" t="s">
        <v>119</v>
      </c>
      <c r="AE44" s="780">
        <v>0.46486334825277409</v>
      </c>
      <c r="AF44" s="781">
        <v>107440.17728630558</v>
      </c>
      <c r="AG44" s="779" t="s">
        <v>119</v>
      </c>
      <c r="AH44" s="780">
        <v>0.4246317052752524</v>
      </c>
      <c r="AI44" s="781">
        <v>146881.42255604581</v>
      </c>
      <c r="AJ44" s="779" t="s">
        <v>119</v>
      </c>
      <c r="AK44" s="780">
        <v>0.42066748942840043</v>
      </c>
      <c r="AL44" s="781">
        <v>121400.6756211632</v>
      </c>
      <c r="AM44" s="779" t="s">
        <v>119</v>
      </c>
      <c r="AN44" s="780">
        <v>0.47929862085690178</v>
      </c>
      <c r="AO44" s="781">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230110.85</v>
      </c>
      <c r="F45" s="749"/>
      <c r="G45" s="759"/>
      <c r="H45" s="773">
        <v>18197.116666666669</v>
      </c>
      <c r="I45" s="749"/>
      <c r="J45" s="759"/>
      <c r="K45" s="773">
        <v>18197.116666666669</v>
      </c>
      <c r="L45" s="749"/>
      <c r="M45" s="759"/>
      <c r="N45" s="773">
        <v>21133.479166666668</v>
      </c>
      <c r="O45" s="749"/>
      <c r="P45" s="759"/>
      <c r="Q45" s="773">
        <v>18197.116666666669</v>
      </c>
      <c r="R45" s="749"/>
      <c r="S45" s="759"/>
      <c r="T45" s="773">
        <v>21133.479166666668</v>
      </c>
      <c r="U45" s="749"/>
      <c r="V45" s="759"/>
      <c r="W45" s="773">
        <v>18197.116666666669</v>
      </c>
      <c r="X45" s="749"/>
      <c r="Y45" s="759"/>
      <c r="Z45" s="773">
        <v>18197.116666666669</v>
      </c>
      <c r="AA45" s="749"/>
      <c r="AB45" s="759"/>
      <c r="AC45" s="773">
        <v>21133.479166666668</v>
      </c>
      <c r="AD45" s="749"/>
      <c r="AE45" s="759"/>
      <c r="AF45" s="773">
        <v>18197.116666666669</v>
      </c>
      <c r="AG45" s="749"/>
      <c r="AH45" s="759"/>
      <c r="AI45" s="773">
        <v>18197.116666666669</v>
      </c>
      <c r="AJ45" s="749"/>
      <c r="AK45" s="759"/>
      <c r="AL45" s="773">
        <v>21133.479166666668</v>
      </c>
      <c r="AM45" s="749"/>
      <c r="AN45" s="759"/>
      <c r="AO45" s="773">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145957.64400000003</v>
      </c>
      <c r="F46" s="749"/>
      <c r="G46" s="759"/>
      <c r="H46" s="773">
        <v>11267.511076923076</v>
      </c>
      <c r="I46" s="749"/>
      <c r="J46" s="759"/>
      <c r="K46" s="773">
        <v>11267.511076923076</v>
      </c>
      <c r="L46" s="749"/>
      <c r="M46" s="759"/>
      <c r="N46" s="773">
        <v>13954.388846153846</v>
      </c>
      <c r="O46" s="749"/>
      <c r="P46" s="759"/>
      <c r="Q46" s="773">
        <v>11267.511076923076</v>
      </c>
      <c r="R46" s="749"/>
      <c r="S46" s="759"/>
      <c r="T46" s="773">
        <v>13954.388846153846</v>
      </c>
      <c r="U46" s="749"/>
      <c r="V46" s="759"/>
      <c r="W46" s="773">
        <v>11267.511076923076</v>
      </c>
      <c r="X46" s="749"/>
      <c r="Y46" s="759"/>
      <c r="Z46" s="773">
        <v>11267.511076923076</v>
      </c>
      <c r="AA46" s="749"/>
      <c r="AB46" s="759"/>
      <c r="AC46" s="773">
        <v>13954.388846153846</v>
      </c>
      <c r="AD46" s="749"/>
      <c r="AE46" s="759"/>
      <c r="AF46" s="773">
        <v>11267.511076923076</v>
      </c>
      <c r="AG46" s="749"/>
      <c r="AH46" s="759"/>
      <c r="AI46" s="773">
        <v>11267.511076923076</v>
      </c>
      <c r="AJ46" s="749"/>
      <c r="AK46" s="759"/>
      <c r="AL46" s="773">
        <v>13954.388846153846</v>
      </c>
      <c r="AM46" s="749"/>
      <c r="AN46" s="759"/>
      <c r="AO46" s="773">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34636.600000000006</v>
      </c>
      <c r="F47" s="782"/>
      <c r="G47" s="783"/>
      <c r="H47" s="785">
        <v>2664.3538461538465</v>
      </c>
      <c r="I47" s="782"/>
      <c r="J47" s="783"/>
      <c r="K47" s="785">
        <v>2664.3538461538465</v>
      </c>
      <c r="L47" s="782"/>
      <c r="M47" s="783"/>
      <c r="N47" s="785">
        <v>3330.4423076923076</v>
      </c>
      <c r="O47" s="782"/>
      <c r="P47" s="783"/>
      <c r="Q47" s="785">
        <v>2664.3538461538465</v>
      </c>
      <c r="R47" s="782"/>
      <c r="S47" s="783"/>
      <c r="T47" s="785">
        <v>3330.4423076923076</v>
      </c>
      <c r="U47" s="782"/>
      <c r="V47" s="783"/>
      <c r="W47" s="785">
        <v>2664.3538461538465</v>
      </c>
      <c r="X47" s="782"/>
      <c r="Y47" s="783"/>
      <c r="Z47" s="785">
        <v>2664.3538461538465</v>
      </c>
      <c r="AA47" s="782"/>
      <c r="AB47" s="783"/>
      <c r="AC47" s="785">
        <v>3330.4423076923076</v>
      </c>
      <c r="AD47" s="782"/>
      <c r="AE47" s="783"/>
      <c r="AF47" s="785">
        <v>2664.3538461538465</v>
      </c>
      <c r="AG47" s="782"/>
      <c r="AH47" s="783"/>
      <c r="AI47" s="785">
        <v>2664.3538461538465</v>
      </c>
      <c r="AJ47" s="782"/>
      <c r="AK47" s="783"/>
      <c r="AL47" s="785">
        <v>3330.4423076923076</v>
      </c>
      <c r="AM47" s="782"/>
      <c r="AN47" s="783"/>
      <c r="AO47" s="785">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138466.75834874599</v>
      </c>
      <c r="F52" s="749"/>
      <c r="G52" s="759"/>
      <c r="H52" s="773">
        <v>10293.565807018116</v>
      </c>
      <c r="I52" s="749"/>
      <c r="J52" s="759"/>
      <c r="K52" s="773">
        <v>8944.9153385371192</v>
      </c>
      <c r="L52" s="749"/>
      <c r="M52" s="759"/>
      <c r="N52" s="773">
        <v>12708.147504669267</v>
      </c>
      <c r="O52" s="749"/>
      <c r="P52" s="759"/>
      <c r="Q52" s="773">
        <v>12428.151948410499</v>
      </c>
      <c r="R52" s="749"/>
      <c r="S52" s="759"/>
      <c r="T52" s="773">
        <v>14002.317973150264</v>
      </c>
      <c r="U52" s="749"/>
      <c r="V52" s="759"/>
      <c r="W52" s="773">
        <v>10829.040602587731</v>
      </c>
      <c r="X52" s="749"/>
      <c r="Y52" s="759"/>
      <c r="Z52" s="773">
        <v>11005.094520815579</v>
      </c>
      <c r="AA52" s="749"/>
      <c r="AB52" s="759"/>
      <c r="AC52" s="773">
        <v>12098.265749985731</v>
      </c>
      <c r="AD52" s="749"/>
      <c r="AE52" s="759"/>
      <c r="AF52" s="773">
        <v>11438.922357271269</v>
      </c>
      <c r="AG52" s="749"/>
      <c r="AH52" s="759"/>
      <c r="AI52" s="773">
        <v>12326.504989296576</v>
      </c>
      <c r="AJ52" s="749"/>
      <c r="AK52" s="759"/>
      <c r="AL52" s="773">
        <v>13494.083177580649</v>
      </c>
      <c r="AM52" s="749"/>
      <c r="AN52" s="759"/>
      <c r="AO52" s="773">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168356.05860904799</v>
      </c>
      <c r="F53" s="782"/>
      <c r="G53" s="783"/>
      <c r="H53" s="785">
        <v>12515.524945977975</v>
      </c>
      <c r="I53" s="782"/>
      <c r="J53" s="783"/>
      <c r="K53" s="785">
        <v>10875.756094432798</v>
      </c>
      <c r="L53" s="782"/>
      <c r="M53" s="783"/>
      <c r="N53" s="785">
        <v>15451.315908760873</v>
      </c>
      <c r="O53" s="782"/>
      <c r="P53" s="783"/>
      <c r="Q53" s="785">
        <v>15110.880783089418</v>
      </c>
      <c r="R53" s="782"/>
      <c r="S53" s="783"/>
      <c r="T53" s="785">
        <v>17024.844760306049</v>
      </c>
      <c r="U53" s="782"/>
      <c r="V53" s="783"/>
      <c r="W53" s="785">
        <v>13166.58681195689</v>
      </c>
      <c r="X53" s="782"/>
      <c r="Y53" s="783"/>
      <c r="Z53" s="785">
        <v>13380.643558348456</v>
      </c>
      <c r="AA53" s="782"/>
      <c r="AB53" s="783"/>
      <c r="AC53" s="785">
        <v>14709.785669586176</v>
      </c>
      <c r="AD53" s="782"/>
      <c r="AE53" s="783"/>
      <c r="AF53" s="785">
        <v>13908.117051131589</v>
      </c>
      <c r="AG53" s="782"/>
      <c r="AH53" s="783"/>
      <c r="AI53" s="785">
        <v>14987.292409893635</v>
      </c>
      <c r="AJ53" s="782"/>
      <c r="AK53" s="783"/>
      <c r="AL53" s="785">
        <v>16406.902894327133</v>
      </c>
      <c r="AM53" s="782"/>
      <c r="AN53" s="783"/>
      <c r="AO53" s="785">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86739.969326835591</v>
      </c>
      <c r="F54" s="749"/>
      <c r="G54" s="759"/>
      <c r="H54" s="773">
        <v>6448.2161134712605</v>
      </c>
      <c r="I54" s="749"/>
      <c r="J54" s="759"/>
      <c r="K54" s="773">
        <v>5603.3786834360271</v>
      </c>
      <c r="L54" s="749"/>
      <c r="M54" s="759"/>
      <c r="N54" s="773">
        <v>7960.7866747311436</v>
      </c>
      <c r="O54" s="749"/>
      <c r="P54" s="759"/>
      <c r="Q54" s="773">
        <v>7785.3885773743295</v>
      </c>
      <c r="R54" s="749"/>
      <c r="S54" s="759"/>
      <c r="T54" s="773">
        <v>8771.4961047663764</v>
      </c>
      <c r="U54" s="749"/>
      <c r="V54" s="759"/>
      <c r="W54" s="773">
        <v>6783.6545096386571</v>
      </c>
      <c r="X54" s="749"/>
      <c r="Y54" s="759"/>
      <c r="Z54" s="773">
        <v>6893.9402681056172</v>
      </c>
      <c r="AA54" s="749"/>
      <c r="AB54" s="759"/>
      <c r="AC54" s="773">
        <v>7578.7373993302672</v>
      </c>
      <c r="AD54" s="749"/>
      <c r="AE54" s="759"/>
      <c r="AF54" s="773">
        <v>7165.7037850395345</v>
      </c>
      <c r="AG54" s="749"/>
      <c r="AH54" s="759"/>
      <c r="AI54" s="773">
        <v>7721.7136981408503</v>
      </c>
      <c r="AJ54" s="749"/>
      <c r="AK54" s="759"/>
      <c r="AL54" s="773">
        <v>8453.1217085989792</v>
      </c>
      <c r="AM54" s="749"/>
      <c r="AN54" s="759"/>
      <c r="AO54" s="773">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37819.114615076003</v>
      </c>
      <c r="F55" s="749"/>
      <c r="G55" s="759"/>
      <c r="H55" s="773">
        <v>2811.4585023573709</v>
      </c>
      <c r="I55" s="749"/>
      <c r="J55" s="759"/>
      <c r="K55" s="773">
        <v>2443.1046299088166</v>
      </c>
      <c r="L55" s="749"/>
      <c r="M55" s="759"/>
      <c r="N55" s="773">
        <v>3470.947776605703</v>
      </c>
      <c r="O55" s="749"/>
      <c r="P55" s="759"/>
      <c r="Q55" s="773">
        <v>3394.4732193896516</v>
      </c>
      <c r="R55" s="749"/>
      <c r="S55" s="759"/>
      <c r="T55" s="773">
        <v>3824.4216490542567</v>
      </c>
      <c r="U55" s="749"/>
      <c r="V55" s="759"/>
      <c r="W55" s="773">
        <v>2957.7115302221996</v>
      </c>
      <c r="X55" s="749"/>
      <c r="Y55" s="759"/>
      <c r="Z55" s="773">
        <v>3005.7967413681313</v>
      </c>
      <c r="AA55" s="749"/>
      <c r="AB55" s="759"/>
      <c r="AC55" s="773">
        <v>3304.3721431679087</v>
      </c>
      <c r="AD55" s="749"/>
      <c r="AE55" s="759"/>
      <c r="AF55" s="773">
        <v>3124.2871636599943</v>
      </c>
      <c r="AG55" s="749"/>
      <c r="AH55" s="759"/>
      <c r="AI55" s="773">
        <v>3366.710613816686</v>
      </c>
      <c r="AJ55" s="749"/>
      <c r="AK55" s="759"/>
      <c r="AL55" s="773">
        <v>3685.6086211894285</v>
      </c>
      <c r="AM55" s="749"/>
      <c r="AN55" s="759"/>
      <c r="AO55" s="773">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0.29316196807876249</v>
      </c>
      <c r="E57" s="781">
        <v>842086.99489970563</v>
      </c>
      <c r="F57" s="779" t="s">
        <v>119</v>
      </c>
      <c r="G57" s="780">
        <v>0.44462494676014069</v>
      </c>
      <c r="H57" s="781">
        <v>64197.746958568314</v>
      </c>
      <c r="I57" s="779" t="s">
        <v>119</v>
      </c>
      <c r="J57" s="780">
        <v>0.4155251576266375</v>
      </c>
      <c r="K57" s="781">
        <v>59996.136336058356</v>
      </c>
      <c r="L57" s="779" t="s">
        <v>119</v>
      </c>
      <c r="M57" s="780">
        <v>0.38591667450405387</v>
      </c>
      <c r="N57" s="781">
        <v>78009.508185279818</v>
      </c>
      <c r="O57" s="779" t="s">
        <v>119</v>
      </c>
      <c r="P57" s="780">
        <v>0.24523102430146551</v>
      </c>
      <c r="Q57" s="781">
        <v>70847.87611800748</v>
      </c>
      <c r="R57" s="779" t="s">
        <v>119</v>
      </c>
      <c r="S57" s="780">
        <v>0.24729849205146015</v>
      </c>
      <c r="T57" s="781">
        <v>82041.39080778978</v>
      </c>
      <c r="U57" s="779" t="s">
        <v>119</v>
      </c>
      <c r="V57" s="780">
        <v>0.25363569569076994</v>
      </c>
      <c r="W57" s="781">
        <v>65865.975044149061</v>
      </c>
      <c r="X57" s="779" t="s">
        <v>119</v>
      </c>
      <c r="Y57" s="780">
        <v>0.28748598727875363</v>
      </c>
      <c r="Z57" s="781">
        <v>66414.456678381364</v>
      </c>
      <c r="AA57" s="779" t="s">
        <v>119</v>
      </c>
      <c r="AB57" s="780">
        <v>0.29255396414446616</v>
      </c>
      <c r="AC57" s="781">
        <v>76109.471282582905</v>
      </c>
      <c r="AD57" s="779" t="s">
        <v>119</v>
      </c>
      <c r="AE57" s="780">
        <v>0.29320442321499757</v>
      </c>
      <c r="AF57" s="781">
        <v>67766.011946845974</v>
      </c>
      <c r="AG57" s="779" t="s">
        <v>119</v>
      </c>
      <c r="AH57" s="780">
        <v>0.20390451434622378</v>
      </c>
      <c r="AI57" s="781">
        <v>70531.203300891342</v>
      </c>
      <c r="AJ57" s="779" t="s">
        <v>119</v>
      </c>
      <c r="AK57" s="780">
        <v>0.27879643941367482</v>
      </c>
      <c r="AL57" s="781">
        <v>80458.026722209004</v>
      </c>
      <c r="AM57" s="779" t="s">
        <v>119</v>
      </c>
      <c r="AN57" s="780">
        <v>0.41450743761959252</v>
      </c>
      <c r="AO57" s="781">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110400</v>
      </c>
      <c r="F60" s="787"/>
      <c r="G60" s="788"/>
      <c r="H60" s="790">
        <v>9200</v>
      </c>
      <c r="I60" s="787"/>
      <c r="J60" s="788"/>
      <c r="K60" s="790">
        <v>9200</v>
      </c>
      <c r="L60" s="787"/>
      <c r="M60" s="788"/>
      <c r="N60" s="790">
        <v>9200</v>
      </c>
      <c r="O60" s="787"/>
      <c r="P60" s="788"/>
      <c r="Q60" s="790">
        <v>9200</v>
      </c>
      <c r="R60" s="787"/>
      <c r="S60" s="788"/>
      <c r="T60" s="790">
        <v>9200</v>
      </c>
      <c r="U60" s="787"/>
      <c r="V60" s="788"/>
      <c r="W60" s="790">
        <v>9200</v>
      </c>
      <c r="X60" s="787"/>
      <c r="Y60" s="788"/>
      <c r="Z60" s="790">
        <v>9200</v>
      </c>
      <c r="AA60" s="787"/>
      <c r="AB60" s="788"/>
      <c r="AC60" s="790">
        <v>9200</v>
      </c>
      <c r="AD60" s="787"/>
      <c r="AE60" s="788"/>
      <c r="AF60" s="790">
        <v>9200</v>
      </c>
      <c r="AG60" s="787"/>
      <c r="AH60" s="788"/>
      <c r="AI60" s="790">
        <v>9200</v>
      </c>
      <c r="AJ60" s="787"/>
      <c r="AK60" s="788"/>
      <c r="AL60" s="790">
        <v>9200</v>
      </c>
      <c r="AM60" s="787"/>
      <c r="AN60" s="788"/>
      <c r="AO60" s="790">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108476.34559466668</v>
      </c>
      <c r="F61" s="749"/>
      <c r="G61" s="759"/>
      <c r="H61" s="773">
        <v>9039.6954662222215</v>
      </c>
      <c r="I61" s="749"/>
      <c r="J61" s="759"/>
      <c r="K61" s="773">
        <v>9039.6954662222215</v>
      </c>
      <c r="L61" s="749"/>
      <c r="M61" s="759"/>
      <c r="N61" s="773">
        <v>9039.6954662222215</v>
      </c>
      <c r="O61" s="749"/>
      <c r="P61" s="759"/>
      <c r="Q61" s="773">
        <v>9039.6954662222215</v>
      </c>
      <c r="R61" s="749"/>
      <c r="S61" s="759"/>
      <c r="T61" s="773">
        <v>9039.6954662222215</v>
      </c>
      <c r="U61" s="749"/>
      <c r="V61" s="759"/>
      <c r="W61" s="773">
        <v>9039.6954662222215</v>
      </c>
      <c r="X61" s="749"/>
      <c r="Y61" s="759"/>
      <c r="Z61" s="773">
        <v>9039.6954662222215</v>
      </c>
      <c r="AA61" s="749"/>
      <c r="AB61" s="759"/>
      <c r="AC61" s="773">
        <v>9039.6954662222215</v>
      </c>
      <c r="AD61" s="749"/>
      <c r="AE61" s="759"/>
      <c r="AF61" s="773">
        <v>9039.6954662222215</v>
      </c>
      <c r="AG61" s="749"/>
      <c r="AH61" s="759"/>
      <c r="AI61" s="773">
        <v>9039.6954662222215</v>
      </c>
      <c r="AJ61" s="749"/>
      <c r="AK61" s="759"/>
      <c r="AL61" s="773">
        <v>9039.6954662222215</v>
      </c>
      <c r="AM61" s="749"/>
      <c r="AN61" s="759"/>
      <c r="AO61" s="773">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13262.710618693432</v>
      </c>
      <c r="F62" s="749"/>
      <c r="G62" s="759"/>
      <c r="H62" s="773">
        <v>1105.2258848911197</v>
      </c>
      <c r="I62" s="749"/>
      <c r="J62" s="759"/>
      <c r="K62" s="773">
        <v>1105.2258848911197</v>
      </c>
      <c r="L62" s="749"/>
      <c r="M62" s="759"/>
      <c r="N62" s="773">
        <v>1105.2258848911197</v>
      </c>
      <c r="O62" s="749"/>
      <c r="P62" s="759"/>
      <c r="Q62" s="773">
        <v>1105.2258848911197</v>
      </c>
      <c r="R62" s="749"/>
      <c r="S62" s="759"/>
      <c r="T62" s="773">
        <v>1105.2258848911197</v>
      </c>
      <c r="U62" s="749"/>
      <c r="V62" s="759"/>
      <c r="W62" s="773">
        <v>1105.2258848911197</v>
      </c>
      <c r="X62" s="749"/>
      <c r="Y62" s="759"/>
      <c r="Z62" s="773">
        <v>1105.2258848911197</v>
      </c>
      <c r="AA62" s="749"/>
      <c r="AB62" s="759"/>
      <c r="AC62" s="773">
        <v>1105.2258848911197</v>
      </c>
      <c r="AD62" s="749"/>
      <c r="AE62" s="759"/>
      <c r="AF62" s="773">
        <v>1105.2258848911197</v>
      </c>
      <c r="AG62" s="749"/>
      <c r="AH62" s="759"/>
      <c r="AI62" s="773">
        <v>1105.2258848911197</v>
      </c>
      <c r="AJ62" s="749"/>
      <c r="AK62" s="759"/>
      <c r="AL62" s="773">
        <v>1105.2258848911197</v>
      </c>
      <c r="AM62" s="749"/>
      <c r="AN62" s="759"/>
      <c r="AO62" s="773">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80537.023706488893</v>
      </c>
      <c r="F63" s="787"/>
      <c r="G63" s="788"/>
      <c r="H63" s="790">
        <v>6711.4186422074081</v>
      </c>
      <c r="I63" s="787"/>
      <c r="J63" s="788"/>
      <c r="K63" s="790">
        <v>6711.4186422074081</v>
      </c>
      <c r="L63" s="787"/>
      <c r="M63" s="788"/>
      <c r="N63" s="790">
        <v>6711.4186422074081</v>
      </c>
      <c r="O63" s="787"/>
      <c r="P63" s="788"/>
      <c r="Q63" s="790">
        <v>6711.4186422074081</v>
      </c>
      <c r="R63" s="787"/>
      <c r="S63" s="788"/>
      <c r="T63" s="790">
        <v>6711.4186422074081</v>
      </c>
      <c r="U63" s="787"/>
      <c r="V63" s="788"/>
      <c r="W63" s="790">
        <v>6711.4186422074081</v>
      </c>
      <c r="X63" s="787"/>
      <c r="Y63" s="788"/>
      <c r="Z63" s="790">
        <v>6711.4186422074081</v>
      </c>
      <c r="AA63" s="787"/>
      <c r="AB63" s="788"/>
      <c r="AC63" s="790">
        <v>6711.4186422074081</v>
      </c>
      <c r="AD63" s="787"/>
      <c r="AE63" s="788"/>
      <c r="AF63" s="790">
        <v>6711.4186422074081</v>
      </c>
      <c r="AG63" s="787"/>
      <c r="AH63" s="788"/>
      <c r="AI63" s="790">
        <v>6711.4186422074081</v>
      </c>
      <c r="AJ63" s="787"/>
      <c r="AK63" s="788"/>
      <c r="AL63" s="790">
        <v>6711.4186422074081</v>
      </c>
      <c r="AM63" s="787"/>
      <c r="AN63" s="788"/>
      <c r="AO63" s="790">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1500</v>
      </c>
      <c r="F64" s="749"/>
      <c r="G64" s="759"/>
      <c r="H64" s="773">
        <v>125</v>
      </c>
      <c r="I64" s="749"/>
      <c r="J64" s="759"/>
      <c r="K64" s="773">
        <v>125</v>
      </c>
      <c r="L64" s="749"/>
      <c r="M64" s="759"/>
      <c r="N64" s="773">
        <v>125</v>
      </c>
      <c r="O64" s="749"/>
      <c r="P64" s="759"/>
      <c r="Q64" s="773">
        <v>125</v>
      </c>
      <c r="R64" s="749"/>
      <c r="S64" s="759"/>
      <c r="T64" s="773">
        <v>125</v>
      </c>
      <c r="U64" s="749"/>
      <c r="V64" s="759"/>
      <c r="W64" s="773">
        <v>125</v>
      </c>
      <c r="X64" s="749"/>
      <c r="Y64" s="759"/>
      <c r="Z64" s="773">
        <v>125</v>
      </c>
      <c r="AA64" s="749"/>
      <c r="AB64" s="759"/>
      <c r="AC64" s="773">
        <v>125</v>
      </c>
      <c r="AD64" s="749"/>
      <c r="AE64" s="759"/>
      <c r="AF64" s="773">
        <v>125</v>
      </c>
      <c r="AG64" s="749"/>
      <c r="AH64" s="759"/>
      <c r="AI64" s="773">
        <v>125</v>
      </c>
      <c r="AJ64" s="749"/>
      <c r="AK64" s="759"/>
      <c r="AL64" s="773">
        <v>125</v>
      </c>
      <c r="AM64" s="749"/>
      <c r="AN64" s="759"/>
      <c r="AO64" s="773">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1000.0000000000001</v>
      </c>
      <c r="F65" s="749"/>
      <c r="G65" s="759"/>
      <c r="H65" s="773">
        <v>83.333333333333329</v>
      </c>
      <c r="I65" s="749"/>
      <c r="J65" s="759"/>
      <c r="K65" s="773">
        <v>83.333333333333329</v>
      </c>
      <c r="L65" s="749"/>
      <c r="M65" s="759"/>
      <c r="N65" s="773">
        <v>83.333333333333329</v>
      </c>
      <c r="O65" s="749"/>
      <c r="P65" s="759"/>
      <c r="Q65" s="773">
        <v>83.333333333333329</v>
      </c>
      <c r="R65" s="749"/>
      <c r="S65" s="759"/>
      <c r="T65" s="773">
        <v>83.333333333333329</v>
      </c>
      <c r="U65" s="749"/>
      <c r="V65" s="759"/>
      <c r="W65" s="773">
        <v>83.333333333333329</v>
      </c>
      <c r="X65" s="749"/>
      <c r="Y65" s="759"/>
      <c r="Z65" s="773">
        <v>83.333333333333329</v>
      </c>
      <c r="AA65" s="749"/>
      <c r="AB65" s="759"/>
      <c r="AC65" s="773">
        <v>83.333333333333329</v>
      </c>
      <c r="AD65" s="749"/>
      <c r="AE65" s="759"/>
      <c r="AF65" s="773">
        <v>83.333333333333329</v>
      </c>
      <c r="AG65" s="749"/>
      <c r="AH65" s="759"/>
      <c r="AI65" s="773">
        <v>83.333333333333329</v>
      </c>
      <c r="AJ65" s="749"/>
      <c r="AK65" s="759"/>
      <c r="AL65" s="773">
        <v>83.333333333333329</v>
      </c>
      <c r="AM65" s="749"/>
      <c r="AN65" s="759"/>
      <c r="AO65" s="773">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9083.3592236160021</v>
      </c>
      <c r="F66" s="749"/>
      <c r="G66" s="759"/>
      <c r="H66" s="773">
        <v>756.94660196799998</v>
      </c>
      <c r="I66" s="749"/>
      <c r="J66" s="759"/>
      <c r="K66" s="773">
        <v>756.94660196799998</v>
      </c>
      <c r="L66" s="749"/>
      <c r="M66" s="759"/>
      <c r="N66" s="773">
        <v>756.94660196799998</v>
      </c>
      <c r="O66" s="749"/>
      <c r="P66" s="759"/>
      <c r="Q66" s="773">
        <v>756.94660196799998</v>
      </c>
      <c r="R66" s="749"/>
      <c r="S66" s="759"/>
      <c r="T66" s="773">
        <v>756.94660196799998</v>
      </c>
      <c r="U66" s="749"/>
      <c r="V66" s="759"/>
      <c r="W66" s="773">
        <v>756.94660196799998</v>
      </c>
      <c r="X66" s="749"/>
      <c r="Y66" s="759"/>
      <c r="Z66" s="773">
        <v>756.94660196799998</v>
      </c>
      <c r="AA66" s="749"/>
      <c r="AB66" s="759"/>
      <c r="AC66" s="773">
        <v>756.94660196799998</v>
      </c>
      <c r="AD66" s="749"/>
      <c r="AE66" s="759"/>
      <c r="AF66" s="773">
        <v>756.94660196799998</v>
      </c>
      <c r="AG66" s="749"/>
      <c r="AH66" s="759"/>
      <c r="AI66" s="773">
        <v>756.94660196799998</v>
      </c>
      <c r="AJ66" s="749"/>
      <c r="AK66" s="759"/>
      <c r="AL66" s="773">
        <v>756.94660196799998</v>
      </c>
      <c r="AM66" s="749"/>
      <c r="AN66" s="759"/>
      <c r="AO66" s="773">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3712.8418206346664</v>
      </c>
      <c r="F67" s="749"/>
      <c r="G67" s="759"/>
      <c r="H67" s="773">
        <v>309.40348505288893</v>
      </c>
      <c r="I67" s="749"/>
      <c r="J67" s="759"/>
      <c r="K67" s="773">
        <v>309.40348505288893</v>
      </c>
      <c r="L67" s="749"/>
      <c r="M67" s="759"/>
      <c r="N67" s="773">
        <v>309.40348505288893</v>
      </c>
      <c r="O67" s="749"/>
      <c r="P67" s="759"/>
      <c r="Q67" s="773">
        <v>309.40348505288893</v>
      </c>
      <c r="R67" s="749"/>
      <c r="S67" s="759"/>
      <c r="T67" s="773">
        <v>309.40348505288893</v>
      </c>
      <c r="U67" s="749"/>
      <c r="V67" s="759"/>
      <c r="W67" s="773">
        <v>309.40348505288893</v>
      </c>
      <c r="X67" s="749"/>
      <c r="Y67" s="759"/>
      <c r="Z67" s="773">
        <v>309.40348505288893</v>
      </c>
      <c r="AA67" s="749"/>
      <c r="AB67" s="759"/>
      <c r="AC67" s="773">
        <v>309.40348505288893</v>
      </c>
      <c r="AD67" s="749"/>
      <c r="AE67" s="759"/>
      <c r="AF67" s="773">
        <v>309.40348505288893</v>
      </c>
      <c r="AG67" s="749"/>
      <c r="AH67" s="759"/>
      <c r="AI67" s="773">
        <v>309.40348505288893</v>
      </c>
      <c r="AJ67" s="749"/>
      <c r="AK67" s="759"/>
      <c r="AL67" s="773">
        <v>309.40348505288893</v>
      </c>
      <c r="AM67" s="749"/>
      <c r="AN67" s="759"/>
      <c r="AO67" s="773">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1357.5457188853334</v>
      </c>
      <c r="F68" s="749"/>
      <c r="G68" s="759"/>
      <c r="H68" s="773">
        <v>113.12880990711112</v>
      </c>
      <c r="I68" s="749"/>
      <c r="J68" s="759"/>
      <c r="K68" s="773">
        <v>113.12880990711112</v>
      </c>
      <c r="L68" s="749"/>
      <c r="M68" s="759"/>
      <c r="N68" s="773">
        <v>113.12880990711112</v>
      </c>
      <c r="O68" s="749"/>
      <c r="P68" s="759"/>
      <c r="Q68" s="773">
        <v>113.12880990711112</v>
      </c>
      <c r="R68" s="749"/>
      <c r="S68" s="759"/>
      <c r="T68" s="773">
        <v>113.12880990711112</v>
      </c>
      <c r="U68" s="749"/>
      <c r="V68" s="759"/>
      <c r="W68" s="773">
        <v>113.12880990711112</v>
      </c>
      <c r="X68" s="749"/>
      <c r="Y68" s="759"/>
      <c r="Z68" s="773">
        <v>113.12880990711112</v>
      </c>
      <c r="AA68" s="749"/>
      <c r="AB68" s="759"/>
      <c r="AC68" s="773">
        <v>113.12880990711112</v>
      </c>
      <c r="AD68" s="749"/>
      <c r="AE68" s="759"/>
      <c r="AF68" s="773">
        <v>113.12880990711112</v>
      </c>
      <c r="AG68" s="749"/>
      <c r="AH68" s="759"/>
      <c r="AI68" s="773">
        <v>113.12880990711112</v>
      </c>
      <c r="AJ68" s="749"/>
      <c r="AK68" s="759"/>
      <c r="AL68" s="773">
        <v>113.12880990711112</v>
      </c>
      <c r="AM68" s="749"/>
      <c r="AN68" s="759"/>
      <c r="AO68" s="773">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3389.5512412213343</v>
      </c>
      <c r="F69" s="749"/>
      <c r="G69" s="759"/>
      <c r="H69" s="773">
        <v>282.46260343511113</v>
      </c>
      <c r="I69" s="749"/>
      <c r="J69" s="759"/>
      <c r="K69" s="773">
        <v>282.46260343511113</v>
      </c>
      <c r="L69" s="749"/>
      <c r="M69" s="759"/>
      <c r="N69" s="773">
        <v>282.46260343511113</v>
      </c>
      <c r="O69" s="749"/>
      <c r="P69" s="759"/>
      <c r="Q69" s="773">
        <v>282.46260343511113</v>
      </c>
      <c r="R69" s="749"/>
      <c r="S69" s="759"/>
      <c r="T69" s="773">
        <v>282.46260343511113</v>
      </c>
      <c r="U69" s="749"/>
      <c r="V69" s="759"/>
      <c r="W69" s="773">
        <v>282.46260343511113</v>
      </c>
      <c r="X69" s="749"/>
      <c r="Y69" s="759"/>
      <c r="Z69" s="773">
        <v>282.46260343511113</v>
      </c>
      <c r="AA69" s="749"/>
      <c r="AB69" s="759"/>
      <c r="AC69" s="773">
        <v>282.46260343511113</v>
      </c>
      <c r="AD69" s="749"/>
      <c r="AE69" s="759"/>
      <c r="AF69" s="773">
        <v>282.46260343511113</v>
      </c>
      <c r="AG69" s="749"/>
      <c r="AH69" s="759"/>
      <c r="AI69" s="773">
        <v>282.46260343511113</v>
      </c>
      <c r="AJ69" s="749"/>
      <c r="AK69" s="759"/>
      <c r="AL69" s="773">
        <v>282.46260343511113</v>
      </c>
      <c r="AM69" s="749"/>
      <c r="AN69" s="759"/>
      <c r="AO69" s="773">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22789.289999999994</v>
      </c>
      <c r="F70" s="749"/>
      <c r="G70" s="759"/>
      <c r="H70" s="773">
        <v>1899.1075000000001</v>
      </c>
      <c r="I70" s="749"/>
      <c r="J70" s="759"/>
      <c r="K70" s="773">
        <v>1899.1075000000001</v>
      </c>
      <c r="L70" s="749"/>
      <c r="M70" s="759"/>
      <c r="N70" s="773">
        <v>1899.1075000000001</v>
      </c>
      <c r="O70" s="749"/>
      <c r="P70" s="759"/>
      <c r="Q70" s="773">
        <v>1899.1075000000001</v>
      </c>
      <c r="R70" s="749"/>
      <c r="S70" s="759"/>
      <c r="T70" s="773">
        <v>1899.1075000000001</v>
      </c>
      <c r="U70" s="749"/>
      <c r="V70" s="759"/>
      <c r="W70" s="773">
        <v>1899.1075000000001</v>
      </c>
      <c r="X70" s="749"/>
      <c r="Y70" s="759"/>
      <c r="Z70" s="773">
        <v>1899.1075000000001</v>
      </c>
      <c r="AA70" s="749"/>
      <c r="AB70" s="759"/>
      <c r="AC70" s="773">
        <v>1899.1075000000001</v>
      </c>
      <c r="AD70" s="749"/>
      <c r="AE70" s="759"/>
      <c r="AF70" s="773">
        <v>1899.1075000000001</v>
      </c>
      <c r="AG70" s="749"/>
      <c r="AH70" s="759"/>
      <c r="AI70" s="773">
        <v>1899.1075000000001</v>
      </c>
      <c r="AJ70" s="749"/>
      <c r="AK70" s="759"/>
      <c r="AL70" s="773">
        <v>1899.1075000000001</v>
      </c>
      <c r="AM70" s="749"/>
      <c r="AN70" s="759"/>
      <c r="AO70" s="773">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40359.551148111401</v>
      </c>
      <c r="F71" s="749"/>
      <c r="G71" s="759"/>
      <c r="H71" s="773">
        <v>3363.2959290092826</v>
      </c>
      <c r="I71" s="749"/>
      <c r="J71" s="759"/>
      <c r="K71" s="773">
        <v>3363.2959290092826</v>
      </c>
      <c r="L71" s="749"/>
      <c r="M71" s="759"/>
      <c r="N71" s="773">
        <v>3363.2959290092826</v>
      </c>
      <c r="O71" s="749"/>
      <c r="P71" s="759"/>
      <c r="Q71" s="773">
        <v>3363.2959290092826</v>
      </c>
      <c r="R71" s="749"/>
      <c r="S71" s="759"/>
      <c r="T71" s="773">
        <v>3363.2959290092826</v>
      </c>
      <c r="U71" s="749"/>
      <c r="V71" s="759"/>
      <c r="W71" s="773">
        <v>3363.2959290092826</v>
      </c>
      <c r="X71" s="749"/>
      <c r="Y71" s="759"/>
      <c r="Z71" s="773">
        <v>3363.2959290092826</v>
      </c>
      <c r="AA71" s="749"/>
      <c r="AB71" s="759"/>
      <c r="AC71" s="773">
        <v>3363.2959290092826</v>
      </c>
      <c r="AD71" s="749"/>
      <c r="AE71" s="759"/>
      <c r="AF71" s="773">
        <v>3363.2959290092826</v>
      </c>
      <c r="AG71" s="749"/>
      <c r="AH71" s="759"/>
      <c r="AI71" s="773">
        <v>3363.2959290092826</v>
      </c>
      <c r="AJ71" s="749"/>
      <c r="AK71" s="759"/>
      <c r="AL71" s="773">
        <v>3363.2959290092826</v>
      </c>
      <c r="AM71" s="749"/>
      <c r="AN71" s="759"/>
      <c r="AO71" s="773">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0.13781652834681002</v>
      </c>
      <c r="E75" s="781">
        <v>395868.2190723177</v>
      </c>
      <c r="F75" s="779" t="s">
        <v>119</v>
      </c>
      <c r="G75" s="780">
        <v>0.22847749618411511</v>
      </c>
      <c r="H75" s="781">
        <v>32989.018256026473</v>
      </c>
      <c r="I75" s="779" t="s">
        <v>119</v>
      </c>
      <c r="J75" s="780">
        <v>0.22847749618411511</v>
      </c>
      <c r="K75" s="781">
        <v>32989.018256026473</v>
      </c>
      <c r="L75" s="779" t="s">
        <v>119</v>
      </c>
      <c r="M75" s="780">
        <v>0.16319821156008221</v>
      </c>
      <c r="N75" s="781">
        <v>32989.018256026473</v>
      </c>
      <c r="O75" s="779" t="s">
        <v>119</v>
      </c>
      <c r="P75" s="780">
        <v>0.11418734309198143</v>
      </c>
      <c r="Q75" s="781">
        <v>32989.018256026473</v>
      </c>
      <c r="R75" s="779" t="s">
        <v>119</v>
      </c>
      <c r="S75" s="780">
        <v>9.9439251195615114E-2</v>
      </c>
      <c r="T75" s="781">
        <v>32989.018256026473</v>
      </c>
      <c r="U75" s="779" t="s">
        <v>119</v>
      </c>
      <c r="V75" s="780">
        <v>0.1270336101441506</v>
      </c>
      <c r="W75" s="781">
        <v>32989.018256026473</v>
      </c>
      <c r="X75" s="779" t="s">
        <v>119</v>
      </c>
      <c r="Y75" s="780">
        <v>0.14279843511507193</v>
      </c>
      <c r="Z75" s="781">
        <v>32989.018256026473</v>
      </c>
      <c r="AA75" s="779" t="s">
        <v>119</v>
      </c>
      <c r="AB75" s="780">
        <v>0.12680508616597477</v>
      </c>
      <c r="AC75" s="781">
        <v>32989.018256026473</v>
      </c>
      <c r="AD75" s="779" t="s">
        <v>119</v>
      </c>
      <c r="AE75" s="780">
        <v>0.14273417886497677</v>
      </c>
      <c r="AF75" s="781">
        <v>32989.018256026473</v>
      </c>
      <c r="AG75" s="779" t="s">
        <v>119</v>
      </c>
      <c r="AH75" s="780">
        <v>9.5370693132195303E-2</v>
      </c>
      <c r="AI75" s="781">
        <v>32989.018256026473</v>
      </c>
      <c r="AJ75" s="779" t="s">
        <v>119</v>
      </c>
      <c r="AK75" s="780">
        <v>0.11431079289686542</v>
      </c>
      <c r="AL75" s="781">
        <v>32989.018256026473</v>
      </c>
      <c r="AM75" s="779" t="s">
        <v>119</v>
      </c>
      <c r="AN75" s="780">
        <v>0.22847749618411511</v>
      </c>
      <c r="AO75" s="781">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0.87974710885902629</v>
      </c>
      <c r="E77" s="791">
        <v>2527011.2764823847</v>
      </c>
      <c r="F77" s="779" t="s">
        <v>119</v>
      </c>
      <c r="G77" s="780">
        <v>1.1555170523405842</v>
      </c>
      <c r="H77" s="791">
        <v>166840.82140017638</v>
      </c>
      <c r="I77" s="779" t="s">
        <v>119</v>
      </c>
      <c r="J77" s="780">
        <v>1.1451131944436412</v>
      </c>
      <c r="K77" s="791">
        <v>165338.64694611644</v>
      </c>
      <c r="L77" s="779" t="s">
        <v>119</v>
      </c>
      <c r="M77" s="780">
        <v>1.0430666519870988</v>
      </c>
      <c r="N77" s="791">
        <v>210846.33523687054</v>
      </c>
      <c r="O77" s="779" t="s">
        <v>119</v>
      </c>
      <c r="P77" s="780">
        <v>0.81023824186147564</v>
      </c>
      <c r="Q77" s="791">
        <v>234079.92014463464</v>
      </c>
      <c r="R77" s="779" t="s">
        <v>119</v>
      </c>
      <c r="S77" s="780">
        <v>0.75790469765203061</v>
      </c>
      <c r="T77" s="791">
        <v>251435.23916915394</v>
      </c>
      <c r="U77" s="779" t="s">
        <v>119</v>
      </c>
      <c r="V77" s="780">
        <v>0.82727115713793364</v>
      </c>
      <c r="W77" s="791">
        <v>214831.83288689741</v>
      </c>
      <c r="X77" s="779" t="s">
        <v>119</v>
      </c>
      <c r="Y77" s="780">
        <v>0.8976942906054417</v>
      </c>
      <c r="Z77" s="791">
        <v>207383.59854748842</v>
      </c>
      <c r="AA77" s="779" t="s">
        <v>119</v>
      </c>
      <c r="AB77" s="780">
        <v>0.84860054662224416</v>
      </c>
      <c r="AC77" s="791">
        <v>220767.95001703122</v>
      </c>
      <c r="AD77" s="779" t="s">
        <v>119</v>
      </c>
      <c r="AE77" s="780">
        <v>0.90080195033274846</v>
      </c>
      <c r="AF77" s="791">
        <v>208195.20748917802</v>
      </c>
      <c r="AG77" s="779" t="s">
        <v>119</v>
      </c>
      <c r="AH77" s="780">
        <v>0.72390691275367147</v>
      </c>
      <c r="AI77" s="791">
        <v>250401.64411296361</v>
      </c>
      <c r="AJ77" s="779" t="s">
        <v>119</v>
      </c>
      <c r="AK77" s="780">
        <v>0.81377472173894072</v>
      </c>
      <c r="AL77" s="791">
        <v>234847.72059939869</v>
      </c>
      <c r="AM77" s="779" t="s">
        <v>119</v>
      </c>
      <c r="AN77" s="780">
        <v>1.1222835546606094</v>
      </c>
      <c r="AO77" s="791">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80000</v>
      </c>
      <c r="F78" s="749"/>
      <c r="G78" s="759"/>
      <c r="H78" s="773">
        <v>0</v>
      </c>
      <c r="I78" s="749"/>
      <c r="J78" s="759"/>
      <c r="K78" s="773">
        <v>0</v>
      </c>
      <c r="L78" s="749"/>
      <c r="M78" s="759"/>
      <c r="N78" s="773">
        <v>20000</v>
      </c>
      <c r="O78" s="749"/>
      <c r="P78" s="759"/>
      <c r="Q78" s="773">
        <v>0</v>
      </c>
      <c r="R78" s="749"/>
      <c r="S78" s="759"/>
      <c r="T78" s="773">
        <v>0</v>
      </c>
      <c r="U78" s="749"/>
      <c r="V78" s="759"/>
      <c r="W78" s="773">
        <v>20000</v>
      </c>
      <c r="X78" s="749"/>
      <c r="Y78" s="759"/>
      <c r="Z78" s="773">
        <v>0</v>
      </c>
      <c r="AA78" s="749"/>
      <c r="AB78" s="759"/>
      <c r="AC78" s="773">
        <v>0</v>
      </c>
      <c r="AD78" s="749"/>
      <c r="AE78" s="759"/>
      <c r="AF78" s="773">
        <v>20000</v>
      </c>
      <c r="AG78" s="749"/>
      <c r="AH78" s="759"/>
      <c r="AI78" s="773">
        <v>0</v>
      </c>
      <c r="AJ78" s="749"/>
      <c r="AK78" s="759"/>
      <c r="AL78" s="773">
        <v>0</v>
      </c>
      <c r="AM78" s="749"/>
      <c r="AN78" s="759"/>
      <c r="AO78" s="773">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911504.31324615923</v>
      </c>
      <c r="F81" s="749"/>
      <c r="G81" s="759"/>
      <c r="H81" s="773">
        <v>43066.288712401452</v>
      </c>
      <c r="I81" s="749"/>
      <c r="J81" s="759"/>
      <c r="K81" s="773">
        <v>43066.288712401452</v>
      </c>
      <c r="L81" s="749"/>
      <c r="M81" s="759"/>
      <c r="N81" s="773">
        <v>63098.425611850726</v>
      </c>
      <c r="O81" s="749"/>
      <c r="P81" s="759"/>
      <c r="Q81" s="773">
        <v>93286.91203174906</v>
      </c>
      <c r="R81" s="749"/>
      <c r="S81" s="759"/>
      <c r="T81" s="773">
        <v>107806.00285172804</v>
      </c>
      <c r="U81" s="749"/>
      <c r="V81" s="759"/>
      <c r="W81" s="773">
        <v>82906.112798140894</v>
      </c>
      <c r="X81" s="749"/>
      <c r="Y81" s="759"/>
      <c r="Z81" s="773">
        <v>73114.494061575373</v>
      </c>
      <c r="AA81" s="749"/>
      <c r="AB81" s="759"/>
      <c r="AC81" s="773">
        <v>83411.12465274884</v>
      </c>
      <c r="AD81" s="749"/>
      <c r="AE81" s="759"/>
      <c r="AF81" s="773">
        <v>73226.718918154904</v>
      </c>
      <c r="AG81" s="749"/>
      <c r="AH81" s="759"/>
      <c r="AI81" s="773">
        <v>112505.4187209966</v>
      </c>
      <c r="AJ81" s="749"/>
      <c r="AK81" s="759"/>
      <c r="AL81" s="773">
        <v>92950.237462010438</v>
      </c>
      <c r="AM81" s="749"/>
      <c r="AN81" s="759"/>
      <c r="AO81" s="773">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315240.87974999991</v>
      </c>
      <c r="F85" s="749"/>
      <c r="G85" s="759"/>
      <c r="H85" s="773">
        <v>15856.9725</v>
      </c>
      <c r="I85" s="749"/>
      <c r="J85" s="759"/>
      <c r="K85" s="773">
        <v>15856.9725</v>
      </c>
      <c r="L85" s="749"/>
      <c r="M85" s="759"/>
      <c r="N85" s="773">
        <v>22199.761500000001</v>
      </c>
      <c r="O85" s="749"/>
      <c r="P85" s="759"/>
      <c r="Q85" s="773">
        <v>31761.35</v>
      </c>
      <c r="R85" s="749"/>
      <c r="S85" s="759"/>
      <c r="T85" s="773">
        <v>36347.783749999995</v>
      </c>
      <c r="U85" s="749"/>
      <c r="V85" s="759"/>
      <c r="W85" s="773">
        <v>28466.702499999996</v>
      </c>
      <c r="X85" s="749"/>
      <c r="Y85" s="759"/>
      <c r="Z85" s="773">
        <v>25371.155999999999</v>
      </c>
      <c r="AA85" s="749"/>
      <c r="AB85" s="759"/>
      <c r="AC85" s="773">
        <v>28637.360499999995</v>
      </c>
      <c r="AD85" s="749"/>
      <c r="AE85" s="759"/>
      <c r="AF85" s="773">
        <v>25409.079999999998</v>
      </c>
      <c r="AG85" s="749"/>
      <c r="AH85" s="759"/>
      <c r="AI85" s="773">
        <v>37829.189999999988</v>
      </c>
      <c r="AJ85" s="749"/>
      <c r="AK85" s="759"/>
      <c r="AL85" s="773">
        <v>31647.577999999998</v>
      </c>
      <c r="AM85" s="749"/>
      <c r="AN85" s="759"/>
      <c r="AO85" s="773">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1306745.1929961592</v>
      </c>
      <c r="F86" s="792"/>
      <c r="G86" s="793"/>
      <c r="H86" s="794">
        <v>58923.261212401456</v>
      </c>
      <c r="I86" s="792"/>
      <c r="J86" s="793"/>
      <c r="K86" s="794">
        <v>58923.261212401456</v>
      </c>
      <c r="L86" s="792"/>
      <c r="M86" s="793"/>
      <c r="N86" s="794">
        <v>105298.18711185071</v>
      </c>
      <c r="O86" s="792"/>
      <c r="P86" s="793"/>
      <c r="Q86" s="794">
        <v>125048.26203174907</v>
      </c>
      <c r="R86" s="792"/>
      <c r="S86" s="793"/>
      <c r="T86" s="794">
        <v>144153.78660172803</v>
      </c>
      <c r="U86" s="792"/>
      <c r="V86" s="793"/>
      <c r="W86" s="794">
        <v>131372.81529814089</v>
      </c>
      <c r="X86" s="792"/>
      <c r="Y86" s="793"/>
      <c r="Z86" s="794">
        <v>98485.650061575376</v>
      </c>
      <c r="AA86" s="792"/>
      <c r="AB86" s="793"/>
      <c r="AC86" s="794">
        <v>112048.48515274884</v>
      </c>
      <c r="AD86" s="792"/>
      <c r="AE86" s="793"/>
      <c r="AF86" s="794">
        <v>118635.79891815491</v>
      </c>
      <c r="AG86" s="792"/>
      <c r="AH86" s="793"/>
      <c r="AI86" s="794">
        <v>150334.60872099659</v>
      </c>
      <c r="AJ86" s="792"/>
      <c r="AK86" s="793"/>
      <c r="AL86" s="794">
        <v>124597.81546201043</v>
      </c>
      <c r="AM86" s="792"/>
      <c r="AN86" s="793"/>
      <c r="AO86" s="794">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8"/>
      <c r="D88" s="799"/>
      <c r="E88" s="800">
        <v>1652163.1078523523</v>
      </c>
      <c r="F88" s="798"/>
      <c r="G88" s="799"/>
      <c r="H88" s="800">
        <v>36468.730834264177</v>
      </c>
      <c r="I88" s="798"/>
      <c r="J88" s="799"/>
      <c r="K88" s="800">
        <v>37970.905288324124</v>
      </c>
      <c r="L88" s="798"/>
      <c r="M88" s="799"/>
      <c r="N88" s="800">
        <v>96592.659305834939</v>
      </c>
      <c r="O88" s="798"/>
      <c r="P88" s="799"/>
      <c r="Q88" s="800">
        <v>179870.92393119264</v>
      </c>
      <c r="R88" s="798"/>
      <c r="S88" s="799"/>
      <c r="T88" s="800">
        <v>224469.01678326406</v>
      </c>
      <c r="U88" s="798"/>
      <c r="V88" s="799"/>
      <c r="W88" s="800">
        <v>176228.30625091385</v>
      </c>
      <c r="X88" s="798"/>
      <c r="Y88" s="799"/>
      <c r="Z88" s="800">
        <v>122120.11714934953</v>
      </c>
      <c r="AA88" s="798"/>
      <c r="AB88" s="799"/>
      <c r="AC88" s="800">
        <v>151435.85897538799</v>
      </c>
      <c r="AD88" s="798"/>
      <c r="AE88" s="799"/>
      <c r="AF88" s="800">
        <v>141562.65706423947</v>
      </c>
      <c r="AG88" s="798"/>
      <c r="AH88" s="799"/>
      <c r="AI88" s="800">
        <v>245836.06306092677</v>
      </c>
      <c r="AJ88" s="798"/>
      <c r="AK88" s="799"/>
      <c r="AL88" s="800">
        <v>178340.67690668994</v>
      </c>
      <c r="AM88" s="798"/>
      <c r="AN88" s="799"/>
      <c r="AO88" s="800">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3865</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1">
        <v>2024</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21136589.619951062</v>
      </c>
      <c r="F96" s="737"/>
      <c r="G96" s="738"/>
      <c r="H96" s="807">
        <v>1209133.839645165</v>
      </c>
      <c r="I96" s="737"/>
      <c r="J96" s="738"/>
      <c r="K96" s="807">
        <v>1249297.3762767354</v>
      </c>
      <c r="L96" s="737"/>
      <c r="M96" s="738"/>
      <c r="N96" s="807">
        <v>1879230.7402876783</v>
      </c>
      <c r="O96" s="737"/>
      <c r="P96" s="738"/>
      <c r="Q96" s="807">
        <v>2101187.1269358294</v>
      </c>
      <c r="R96" s="737"/>
      <c r="S96" s="738"/>
      <c r="T96" s="807">
        <v>2139236.7932183691</v>
      </c>
      <c r="U96" s="737"/>
      <c r="V96" s="738"/>
      <c r="W96" s="807">
        <v>1934191.3693624581</v>
      </c>
      <c r="X96" s="737"/>
      <c r="Y96" s="738"/>
      <c r="Z96" s="807">
        <v>1801017.5373735677</v>
      </c>
      <c r="AA96" s="737"/>
      <c r="AB96" s="738"/>
      <c r="AC96" s="807">
        <v>1919394.2769192485</v>
      </c>
      <c r="AD96" s="737"/>
      <c r="AE96" s="738"/>
      <c r="AF96" s="807">
        <v>1896141.7030799182</v>
      </c>
      <c r="AG96" s="737"/>
      <c r="AH96" s="738"/>
      <c r="AI96" s="807">
        <v>1872889.1292405881</v>
      </c>
      <c r="AJ96" s="737"/>
      <c r="AK96" s="738"/>
      <c r="AL96" s="807">
        <v>1824270.111212898</v>
      </c>
      <c r="AM96" s="737"/>
      <c r="AN96" s="738"/>
      <c r="AO96" s="807">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389.96100000000001</v>
      </c>
      <c r="D97" s="742">
        <v>1799.9999999999998</v>
      </c>
      <c r="E97" s="743">
        <v>701929.79999999993</v>
      </c>
      <c r="F97" s="744">
        <v>22.308</v>
      </c>
      <c r="G97" s="742">
        <v>1800</v>
      </c>
      <c r="H97" s="745">
        <v>40154.400000000001</v>
      </c>
      <c r="I97" s="744">
        <v>23.048999999999999</v>
      </c>
      <c r="J97" s="742">
        <v>1800</v>
      </c>
      <c r="K97" s="745">
        <v>41488.199999999997</v>
      </c>
      <c r="L97" s="744">
        <v>34.670999999999999</v>
      </c>
      <c r="M97" s="742">
        <v>1800.0000000000002</v>
      </c>
      <c r="N97" s="745">
        <v>62407.8</v>
      </c>
      <c r="O97" s="744">
        <v>38.765999999999998</v>
      </c>
      <c r="P97" s="742">
        <v>1800.0000000000002</v>
      </c>
      <c r="Q97" s="745">
        <v>69778.8</v>
      </c>
      <c r="R97" s="744">
        <v>39.467999999999996</v>
      </c>
      <c r="S97" s="742">
        <v>1800</v>
      </c>
      <c r="T97" s="745">
        <v>71042.399999999994</v>
      </c>
      <c r="U97" s="744">
        <v>35.685000000000002</v>
      </c>
      <c r="V97" s="742">
        <v>1799.9999999999998</v>
      </c>
      <c r="W97" s="745">
        <v>64233</v>
      </c>
      <c r="X97" s="744">
        <v>33.228000000000002</v>
      </c>
      <c r="Y97" s="742">
        <v>1800</v>
      </c>
      <c r="Z97" s="745">
        <v>59810.400000000001</v>
      </c>
      <c r="AA97" s="744">
        <v>35.411999999999999</v>
      </c>
      <c r="AB97" s="742">
        <v>1800.0000000000002</v>
      </c>
      <c r="AC97" s="745">
        <v>63741.600000000006</v>
      </c>
      <c r="AD97" s="744">
        <v>34.983000000000004</v>
      </c>
      <c r="AE97" s="742">
        <v>1799.9999999999998</v>
      </c>
      <c r="AF97" s="745">
        <v>62969.4</v>
      </c>
      <c r="AG97" s="744">
        <v>34.554000000000002</v>
      </c>
      <c r="AH97" s="742">
        <v>1799.9999999999998</v>
      </c>
      <c r="AI97" s="745">
        <v>62197.2</v>
      </c>
      <c r="AJ97" s="744">
        <v>33.657000000000004</v>
      </c>
      <c r="AK97" s="742">
        <v>1799.9999999999998</v>
      </c>
      <c r="AL97" s="745">
        <v>60582.6</v>
      </c>
      <c r="AM97" s="744">
        <v>24.18</v>
      </c>
      <c r="AN97" s="742">
        <v>1800</v>
      </c>
      <c r="AO97" s="745">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21.997800000000002</v>
      </c>
      <c r="D98" s="742">
        <v>1800</v>
      </c>
      <c r="E98" s="743">
        <v>39596.04</v>
      </c>
      <c r="F98" s="744">
        <v>1.2584</v>
      </c>
      <c r="G98" s="742">
        <v>1800</v>
      </c>
      <c r="H98" s="745">
        <v>2265.12</v>
      </c>
      <c r="I98" s="744">
        <v>1.3002</v>
      </c>
      <c r="J98" s="742">
        <v>1800</v>
      </c>
      <c r="K98" s="745">
        <v>2340.36</v>
      </c>
      <c r="L98" s="744">
        <v>1.9558000000000002</v>
      </c>
      <c r="M98" s="742">
        <v>1799.9999999999998</v>
      </c>
      <c r="N98" s="745">
        <v>3520.44</v>
      </c>
      <c r="O98" s="744">
        <v>2.1867999999999999</v>
      </c>
      <c r="P98" s="742">
        <v>1800.0000000000002</v>
      </c>
      <c r="Q98" s="745">
        <v>3936.2400000000002</v>
      </c>
      <c r="R98" s="744">
        <v>2.2263999999999999</v>
      </c>
      <c r="S98" s="742">
        <v>1800</v>
      </c>
      <c r="T98" s="745">
        <v>4007.52</v>
      </c>
      <c r="U98" s="744">
        <v>2.0129999999999999</v>
      </c>
      <c r="V98" s="742">
        <v>1800.0000000000002</v>
      </c>
      <c r="W98" s="745">
        <v>3623.4</v>
      </c>
      <c r="X98" s="744">
        <v>1.8744000000000001</v>
      </c>
      <c r="Y98" s="742">
        <v>1800</v>
      </c>
      <c r="Z98" s="745">
        <v>3373.92</v>
      </c>
      <c r="AA98" s="744">
        <v>1.9976</v>
      </c>
      <c r="AB98" s="742">
        <v>1800</v>
      </c>
      <c r="AC98" s="745">
        <v>3595.6800000000003</v>
      </c>
      <c r="AD98" s="744">
        <v>1.9734</v>
      </c>
      <c r="AE98" s="742">
        <v>1800</v>
      </c>
      <c r="AF98" s="745">
        <v>3552.12</v>
      </c>
      <c r="AG98" s="744">
        <v>1.9492</v>
      </c>
      <c r="AH98" s="742">
        <v>1800</v>
      </c>
      <c r="AI98" s="745">
        <v>3508.56</v>
      </c>
      <c r="AJ98" s="744">
        <v>1.8986000000000001</v>
      </c>
      <c r="AK98" s="742">
        <v>1800</v>
      </c>
      <c r="AL98" s="745">
        <v>3417.48</v>
      </c>
      <c r="AM98" s="744">
        <v>1.3639999999999999</v>
      </c>
      <c r="AN98" s="742">
        <v>1800</v>
      </c>
      <c r="AO98" s="745">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3866</v>
      </c>
      <c r="C99" s="741">
        <v>12.998699999999999</v>
      </c>
      <c r="D99" s="742">
        <v>1800</v>
      </c>
      <c r="E99" s="743">
        <v>23397.66</v>
      </c>
      <c r="F99" s="744">
        <v>0.74360000000000004</v>
      </c>
      <c r="G99" s="742">
        <v>1800</v>
      </c>
      <c r="H99" s="745">
        <v>1338.48</v>
      </c>
      <c r="I99" s="744">
        <v>0.76829999999999998</v>
      </c>
      <c r="J99" s="742">
        <v>1800</v>
      </c>
      <c r="K99" s="745">
        <v>1382.94</v>
      </c>
      <c r="L99" s="744">
        <v>1.1557000000000002</v>
      </c>
      <c r="M99" s="742">
        <v>1800</v>
      </c>
      <c r="N99" s="745">
        <v>2080.2600000000002</v>
      </c>
      <c r="O99" s="744">
        <v>1.2922</v>
      </c>
      <c r="P99" s="742">
        <v>1800</v>
      </c>
      <c r="Q99" s="745">
        <v>2325.96</v>
      </c>
      <c r="R99" s="744">
        <v>1.3155999999999999</v>
      </c>
      <c r="S99" s="742">
        <v>1800</v>
      </c>
      <c r="T99" s="745">
        <v>2368.08</v>
      </c>
      <c r="U99" s="744">
        <v>1.1895</v>
      </c>
      <c r="V99" s="742">
        <v>1800</v>
      </c>
      <c r="W99" s="745">
        <v>2141.1</v>
      </c>
      <c r="X99" s="744">
        <v>1.1075999999999999</v>
      </c>
      <c r="Y99" s="742">
        <v>1800.0000000000002</v>
      </c>
      <c r="Z99" s="745">
        <v>1993.68</v>
      </c>
      <c r="AA99" s="744">
        <v>1.1804000000000001</v>
      </c>
      <c r="AB99" s="742">
        <v>1800</v>
      </c>
      <c r="AC99" s="745">
        <v>2124.7200000000003</v>
      </c>
      <c r="AD99" s="744">
        <v>1.1661000000000001</v>
      </c>
      <c r="AE99" s="742">
        <v>1799.9999999999998</v>
      </c>
      <c r="AF99" s="745">
        <v>2098.98</v>
      </c>
      <c r="AG99" s="744">
        <v>1.1517999999999999</v>
      </c>
      <c r="AH99" s="742">
        <v>1800</v>
      </c>
      <c r="AI99" s="745">
        <v>2073.2399999999998</v>
      </c>
      <c r="AJ99" s="744">
        <v>1.1219000000000001</v>
      </c>
      <c r="AK99" s="742">
        <v>1799.9999999999998</v>
      </c>
      <c r="AL99" s="745">
        <v>2019.42</v>
      </c>
      <c r="AM99" s="744">
        <v>0.80600000000000005</v>
      </c>
      <c r="AN99" s="742">
        <v>1799.9999999999998</v>
      </c>
      <c r="AO99" s="745">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424.95749999999998</v>
      </c>
      <c r="D100" s="747">
        <v>1800</v>
      </c>
      <c r="E100" s="748">
        <v>764923.5</v>
      </c>
      <c r="F100" s="746">
        <v>24.310000000000002</v>
      </c>
      <c r="G100" s="747">
        <v>1800.0000000000002</v>
      </c>
      <c r="H100" s="748">
        <v>43758.000000000007</v>
      </c>
      <c r="I100" s="746">
        <v>25.1175</v>
      </c>
      <c r="J100" s="747">
        <v>1800</v>
      </c>
      <c r="K100" s="748">
        <v>45211.5</v>
      </c>
      <c r="L100" s="746">
        <v>37.782500000000006</v>
      </c>
      <c r="M100" s="747">
        <v>1799.9999999999998</v>
      </c>
      <c r="N100" s="748">
        <v>68008.5</v>
      </c>
      <c r="O100" s="746">
        <v>42.244999999999997</v>
      </c>
      <c r="P100" s="747">
        <v>1800.0000000000005</v>
      </c>
      <c r="Q100" s="748">
        <v>76041.000000000015</v>
      </c>
      <c r="R100" s="746">
        <v>43.009999999999991</v>
      </c>
      <c r="S100" s="747">
        <v>1800.0000000000005</v>
      </c>
      <c r="T100" s="748">
        <v>77418</v>
      </c>
      <c r="U100" s="746">
        <v>38.887500000000003</v>
      </c>
      <c r="V100" s="747">
        <v>1799.9999999999998</v>
      </c>
      <c r="W100" s="748">
        <v>69997.5</v>
      </c>
      <c r="X100" s="746">
        <v>36.21</v>
      </c>
      <c r="Y100" s="747">
        <v>1800</v>
      </c>
      <c r="Z100" s="748">
        <v>65178</v>
      </c>
      <c r="AA100" s="746">
        <v>38.589999999999996</v>
      </c>
      <c r="AB100" s="747">
        <v>1800.0000000000002</v>
      </c>
      <c r="AC100" s="748">
        <v>69462</v>
      </c>
      <c r="AD100" s="746">
        <v>38.122500000000002</v>
      </c>
      <c r="AE100" s="747">
        <v>1800</v>
      </c>
      <c r="AF100" s="748">
        <v>68620.5</v>
      </c>
      <c r="AG100" s="746">
        <v>37.655000000000001</v>
      </c>
      <c r="AH100" s="747">
        <v>1800</v>
      </c>
      <c r="AI100" s="748">
        <v>67779</v>
      </c>
      <c r="AJ100" s="746">
        <v>36.677500000000009</v>
      </c>
      <c r="AK100" s="747">
        <v>1799.9999999999995</v>
      </c>
      <c r="AL100" s="748">
        <v>66019.5</v>
      </c>
      <c r="AM100" s="746">
        <v>26.35</v>
      </c>
      <c r="AN100" s="747">
        <v>1800</v>
      </c>
      <c r="AO100" s="748">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c r="J102" s="759"/>
      <c r="K102" s="750"/>
      <c r="L102" s="749"/>
      <c r="M102" s="759"/>
      <c r="N102" s="750"/>
      <c r="O102" s="749"/>
      <c r="P102" s="759"/>
      <c r="Q102" s="750"/>
      <c r="R102" s="749"/>
      <c r="S102" s="759"/>
      <c r="T102" s="750"/>
      <c r="U102" s="749"/>
      <c r="V102" s="759"/>
      <c r="W102" s="750"/>
      <c r="X102" s="749"/>
      <c r="Y102" s="759"/>
      <c r="Z102" s="750"/>
      <c r="AA102" s="749"/>
      <c r="AB102" s="759"/>
      <c r="AC102" s="750"/>
      <c r="AD102" s="749"/>
      <c r="AE102" s="759"/>
      <c r="AF102" s="750"/>
      <c r="AG102" s="749"/>
      <c r="AH102" s="759"/>
      <c r="AI102" s="750"/>
      <c r="AJ102" s="749"/>
      <c r="AK102" s="759"/>
      <c r="AL102" s="750"/>
      <c r="AM102" s="749"/>
      <c r="AN102" s="759"/>
      <c r="AO102" s="750"/>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434.95650000000001</v>
      </c>
      <c r="D103" s="742">
        <v>400</v>
      </c>
      <c r="E103" s="743">
        <v>173982.6</v>
      </c>
      <c r="F103" s="744">
        <v>24.882000000000001</v>
      </c>
      <c r="G103" s="742">
        <v>399.99999999999994</v>
      </c>
      <c r="H103" s="745">
        <v>9952.7999999999993</v>
      </c>
      <c r="I103" s="744">
        <v>25.708500000000001</v>
      </c>
      <c r="J103" s="742">
        <v>400</v>
      </c>
      <c r="K103" s="745">
        <v>10283.4</v>
      </c>
      <c r="L103" s="744">
        <v>38.671500000000002</v>
      </c>
      <c r="M103" s="742">
        <v>400</v>
      </c>
      <c r="N103" s="745">
        <v>15468.6</v>
      </c>
      <c r="O103" s="744">
        <v>43.239000000000004</v>
      </c>
      <c r="P103" s="742">
        <v>400</v>
      </c>
      <c r="Q103" s="745">
        <v>17295.600000000002</v>
      </c>
      <c r="R103" s="744">
        <v>44.021999999999998</v>
      </c>
      <c r="S103" s="742">
        <v>400</v>
      </c>
      <c r="T103" s="745">
        <v>17608.8</v>
      </c>
      <c r="U103" s="744">
        <v>39.802500000000002</v>
      </c>
      <c r="V103" s="742">
        <v>400</v>
      </c>
      <c r="W103" s="745">
        <v>15921</v>
      </c>
      <c r="X103" s="744">
        <v>37.061999999999998</v>
      </c>
      <c r="Y103" s="742">
        <v>400</v>
      </c>
      <c r="Z103" s="745">
        <v>14824.8</v>
      </c>
      <c r="AA103" s="744">
        <v>39.498000000000005</v>
      </c>
      <c r="AB103" s="742">
        <v>399.99999999999994</v>
      </c>
      <c r="AC103" s="745">
        <v>15799.2</v>
      </c>
      <c r="AD103" s="744">
        <v>39.019500000000001</v>
      </c>
      <c r="AE103" s="742">
        <v>400</v>
      </c>
      <c r="AF103" s="745">
        <v>15607.800000000001</v>
      </c>
      <c r="AG103" s="744">
        <v>38.540999999999997</v>
      </c>
      <c r="AH103" s="742">
        <v>400</v>
      </c>
      <c r="AI103" s="745">
        <v>15416.4</v>
      </c>
      <c r="AJ103" s="744">
        <v>37.540500000000002</v>
      </c>
      <c r="AK103" s="742">
        <v>400</v>
      </c>
      <c r="AL103" s="745">
        <v>15016.2</v>
      </c>
      <c r="AM103" s="744">
        <v>26.97</v>
      </c>
      <c r="AN103" s="742">
        <v>400</v>
      </c>
      <c r="AO103" s="745">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700</v>
      </c>
      <c r="E105" s="743">
        <v>297470.25</v>
      </c>
      <c r="F105" s="744"/>
      <c r="G105" s="742">
        <v>699.99999999999989</v>
      </c>
      <c r="H105" s="745">
        <v>17017</v>
      </c>
      <c r="I105" s="744"/>
      <c r="J105" s="742">
        <v>700</v>
      </c>
      <c r="K105" s="745">
        <v>17582.25</v>
      </c>
      <c r="L105" s="744"/>
      <c r="M105" s="742">
        <v>700</v>
      </c>
      <c r="N105" s="745">
        <v>26447.750000000004</v>
      </c>
      <c r="O105" s="744"/>
      <c r="P105" s="742">
        <v>700</v>
      </c>
      <c r="Q105" s="745">
        <v>29571.5</v>
      </c>
      <c r="R105" s="744"/>
      <c r="S105" s="742">
        <v>700</v>
      </c>
      <c r="T105" s="745">
        <v>30106.999999999993</v>
      </c>
      <c r="U105" s="744"/>
      <c r="V105" s="742">
        <v>700</v>
      </c>
      <c r="W105" s="745">
        <v>27221.250000000004</v>
      </c>
      <c r="X105" s="744"/>
      <c r="Y105" s="742">
        <v>700</v>
      </c>
      <c r="Z105" s="745">
        <v>25347</v>
      </c>
      <c r="AA105" s="744"/>
      <c r="AB105" s="742">
        <v>700</v>
      </c>
      <c r="AC105" s="745">
        <v>27012.999999999996</v>
      </c>
      <c r="AD105" s="744"/>
      <c r="AE105" s="742">
        <v>700</v>
      </c>
      <c r="AF105" s="745">
        <v>26685.75</v>
      </c>
      <c r="AG105" s="744"/>
      <c r="AH105" s="742">
        <v>700</v>
      </c>
      <c r="AI105" s="745">
        <v>26358.5</v>
      </c>
      <c r="AJ105" s="744"/>
      <c r="AK105" s="742">
        <v>700</v>
      </c>
      <c r="AL105" s="745">
        <v>25674.250000000007</v>
      </c>
      <c r="AM105" s="744"/>
      <c r="AN105" s="742">
        <v>700</v>
      </c>
      <c r="AO105" s="745">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1450</v>
      </c>
      <c r="E106" s="743">
        <v>616188.375</v>
      </c>
      <c r="F106" s="744"/>
      <c r="G106" s="742">
        <v>1449.9999999999998</v>
      </c>
      <c r="H106" s="745">
        <v>35249.5</v>
      </c>
      <c r="I106" s="744"/>
      <c r="J106" s="742">
        <v>1450</v>
      </c>
      <c r="K106" s="745">
        <v>36420.375</v>
      </c>
      <c r="L106" s="744"/>
      <c r="M106" s="742">
        <v>1450</v>
      </c>
      <c r="N106" s="745">
        <v>54784.625000000007</v>
      </c>
      <c r="O106" s="744"/>
      <c r="P106" s="742">
        <v>1450</v>
      </c>
      <c r="Q106" s="745">
        <v>61255.249999999993</v>
      </c>
      <c r="R106" s="744"/>
      <c r="S106" s="742">
        <v>1450</v>
      </c>
      <c r="T106" s="745">
        <v>62364.499999999985</v>
      </c>
      <c r="U106" s="744"/>
      <c r="V106" s="742">
        <v>1450</v>
      </c>
      <c r="W106" s="745">
        <v>56386.875000000007</v>
      </c>
      <c r="X106" s="744"/>
      <c r="Y106" s="742">
        <v>1450</v>
      </c>
      <c r="Z106" s="745">
        <v>52504.5</v>
      </c>
      <c r="AA106" s="744"/>
      <c r="AB106" s="742">
        <v>1450</v>
      </c>
      <c r="AC106" s="745">
        <v>55955.499999999993</v>
      </c>
      <c r="AD106" s="744"/>
      <c r="AE106" s="742">
        <v>1450</v>
      </c>
      <c r="AF106" s="745">
        <v>55277.625</v>
      </c>
      <c r="AG106" s="744"/>
      <c r="AH106" s="742">
        <v>1450</v>
      </c>
      <c r="AI106" s="745">
        <v>54599.75</v>
      </c>
      <c r="AJ106" s="744"/>
      <c r="AK106" s="742">
        <v>1450</v>
      </c>
      <c r="AL106" s="745">
        <v>53182.375000000015</v>
      </c>
      <c r="AM106" s="744"/>
      <c r="AN106" s="742">
        <v>1450</v>
      </c>
      <c r="AO106" s="745">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50</v>
      </c>
      <c r="E107" s="743">
        <v>21247.875</v>
      </c>
      <c r="F107" s="744"/>
      <c r="G107" s="809">
        <v>49.999999999999993</v>
      </c>
      <c r="H107" s="745">
        <v>1215.5</v>
      </c>
      <c r="I107" s="744"/>
      <c r="J107" s="809">
        <v>50</v>
      </c>
      <c r="K107" s="745">
        <v>1255.875</v>
      </c>
      <c r="L107" s="744"/>
      <c r="M107" s="809">
        <v>50</v>
      </c>
      <c r="N107" s="745">
        <v>1889.1250000000002</v>
      </c>
      <c r="O107" s="744"/>
      <c r="P107" s="809">
        <v>50</v>
      </c>
      <c r="Q107" s="745">
        <v>2112.25</v>
      </c>
      <c r="R107" s="744"/>
      <c r="S107" s="809">
        <v>50</v>
      </c>
      <c r="T107" s="745">
        <v>2150.4999999999995</v>
      </c>
      <c r="U107" s="744"/>
      <c r="V107" s="809">
        <v>50</v>
      </c>
      <c r="W107" s="745">
        <v>1944.3750000000002</v>
      </c>
      <c r="X107" s="744"/>
      <c r="Y107" s="809">
        <v>50</v>
      </c>
      <c r="Z107" s="745">
        <v>1810.5</v>
      </c>
      <c r="AA107" s="744"/>
      <c r="AB107" s="809">
        <v>50</v>
      </c>
      <c r="AC107" s="745">
        <v>1929.4999999999998</v>
      </c>
      <c r="AD107" s="744"/>
      <c r="AE107" s="809">
        <v>50</v>
      </c>
      <c r="AF107" s="745">
        <v>1906.125</v>
      </c>
      <c r="AG107" s="744"/>
      <c r="AH107" s="809">
        <v>50</v>
      </c>
      <c r="AI107" s="745">
        <v>1882.75</v>
      </c>
      <c r="AJ107" s="744"/>
      <c r="AK107" s="809">
        <v>50</v>
      </c>
      <c r="AL107" s="745">
        <v>1833.8750000000005</v>
      </c>
      <c r="AM107" s="744"/>
      <c r="AN107" s="809">
        <v>50</v>
      </c>
      <c r="AO107" s="745">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424.95749999999998</v>
      </c>
      <c r="D108" s="747">
        <v>2200</v>
      </c>
      <c r="E108" s="748">
        <v>934906.5</v>
      </c>
      <c r="F108" s="746">
        <v>24.310000000000002</v>
      </c>
      <c r="G108" s="747">
        <v>2200</v>
      </c>
      <c r="H108" s="748">
        <v>53482</v>
      </c>
      <c r="I108" s="746">
        <v>25.1175</v>
      </c>
      <c r="J108" s="747">
        <v>2200</v>
      </c>
      <c r="K108" s="748">
        <v>55258.5</v>
      </c>
      <c r="L108" s="746">
        <v>37.782500000000006</v>
      </c>
      <c r="M108" s="747">
        <v>2200</v>
      </c>
      <c r="N108" s="748">
        <v>83121.500000000015</v>
      </c>
      <c r="O108" s="746">
        <v>42.244999999999997</v>
      </c>
      <c r="P108" s="747">
        <v>2200</v>
      </c>
      <c r="Q108" s="748">
        <v>92939</v>
      </c>
      <c r="R108" s="746">
        <v>43.009999999999991</v>
      </c>
      <c r="S108" s="747">
        <v>2200</v>
      </c>
      <c r="T108" s="748">
        <v>94621.999999999971</v>
      </c>
      <c r="U108" s="746">
        <v>38.887500000000003</v>
      </c>
      <c r="V108" s="747">
        <v>2200</v>
      </c>
      <c r="W108" s="748">
        <v>85552.500000000015</v>
      </c>
      <c r="X108" s="746">
        <v>36.21</v>
      </c>
      <c r="Y108" s="747">
        <v>2200</v>
      </c>
      <c r="Z108" s="748">
        <v>79662</v>
      </c>
      <c r="AA108" s="746">
        <v>38.589999999999996</v>
      </c>
      <c r="AB108" s="747">
        <v>2200</v>
      </c>
      <c r="AC108" s="748">
        <v>84897.999999999985</v>
      </c>
      <c r="AD108" s="746">
        <v>38.122500000000002</v>
      </c>
      <c r="AE108" s="747">
        <v>2200</v>
      </c>
      <c r="AF108" s="748">
        <v>83869.5</v>
      </c>
      <c r="AG108" s="746">
        <v>37.655000000000001</v>
      </c>
      <c r="AH108" s="747">
        <v>2200</v>
      </c>
      <c r="AI108" s="748">
        <v>82841</v>
      </c>
      <c r="AJ108" s="746">
        <v>36.677500000000009</v>
      </c>
      <c r="AK108" s="747">
        <v>2200.0000000000005</v>
      </c>
      <c r="AL108" s="748">
        <v>80690.500000000029</v>
      </c>
      <c r="AM108" s="746">
        <v>26.35</v>
      </c>
      <c r="AN108" s="747">
        <v>2200</v>
      </c>
      <c r="AO108" s="748">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61">
        <v>859.91399999999999</v>
      </c>
      <c r="D111" s="762">
        <v>2179.0697674418607</v>
      </c>
      <c r="E111" s="763">
        <v>1873812.6</v>
      </c>
      <c r="F111" s="761">
        <v>49.192000000000007</v>
      </c>
      <c r="G111" s="762">
        <v>2179.0697674418602</v>
      </c>
      <c r="H111" s="763">
        <v>107192.8</v>
      </c>
      <c r="I111" s="761">
        <v>50.826000000000001</v>
      </c>
      <c r="J111" s="762">
        <v>2179.0697674418602</v>
      </c>
      <c r="K111" s="763">
        <v>110753.4</v>
      </c>
      <c r="L111" s="761">
        <v>76.454000000000008</v>
      </c>
      <c r="M111" s="762">
        <v>2179.0697674418602</v>
      </c>
      <c r="N111" s="763">
        <v>166598.6</v>
      </c>
      <c r="O111" s="761">
        <v>85.484000000000009</v>
      </c>
      <c r="P111" s="762">
        <v>2179.0697674418602</v>
      </c>
      <c r="Q111" s="763">
        <v>186275.6</v>
      </c>
      <c r="R111" s="761">
        <v>87.031999999999982</v>
      </c>
      <c r="S111" s="762">
        <v>2179.0697674418602</v>
      </c>
      <c r="T111" s="763">
        <v>189648.79999999996</v>
      </c>
      <c r="U111" s="761">
        <v>78.69</v>
      </c>
      <c r="V111" s="762">
        <v>2179.0697674418607</v>
      </c>
      <c r="W111" s="763">
        <v>171471</v>
      </c>
      <c r="X111" s="761">
        <v>73.271999999999991</v>
      </c>
      <c r="Y111" s="762">
        <v>2179.0697674418607</v>
      </c>
      <c r="Z111" s="763">
        <v>159664.79999999999</v>
      </c>
      <c r="AA111" s="761">
        <v>78.087999999999994</v>
      </c>
      <c r="AB111" s="762">
        <v>2179.0697674418607</v>
      </c>
      <c r="AC111" s="763">
        <v>170159.2</v>
      </c>
      <c r="AD111" s="761">
        <v>77.141999999999996</v>
      </c>
      <c r="AE111" s="762">
        <v>2179.0697674418602</v>
      </c>
      <c r="AF111" s="763">
        <v>168097.8</v>
      </c>
      <c r="AG111" s="761">
        <v>76.195999999999998</v>
      </c>
      <c r="AH111" s="762">
        <v>2179.0697674418602</v>
      </c>
      <c r="AI111" s="763">
        <v>166036.4</v>
      </c>
      <c r="AJ111" s="761">
        <v>74.218000000000018</v>
      </c>
      <c r="AK111" s="762">
        <v>2179.0697674418607</v>
      </c>
      <c r="AL111" s="763">
        <v>161726.20000000004</v>
      </c>
      <c r="AM111" s="761">
        <v>53.32</v>
      </c>
      <c r="AN111" s="762">
        <v>2179.0697674418607</v>
      </c>
      <c r="AO111" s="763">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0.33000000000000007</v>
      </c>
      <c r="D115" s="772">
        <v>612.742718446602</v>
      </c>
      <c r="E115" s="760">
        <v>252424.75500000003</v>
      </c>
      <c r="F115" s="771">
        <v>0.33</v>
      </c>
      <c r="G115" s="772">
        <v>612.742718446602</v>
      </c>
      <c r="H115" s="773">
        <v>14440.140000000003</v>
      </c>
      <c r="I115" s="771">
        <v>0.33</v>
      </c>
      <c r="J115" s="772">
        <v>612.742718446602</v>
      </c>
      <c r="K115" s="773">
        <v>14919.795</v>
      </c>
      <c r="L115" s="771">
        <v>0.33</v>
      </c>
      <c r="M115" s="772">
        <v>612.74271844660188</v>
      </c>
      <c r="N115" s="773">
        <v>22442.805</v>
      </c>
      <c r="O115" s="771">
        <v>0.33</v>
      </c>
      <c r="P115" s="772">
        <v>612.74271844660211</v>
      </c>
      <c r="Q115" s="773">
        <v>25093.530000000006</v>
      </c>
      <c r="R115" s="771">
        <v>0.33</v>
      </c>
      <c r="S115" s="772">
        <v>612.74271844660211</v>
      </c>
      <c r="T115" s="773">
        <v>25547.940000000002</v>
      </c>
      <c r="U115" s="771">
        <v>0.33</v>
      </c>
      <c r="V115" s="772">
        <v>612.74271844660188</v>
      </c>
      <c r="W115" s="773">
        <v>23099.174999999999</v>
      </c>
      <c r="X115" s="771">
        <v>0.33</v>
      </c>
      <c r="Y115" s="772">
        <v>612.74271844660188</v>
      </c>
      <c r="Z115" s="773">
        <v>21508.74</v>
      </c>
      <c r="AA115" s="771">
        <v>0.33</v>
      </c>
      <c r="AB115" s="772">
        <v>612.74271844660211</v>
      </c>
      <c r="AC115" s="773">
        <v>22922.460000000003</v>
      </c>
      <c r="AD115" s="771">
        <v>0.33</v>
      </c>
      <c r="AE115" s="772">
        <v>612.74271844660188</v>
      </c>
      <c r="AF115" s="773">
        <v>22644.764999999999</v>
      </c>
      <c r="AG115" s="771">
        <v>0.33</v>
      </c>
      <c r="AH115" s="772">
        <v>612.74271844660188</v>
      </c>
      <c r="AI115" s="773">
        <v>22367.07</v>
      </c>
      <c r="AJ115" s="771">
        <v>0.33</v>
      </c>
      <c r="AK115" s="772">
        <v>612.74271844660188</v>
      </c>
      <c r="AL115" s="773">
        <v>21786.435000000001</v>
      </c>
      <c r="AM115" s="771">
        <v>0.33</v>
      </c>
      <c r="AN115" s="772">
        <v>612.742718446602</v>
      </c>
      <c r="AO115" s="773">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0.3</v>
      </c>
      <c r="D116" s="775">
        <v>680.82524271844659</v>
      </c>
      <c r="E116" s="776">
        <v>280471.95</v>
      </c>
      <c r="F116" s="774">
        <v>0.3</v>
      </c>
      <c r="G116" s="775">
        <v>680.82524271844648</v>
      </c>
      <c r="H116" s="777">
        <v>16044.599999999999</v>
      </c>
      <c r="I116" s="774">
        <v>0.3</v>
      </c>
      <c r="J116" s="775">
        <v>680.82524271844659</v>
      </c>
      <c r="K116" s="777">
        <v>16577.55</v>
      </c>
      <c r="L116" s="774">
        <v>0.3</v>
      </c>
      <c r="M116" s="775">
        <v>680.8252427184467</v>
      </c>
      <c r="N116" s="777">
        <v>24936.450000000004</v>
      </c>
      <c r="O116" s="774">
        <v>0.3</v>
      </c>
      <c r="P116" s="775">
        <v>680.8252427184467</v>
      </c>
      <c r="Q116" s="777">
        <v>27881.7</v>
      </c>
      <c r="R116" s="774">
        <v>0.3</v>
      </c>
      <c r="S116" s="775">
        <v>680.82524271844648</v>
      </c>
      <c r="T116" s="777">
        <v>28386.599999999991</v>
      </c>
      <c r="U116" s="774">
        <v>0.3</v>
      </c>
      <c r="V116" s="775">
        <v>680.8252427184467</v>
      </c>
      <c r="W116" s="777">
        <v>25665.750000000004</v>
      </c>
      <c r="X116" s="774">
        <v>0.3</v>
      </c>
      <c r="Y116" s="775">
        <v>680.82524271844648</v>
      </c>
      <c r="Z116" s="777">
        <v>23898.6</v>
      </c>
      <c r="AA116" s="774">
        <v>0.3</v>
      </c>
      <c r="AB116" s="775">
        <v>680.82524271844648</v>
      </c>
      <c r="AC116" s="777">
        <v>25469.399999999994</v>
      </c>
      <c r="AD116" s="774">
        <v>0.3</v>
      </c>
      <c r="AE116" s="775">
        <v>680.82524271844648</v>
      </c>
      <c r="AF116" s="777">
        <v>25160.85</v>
      </c>
      <c r="AG116" s="774">
        <v>0.3</v>
      </c>
      <c r="AH116" s="775">
        <v>680.82524271844659</v>
      </c>
      <c r="AI116" s="777">
        <v>24852.3</v>
      </c>
      <c r="AJ116" s="774">
        <v>0.3</v>
      </c>
      <c r="AK116" s="775">
        <v>680.8252427184467</v>
      </c>
      <c r="AL116" s="777">
        <v>24207.150000000009</v>
      </c>
      <c r="AM116" s="774">
        <v>0.3</v>
      </c>
      <c r="AN116" s="775">
        <v>680.82524271844659</v>
      </c>
      <c r="AO116" s="777">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10.315533980582526</v>
      </c>
      <c r="E117" s="760">
        <v>4249.5750000000007</v>
      </c>
      <c r="F117" s="749"/>
      <c r="G117" s="772">
        <v>10.315533980582524</v>
      </c>
      <c r="H117" s="773">
        <v>243.10000000000002</v>
      </c>
      <c r="I117" s="749"/>
      <c r="J117" s="772">
        <v>10.315533980582526</v>
      </c>
      <c r="K117" s="773">
        <v>251.17500000000001</v>
      </c>
      <c r="L117" s="749"/>
      <c r="M117" s="772">
        <v>10.315533980582524</v>
      </c>
      <c r="N117" s="773">
        <v>377.82500000000005</v>
      </c>
      <c r="O117" s="749"/>
      <c r="P117" s="772">
        <v>10.315533980582526</v>
      </c>
      <c r="Q117" s="773">
        <v>422.45</v>
      </c>
      <c r="R117" s="749"/>
      <c r="S117" s="772">
        <v>10.315533980582524</v>
      </c>
      <c r="T117" s="773">
        <v>430.09999999999991</v>
      </c>
      <c r="U117" s="749"/>
      <c r="V117" s="772">
        <v>10.315533980582524</v>
      </c>
      <c r="W117" s="773">
        <v>388.875</v>
      </c>
      <c r="X117" s="749"/>
      <c r="Y117" s="772">
        <v>10.315533980582524</v>
      </c>
      <c r="Z117" s="773">
        <v>362.1</v>
      </c>
      <c r="AA117" s="749"/>
      <c r="AB117" s="772">
        <v>10.315533980582524</v>
      </c>
      <c r="AC117" s="773">
        <v>385.9</v>
      </c>
      <c r="AD117" s="749"/>
      <c r="AE117" s="772">
        <v>10.315533980582524</v>
      </c>
      <c r="AF117" s="773">
        <v>381.22500000000002</v>
      </c>
      <c r="AG117" s="749"/>
      <c r="AH117" s="772">
        <v>10.315533980582524</v>
      </c>
      <c r="AI117" s="773">
        <v>376.55</v>
      </c>
      <c r="AJ117" s="749"/>
      <c r="AK117" s="772">
        <v>10.315533980582526</v>
      </c>
      <c r="AL117" s="773">
        <v>366.77500000000009</v>
      </c>
      <c r="AM117" s="749"/>
      <c r="AN117" s="772">
        <v>10.315533980582524</v>
      </c>
      <c r="AO117" s="773">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7.2208737864077674</v>
      </c>
      <c r="E118" s="760">
        <v>2974.7025000000003</v>
      </c>
      <c r="F118" s="749"/>
      <c r="G118" s="772">
        <v>7.2208737864077674</v>
      </c>
      <c r="H118" s="773">
        <v>170.17000000000002</v>
      </c>
      <c r="I118" s="749"/>
      <c r="J118" s="772">
        <v>7.2208737864077666</v>
      </c>
      <c r="K118" s="773">
        <v>175.82249999999999</v>
      </c>
      <c r="L118" s="749"/>
      <c r="M118" s="772">
        <v>7.2208737864077666</v>
      </c>
      <c r="N118" s="773">
        <v>264.47750000000002</v>
      </c>
      <c r="O118" s="749"/>
      <c r="P118" s="772">
        <v>7.2208737864077674</v>
      </c>
      <c r="Q118" s="773">
        <v>295.71499999999997</v>
      </c>
      <c r="R118" s="749"/>
      <c r="S118" s="772">
        <v>7.2208737864077666</v>
      </c>
      <c r="T118" s="773">
        <v>301.06999999999994</v>
      </c>
      <c r="U118" s="749"/>
      <c r="V118" s="772">
        <v>7.2208737864077674</v>
      </c>
      <c r="W118" s="773">
        <v>272.21250000000003</v>
      </c>
      <c r="X118" s="749"/>
      <c r="Y118" s="772">
        <v>7.2208737864077666</v>
      </c>
      <c r="Z118" s="773">
        <v>253.47</v>
      </c>
      <c r="AA118" s="749"/>
      <c r="AB118" s="772">
        <v>7.2208737864077674</v>
      </c>
      <c r="AC118" s="773">
        <v>270.13</v>
      </c>
      <c r="AD118" s="749"/>
      <c r="AE118" s="772">
        <v>7.2208737864077666</v>
      </c>
      <c r="AF118" s="773">
        <v>266.85750000000002</v>
      </c>
      <c r="AG118" s="749"/>
      <c r="AH118" s="772">
        <v>7.2208737864077683</v>
      </c>
      <c r="AI118" s="773">
        <v>263.58500000000004</v>
      </c>
      <c r="AJ118" s="749"/>
      <c r="AK118" s="772">
        <v>7.2208737864077674</v>
      </c>
      <c r="AL118" s="773">
        <v>256.74250000000006</v>
      </c>
      <c r="AM118" s="749"/>
      <c r="AN118" s="772">
        <v>7.2208737864077674</v>
      </c>
      <c r="AO118" s="773">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167.11165048543691</v>
      </c>
      <c r="E119" s="776">
        <v>68843.115000000005</v>
      </c>
      <c r="F119" s="778"/>
      <c r="G119" s="775">
        <v>167.11165048543688</v>
      </c>
      <c r="H119" s="777">
        <v>3938.2200000000003</v>
      </c>
      <c r="I119" s="778"/>
      <c r="J119" s="775">
        <v>167.11165048543688</v>
      </c>
      <c r="K119" s="777">
        <v>4069.0349999999999</v>
      </c>
      <c r="L119" s="778"/>
      <c r="M119" s="775">
        <v>167.11165048543691</v>
      </c>
      <c r="N119" s="777">
        <v>6120.7650000000012</v>
      </c>
      <c r="O119" s="778"/>
      <c r="P119" s="775">
        <v>167.11165048543691</v>
      </c>
      <c r="Q119" s="777">
        <v>6843.69</v>
      </c>
      <c r="R119" s="778"/>
      <c r="S119" s="775">
        <v>167.11165048543688</v>
      </c>
      <c r="T119" s="777">
        <v>6967.619999999999</v>
      </c>
      <c r="U119" s="778"/>
      <c r="V119" s="775">
        <v>167.11165048543691</v>
      </c>
      <c r="W119" s="777">
        <v>6299.7750000000005</v>
      </c>
      <c r="X119" s="778"/>
      <c r="Y119" s="775">
        <v>167.11165048543688</v>
      </c>
      <c r="Z119" s="777">
        <v>5866.02</v>
      </c>
      <c r="AA119" s="778"/>
      <c r="AB119" s="775">
        <v>167.11165048543688</v>
      </c>
      <c r="AC119" s="777">
        <v>6251.579999999999</v>
      </c>
      <c r="AD119" s="778"/>
      <c r="AE119" s="775">
        <v>167.11165048543688</v>
      </c>
      <c r="AF119" s="777">
        <v>6175.8450000000003</v>
      </c>
      <c r="AG119" s="778"/>
      <c r="AH119" s="775">
        <v>167.11165048543691</v>
      </c>
      <c r="AI119" s="777">
        <v>6100.1100000000006</v>
      </c>
      <c r="AJ119" s="778"/>
      <c r="AK119" s="775">
        <v>167.11165048543688</v>
      </c>
      <c r="AL119" s="777">
        <v>5941.755000000001</v>
      </c>
      <c r="AM119" s="778"/>
      <c r="AN119" s="775">
        <v>167.11165048543688</v>
      </c>
      <c r="AO119" s="777">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338.20918499616954</v>
      </c>
      <c r="E120" s="760">
        <v>139328.25</v>
      </c>
      <c r="F120" s="749"/>
      <c r="G120" s="772">
        <v>539.79394392015752</v>
      </c>
      <c r="H120" s="773">
        <v>12721</v>
      </c>
      <c r="I120" s="749"/>
      <c r="J120" s="772">
        <v>519.12383158378918</v>
      </c>
      <c r="K120" s="773">
        <v>12640.25</v>
      </c>
      <c r="L120" s="749"/>
      <c r="M120" s="772">
        <v>310.5308135026811</v>
      </c>
      <c r="N120" s="773">
        <v>11373.75</v>
      </c>
      <c r="O120" s="749"/>
      <c r="P120" s="772">
        <v>266.83157195600791</v>
      </c>
      <c r="Q120" s="773">
        <v>10927.5</v>
      </c>
      <c r="R120" s="749"/>
      <c r="S120" s="772">
        <v>260.25077708277377</v>
      </c>
      <c r="T120" s="773">
        <v>10851</v>
      </c>
      <c r="U120" s="749"/>
      <c r="V120" s="772">
        <v>298.77579712451586</v>
      </c>
      <c r="W120" s="773">
        <v>11263.25</v>
      </c>
      <c r="X120" s="749"/>
      <c r="Y120" s="772">
        <v>328.4960572496467</v>
      </c>
      <c r="Z120" s="773">
        <v>11531</v>
      </c>
      <c r="AA120" s="749"/>
      <c r="AB120" s="772">
        <v>301.87438518455156</v>
      </c>
      <c r="AC120" s="773">
        <v>11293</v>
      </c>
      <c r="AD120" s="749"/>
      <c r="AE120" s="772">
        <v>306.84130488900433</v>
      </c>
      <c r="AF120" s="773">
        <v>11339.75</v>
      </c>
      <c r="AG120" s="749"/>
      <c r="AH120" s="772">
        <v>311.93155668544131</v>
      </c>
      <c r="AI120" s="773">
        <v>11386.5</v>
      </c>
      <c r="AJ120" s="749"/>
      <c r="AK120" s="772">
        <v>322.99412750734058</v>
      </c>
      <c r="AL120" s="773">
        <v>11484.25</v>
      </c>
      <c r="AM120" s="749"/>
      <c r="AN120" s="772">
        <v>490.01722518008143</v>
      </c>
      <c r="AO120" s="773">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222.85584559114088</v>
      </c>
      <c r="E121" s="760">
        <v>91807.42672271168</v>
      </c>
      <c r="F121" s="749"/>
      <c r="G121" s="772">
        <v>266.23544990963137</v>
      </c>
      <c r="H121" s="773">
        <v>6274.2111067503365</v>
      </c>
      <c r="I121" s="749"/>
      <c r="J121" s="772">
        <v>327.21310523207296</v>
      </c>
      <c r="K121" s="773">
        <v>7967.377341916791</v>
      </c>
      <c r="L121" s="749"/>
      <c r="M121" s="772">
        <v>233.81684341378229</v>
      </c>
      <c r="N121" s="773">
        <v>8563.9627603479221</v>
      </c>
      <c r="O121" s="749"/>
      <c r="P121" s="772">
        <v>211.61518983719517</v>
      </c>
      <c r="Q121" s="773">
        <v>8666.2345463646852</v>
      </c>
      <c r="R121" s="749"/>
      <c r="S121" s="772">
        <v>194.63293044274809</v>
      </c>
      <c r="T121" s="773">
        <v>8115.1032550521149</v>
      </c>
      <c r="U121" s="749"/>
      <c r="V121" s="772">
        <v>205.77091633490997</v>
      </c>
      <c r="W121" s="773">
        <v>7757.1520039934358</v>
      </c>
      <c r="X121" s="749"/>
      <c r="Y121" s="772">
        <v>230.05067727059608</v>
      </c>
      <c r="Z121" s="773">
        <v>8075.3308938233722</v>
      </c>
      <c r="AA121" s="749"/>
      <c r="AB121" s="772">
        <v>214.19185099641138</v>
      </c>
      <c r="AC121" s="773">
        <v>8012.8314690353509</v>
      </c>
      <c r="AD121" s="749"/>
      <c r="AE121" s="772">
        <v>215.12734044028448</v>
      </c>
      <c r="AF121" s="773">
        <v>7950.3320442473296</v>
      </c>
      <c r="AG121" s="749"/>
      <c r="AH121" s="772">
        <v>214.21824466845268</v>
      </c>
      <c r="AI121" s="773">
        <v>7819.6514287814616</v>
      </c>
      <c r="AJ121" s="749"/>
      <c r="AK121" s="772">
        <v>181.09615131104871</v>
      </c>
      <c r="AL121" s="773">
        <v>6438.9823175551246</v>
      </c>
      <c r="AM121" s="749"/>
      <c r="AN121" s="772">
        <v>241.39749275147776</v>
      </c>
      <c r="AO121" s="773">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0.44833713586017709</v>
      </c>
      <c r="E125" s="781">
        <v>840099.77422271168</v>
      </c>
      <c r="F125" s="779" t="s">
        <v>119</v>
      </c>
      <c r="G125" s="780">
        <v>0.50219269490814988</v>
      </c>
      <c r="H125" s="781">
        <v>53831.441106750332</v>
      </c>
      <c r="I125" s="779" t="s">
        <v>119</v>
      </c>
      <c r="J125" s="780">
        <v>0.51105433189334859</v>
      </c>
      <c r="K125" s="781">
        <v>56601.004841916794</v>
      </c>
      <c r="L125" s="779" t="s">
        <v>119</v>
      </c>
      <c r="M125" s="780">
        <v>0.44466181144588202</v>
      </c>
      <c r="N125" s="781">
        <v>74080.035260347926</v>
      </c>
      <c r="O125" s="779" t="s">
        <v>119</v>
      </c>
      <c r="P125" s="780">
        <v>0.4301734609705441</v>
      </c>
      <c r="Q125" s="781">
        <v>80130.819546364684</v>
      </c>
      <c r="R125" s="779" t="s">
        <v>119</v>
      </c>
      <c r="S125" s="780">
        <v>0.42499310965875936</v>
      </c>
      <c r="T125" s="781">
        <v>80599.433255052107</v>
      </c>
      <c r="U125" s="779" t="s">
        <v>119</v>
      </c>
      <c r="V125" s="780">
        <v>0.43591155066450565</v>
      </c>
      <c r="W125" s="781">
        <v>74746.189503993446</v>
      </c>
      <c r="X125" s="779" t="s">
        <v>119</v>
      </c>
      <c r="Y125" s="780">
        <v>0.44778348699164355</v>
      </c>
      <c r="Z125" s="781">
        <v>71495.260893823361</v>
      </c>
      <c r="AA125" s="779" t="s">
        <v>119</v>
      </c>
      <c r="AB125" s="780">
        <v>0.43844412449656178</v>
      </c>
      <c r="AC125" s="781">
        <v>74605.301469035359</v>
      </c>
      <c r="AD125" s="779" t="s">
        <v>119</v>
      </c>
      <c r="AE125" s="780">
        <v>0.4397417726124157</v>
      </c>
      <c r="AF125" s="781">
        <v>73919.62454424733</v>
      </c>
      <c r="AG125" s="779" t="s">
        <v>119</v>
      </c>
      <c r="AH125" s="780">
        <v>0.44066100221867888</v>
      </c>
      <c r="AI125" s="781">
        <v>73165.766428781455</v>
      </c>
      <c r="AJ125" s="779" t="s">
        <v>119</v>
      </c>
      <c r="AK125" s="780">
        <v>0.43581120324075584</v>
      </c>
      <c r="AL125" s="781">
        <v>70482.089817555141</v>
      </c>
      <c r="AM125" s="779" t="s">
        <v>119</v>
      </c>
      <c r="AN125" s="780">
        <v>0.48578861461462236</v>
      </c>
      <c r="AO125" s="781">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157964.1</v>
      </c>
      <c r="F126" s="749"/>
      <c r="G126" s="759"/>
      <c r="H126" s="773">
        <v>12590.7</v>
      </c>
      <c r="I126" s="749"/>
      <c r="J126" s="759"/>
      <c r="K126" s="773">
        <v>12590.7</v>
      </c>
      <c r="L126" s="749"/>
      <c r="M126" s="759"/>
      <c r="N126" s="773">
        <v>14309.625</v>
      </c>
      <c r="O126" s="749"/>
      <c r="P126" s="759"/>
      <c r="Q126" s="773">
        <v>12590.7</v>
      </c>
      <c r="R126" s="749"/>
      <c r="S126" s="759"/>
      <c r="T126" s="773">
        <v>14309.625</v>
      </c>
      <c r="U126" s="749"/>
      <c r="V126" s="759"/>
      <c r="W126" s="773">
        <v>12590.7</v>
      </c>
      <c r="X126" s="749"/>
      <c r="Y126" s="759"/>
      <c r="Z126" s="773">
        <v>12590.7</v>
      </c>
      <c r="AA126" s="749"/>
      <c r="AB126" s="759"/>
      <c r="AC126" s="773">
        <v>14309.625</v>
      </c>
      <c r="AD126" s="749"/>
      <c r="AE126" s="759"/>
      <c r="AF126" s="773">
        <v>12590.7</v>
      </c>
      <c r="AG126" s="749"/>
      <c r="AH126" s="759"/>
      <c r="AI126" s="773">
        <v>12590.7</v>
      </c>
      <c r="AJ126" s="749"/>
      <c r="AK126" s="759"/>
      <c r="AL126" s="773">
        <v>14309.625</v>
      </c>
      <c r="AM126" s="749"/>
      <c r="AN126" s="759"/>
      <c r="AO126" s="773">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54315.031999999999</v>
      </c>
      <c r="F127" s="749"/>
      <c r="G127" s="759"/>
      <c r="H127" s="773">
        <v>4255.0024615384618</v>
      </c>
      <c r="I127" s="749"/>
      <c r="J127" s="759"/>
      <c r="K127" s="773">
        <v>4255.0024615384618</v>
      </c>
      <c r="L127" s="749"/>
      <c r="M127" s="759"/>
      <c r="N127" s="773">
        <v>5068.7530769230771</v>
      </c>
      <c r="O127" s="749"/>
      <c r="P127" s="759"/>
      <c r="Q127" s="773">
        <v>4255.0024615384618</v>
      </c>
      <c r="R127" s="749"/>
      <c r="S127" s="759"/>
      <c r="T127" s="773">
        <v>5068.7530769230771</v>
      </c>
      <c r="U127" s="749"/>
      <c r="V127" s="759"/>
      <c r="W127" s="773">
        <v>4255.0024615384618</v>
      </c>
      <c r="X127" s="749"/>
      <c r="Y127" s="759"/>
      <c r="Z127" s="773">
        <v>4255.0024615384618</v>
      </c>
      <c r="AA127" s="749"/>
      <c r="AB127" s="759"/>
      <c r="AC127" s="773">
        <v>5068.7530769230771</v>
      </c>
      <c r="AD127" s="749"/>
      <c r="AE127" s="759"/>
      <c r="AF127" s="773">
        <v>4255.0024615384618</v>
      </c>
      <c r="AG127" s="749"/>
      <c r="AH127" s="759"/>
      <c r="AI127" s="773">
        <v>4255.0024615384618</v>
      </c>
      <c r="AJ127" s="749"/>
      <c r="AK127" s="759"/>
      <c r="AL127" s="773">
        <v>5068.7530769230771</v>
      </c>
      <c r="AM127" s="749"/>
      <c r="AN127" s="759"/>
      <c r="AO127" s="773">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74018</v>
      </c>
      <c r="F128" s="782"/>
      <c r="G128" s="783"/>
      <c r="H128" s="785">
        <v>5693.6923076923076</v>
      </c>
      <c r="I128" s="782"/>
      <c r="J128" s="783"/>
      <c r="K128" s="785">
        <v>5693.6923076923076</v>
      </c>
      <c r="L128" s="782"/>
      <c r="M128" s="783"/>
      <c r="N128" s="785">
        <v>7117.1153846153848</v>
      </c>
      <c r="O128" s="782"/>
      <c r="P128" s="783"/>
      <c r="Q128" s="785">
        <v>5693.6923076923076</v>
      </c>
      <c r="R128" s="782"/>
      <c r="S128" s="783"/>
      <c r="T128" s="785">
        <v>7117.1153846153848</v>
      </c>
      <c r="U128" s="782"/>
      <c r="V128" s="783"/>
      <c r="W128" s="785">
        <v>5693.6923076923076</v>
      </c>
      <c r="X128" s="782"/>
      <c r="Y128" s="783"/>
      <c r="Z128" s="785">
        <v>5693.6923076923076</v>
      </c>
      <c r="AA128" s="782"/>
      <c r="AB128" s="783"/>
      <c r="AC128" s="785">
        <v>7117.1153846153848</v>
      </c>
      <c r="AD128" s="782"/>
      <c r="AE128" s="783"/>
      <c r="AF128" s="785">
        <v>5693.6923076923076</v>
      </c>
      <c r="AG128" s="782"/>
      <c r="AH128" s="783"/>
      <c r="AI128" s="785">
        <v>5693.6923076923076</v>
      </c>
      <c r="AJ128" s="782"/>
      <c r="AK128" s="783"/>
      <c r="AL128" s="785">
        <v>7117.1153846153848</v>
      </c>
      <c r="AM128" s="782"/>
      <c r="AN128" s="783"/>
      <c r="AO128" s="785">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98834.838881999996</v>
      </c>
      <c r="F133" s="749"/>
      <c r="G133" s="759"/>
      <c r="H133" s="773">
        <v>7350.1950896410262</v>
      </c>
      <c r="I133" s="749"/>
      <c r="J133" s="759"/>
      <c r="K133" s="773">
        <v>7335.4400896410261</v>
      </c>
      <c r="L133" s="749"/>
      <c r="M133" s="759"/>
      <c r="N133" s="773">
        <v>8450.1915412179496</v>
      </c>
      <c r="O133" s="749"/>
      <c r="P133" s="759"/>
      <c r="Q133" s="773">
        <v>9665.1978396410268</v>
      </c>
      <c r="R133" s="749"/>
      <c r="S133" s="759"/>
      <c r="T133" s="773">
        <v>9882.7885412179494</v>
      </c>
      <c r="U133" s="749"/>
      <c r="V133" s="759"/>
      <c r="W133" s="773">
        <v>8203.0908396410268</v>
      </c>
      <c r="X133" s="749"/>
      <c r="Y133" s="759"/>
      <c r="Z133" s="773">
        <v>7730.4768396410263</v>
      </c>
      <c r="AA133" s="749"/>
      <c r="AB133" s="759"/>
      <c r="AC133" s="773">
        <v>8679.1210412179498</v>
      </c>
      <c r="AD133" s="749"/>
      <c r="AE133" s="759"/>
      <c r="AF133" s="773">
        <v>7959.4063396410265</v>
      </c>
      <c r="AG133" s="749"/>
      <c r="AH133" s="759"/>
      <c r="AI133" s="773">
        <v>8324.9330896410265</v>
      </c>
      <c r="AJ133" s="749"/>
      <c r="AK133" s="759"/>
      <c r="AL133" s="773">
        <v>8557.2787912179483</v>
      </c>
      <c r="AM133" s="749"/>
      <c r="AN133" s="759"/>
      <c r="AO133" s="773">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120169.231416</v>
      </c>
      <c r="F134" s="782"/>
      <c r="G134" s="783"/>
      <c r="H134" s="785">
        <v>8936.8010781538469</v>
      </c>
      <c r="I134" s="782"/>
      <c r="J134" s="783"/>
      <c r="K134" s="785">
        <v>8918.8610781538464</v>
      </c>
      <c r="L134" s="782"/>
      <c r="M134" s="783"/>
      <c r="N134" s="785">
        <v>10274.241697692309</v>
      </c>
      <c r="O134" s="782"/>
      <c r="P134" s="783"/>
      <c r="Q134" s="785">
        <v>11751.518078153847</v>
      </c>
      <c r="R134" s="782"/>
      <c r="S134" s="783"/>
      <c r="T134" s="785">
        <v>12016.077697692308</v>
      </c>
      <c r="U134" s="782"/>
      <c r="V134" s="783"/>
      <c r="W134" s="785">
        <v>9973.8020781538489</v>
      </c>
      <c r="X134" s="782"/>
      <c r="Y134" s="783"/>
      <c r="Z134" s="785">
        <v>9399.1700781538475</v>
      </c>
      <c r="AA134" s="782"/>
      <c r="AB134" s="783"/>
      <c r="AC134" s="785">
        <v>10552.587697692308</v>
      </c>
      <c r="AD134" s="782"/>
      <c r="AE134" s="783"/>
      <c r="AF134" s="785">
        <v>9677.5160781538489</v>
      </c>
      <c r="AG134" s="782"/>
      <c r="AH134" s="783"/>
      <c r="AI134" s="785">
        <v>10121.945078153849</v>
      </c>
      <c r="AJ134" s="782"/>
      <c r="AK134" s="783"/>
      <c r="AL134" s="785">
        <v>10404.444697692308</v>
      </c>
      <c r="AM134" s="782"/>
      <c r="AN134" s="783"/>
      <c r="AO134" s="785">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61913.277925199996</v>
      </c>
      <c r="F135" s="749"/>
      <c r="G135" s="759"/>
      <c r="H135" s="773">
        <v>4604.3953380923076</v>
      </c>
      <c r="I135" s="749"/>
      <c r="J135" s="759"/>
      <c r="K135" s="773">
        <v>4595.1523380923072</v>
      </c>
      <c r="L135" s="749"/>
      <c r="M135" s="759"/>
      <c r="N135" s="773">
        <v>5293.4680051153846</v>
      </c>
      <c r="O135" s="749"/>
      <c r="P135" s="759"/>
      <c r="Q135" s="773">
        <v>6054.5864880923082</v>
      </c>
      <c r="R135" s="749"/>
      <c r="S135" s="759"/>
      <c r="T135" s="773">
        <v>6190.8922051153841</v>
      </c>
      <c r="U135" s="749"/>
      <c r="V135" s="759"/>
      <c r="W135" s="773">
        <v>5138.6762880923079</v>
      </c>
      <c r="X135" s="749"/>
      <c r="Y135" s="759"/>
      <c r="Z135" s="773">
        <v>4842.6158880923076</v>
      </c>
      <c r="AA135" s="749"/>
      <c r="AB135" s="759"/>
      <c r="AC135" s="773">
        <v>5436.8767051153845</v>
      </c>
      <c r="AD135" s="749"/>
      <c r="AE135" s="759"/>
      <c r="AF135" s="773">
        <v>4986.0245880923076</v>
      </c>
      <c r="AG135" s="749"/>
      <c r="AH135" s="759"/>
      <c r="AI135" s="773">
        <v>5215.0021380923081</v>
      </c>
      <c r="AJ135" s="749"/>
      <c r="AK135" s="759"/>
      <c r="AL135" s="773">
        <v>5360.5508551153844</v>
      </c>
      <c r="AM135" s="749"/>
      <c r="AN135" s="759"/>
      <c r="AO135" s="773">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26994.537492000003</v>
      </c>
      <c r="F136" s="749"/>
      <c r="G136" s="759"/>
      <c r="H136" s="773">
        <v>2007.5422711794872</v>
      </c>
      <c r="I136" s="749"/>
      <c r="J136" s="759"/>
      <c r="K136" s="773">
        <v>2003.5122711794872</v>
      </c>
      <c r="L136" s="749"/>
      <c r="M136" s="759"/>
      <c r="N136" s="773">
        <v>2307.9818306410257</v>
      </c>
      <c r="O136" s="749"/>
      <c r="P136" s="759"/>
      <c r="Q136" s="773">
        <v>2639.8337711794875</v>
      </c>
      <c r="R136" s="749"/>
      <c r="S136" s="759"/>
      <c r="T136" s="773">
        <v>2699.2638306410258</v>
      </c>
      <c r="U136" s="749"/>
      <c r="V136" s="759"/>
      <c r="W136" s="773">
        <v>2240.4917711794874</v>
      </c>
      <c r="X136" s="749"/>
      <c r="Y136" s="759"/>
      <c r="Z136" s="773">
        <v>2111.4077711794876</v>
      </c>
      <c r="AA136" s="749"/>
      <c r="AB136" s="759"/>
      <c r="AC136" s="773">
        <v>2370.5088306410257</v>
      </c>
      <c r="AD136" s="749"/>
      <c r="AE136" s="759"/>
      <c r="AF136" s="773">
        <v>2173.9347711794876</v>
      </c>
      <c r="AG136" s="749"/>
      <c r="AH136" s="759"/>
      <c r="AI136" s="773">
        <v>2273.7702711794873</v>
      </c>
      <c r="AJ136" s="749"/>
      <c r="AK136" s="759"/>
      <c r="AL136" s="773">
        <v>2337.2303306410258</v>
      </c>
      <c r="AM136" s="749"/>
      <c r="AN136" s="759"/>
      <c r="AO136" s="773">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0.31711229699021126</v>
      </c>
      <c r="E138" s="781">
        <v>594209.01771519997</v>
      </c>
      <c r="F138" s="779" t="s">
        <v>119</v>
      </c>
      <c r="G138" s="780">
        <v>0.42389347555337148</v>
      </c>
      <c r="H138" s="781">
        <v>45438.328546297438</v>
      </c>
      <c r="I138" s="779" t="s">
        <v>119</v>
      </c>
      <c r="J138" s="780">
        <v>0.40985071831923398</v>
      </c>
      <c r="K138" s="781">
        <v>45392.360546297445</v>
      </c>
      <c r="L138" s="779" t="s">
        <v>119</v>
      </c>
      <c r="M138" s="780">
        <v>0.31705774560053401</v>
      </c>
      <c r="N138" s="781">
        <v>52821.376536205127</v>
      </c>
      <c r="O138" s="779" t="s">
        <v>119</v>
      </c>
      <c r="P138" s="780">
        <v>0.28264856452641918</v>
      </c>
      <c r="Q138" s="781">
        <v>52650.530946297447</v>
      </c>
      <c r="R138" s="779" t="s">
        <v>119</v>
      </c>
      <c r="S138" s="780">
        <v>0.30205577750138751</v>
      </c>
      <c r="T138" s="781">
        <v>57284.515736205132</v>
      </c>
      <c r="U138" s="779" t="s">
        <v>119</v>
      </c>
      <c r="V138" s="780">
        <v>0.28048740455410787</v>
      </c>
      <c r="W138" s="781">
        <v>48095.455746297434</v>
      </c>
      <c r="X138" s="779" t="s">
        <v>119</v>
      </c>
      <c r="Y138" s="780">
        <v>0.29200591079747978</v>
      </c>
      <c r="Z138" s="781">
        <v>46623.065346297444</v>
      </c>
      <c r="AA138" s="779" t="s">
        <v>119</v>
      </c>
      <c r="AB138" s="780">
        <v>0.31461471220013454</v>
      </c>
      <c r="AC138" s="781">
        <v>53534.587736205132</v>
      </c>
      <c r="AD138" s="779" t="s">
        <v>119</v>
      </c>
      <c r="AE138" s="780">
        <v>0.28159961966365682</v>
      </c>
      <c r="AF138" s="781">
        <v>47336.276546297449</v>
      </c>
      <c r="AG138" s="779" t="s">
        <v>119</v>
      </c>
      <c r="AH138" s="780">
        <v>0.29195432655910047</v>
      </c>
      <c r="AI138" s="781">
        <v>48475.045346297433</v>
      </c>
      <c r="AJ138" s="779" t="s">
        <v>119</v>
      </c>
      <c r="AK138" s="780">
        <v>0.32867277000390233</v>
      </c>
      <c r="AL138" s="781">
        <v>53154.998136205126</v>
      </c>
      <c r="AM138" s="779" t="s">
        <v>119</v>
      </c>
      <c r="AN138" s="780">
        <v>0.37355386568576315</v>
      </c>
      <c r="AO138" s="781">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29499.999999999996</v>
      </c>
      <c r="F141" s="787"/>
      <c r="G141" s="788"/>
      <c r="H141" s="790">
        <v>2458.3333333333335</v>
      </c>
      <c r="I141" s="787"/>
      <c r="J141" s="788"/>
      <c r="K141" s="790">
        <v>2458.3333333333335</v>
      </c>
      <c r="L141" s="787"/>
      <c r="M141" s="788"/>
      <c r="N141" s="790">
        <v>2458.3333333333335</v>
      </c>
      <c r="O141" s="787"/>
      <c r="P141" s="788"/>
      <c r="Q141" s="790">
        <v>2458.3333333333335</v>
      </c>
      <c r="R141" s="787"/>
      <c r="S141" s="788"/>
      <c r="T141" s="790">
        <v>2458.3333333333335</v>
      </c>
      <c r="U141" s="787"/>
      <c r="V141" s="788"/>
      <c r="W141" s="790">
        <v>2458.3333333333335</v>
      </c>
      <c r="X141" s="787"/>
      <c r="Y141" s="788"/>
      <c r="Z141" s="790">
        <v>2458.3333333333335</v>
      </c>
      <c r="AA141" s="787"/>
      <c r="AB141" s="788"/>
      <c r="AC141" s="790">
        <v>2458.3333333333335</v>
      </c>
      <c r="AD141" s="787"/>
      <c r="AE141" s="788"/>
      <c r="AF141" s="790">
        <v>2458.3333333333335</v>
      </c>
      <c r="AG141" s="787"/>
      <c r="AH141" s="788"/>
      <c r="AI141" s="790">
        <v>2458.3333333333335</v>
      </c>
      <c r="AJ141" s="787"/>
      <c r="AK141" s="788"/>
      <c r="AL141" s="790">
        <v>2458.3333333333335</v>
      </c>
      <c r="AM141" s="787"/>
      <c r="AN141" s="788"/>
      <c r="AO141" s="790">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43524.498447999998</v>
      </c>
      <c r="F142" s="749"/>
      <c r="G142" s="759"/>
      <c r="H142" s="773">
        <v>3627.0415373333331</v>
      </c>
      <c r="I142" s="749"/>
      <c r="J142" s="759"/>
      <c r="K142" s="773">
        <v>3627.0415373333331</v>
      </c>
      <c r="L142" s="749"/>
      <c r="M142" s="759"/>
      <c r="N142" s="773">
        <v>3627.0415373333331</v>
      </c>
      <c r="O142" s="749"/>
      <c r="P142" s="759"/>
      <c r="Q142" s="773">
        <v>3627.0415373333331</v>
      </c>
      <c r="R142" s="749"/>
      <c r="S142" s="759"/>
      <c r="T142" s="773">
        <v>3627.0415373333331</v>
      </c>
      <c r="U142" s="749"/>
      <c r="V142" s="759"/>
      <c r="W142" s="773">
        <v>3627.0415373333331</v>
      </c>
      <c r="X142" s="749"/>
      <c r="Y142" s="759"/>
      <c r="Z142" s="773">
        <v>3627.0415373333331</v>
      </c>
      <c r="AA142" s="749"/>
      <c r="AB142" s="759"/>
      <c r="AC142" s="773">
        <v>3627.0415373333331</v>
      </c>
      <c r="AD142" s="749"/>
      <c r="AE142" s="759"/>
      <c r="AF142" s="773">
        <v>3627.0415373333331</v>
      </c>
      <c r="AG142" s="749"/>
      <c r="AH142" s="759"/>
      <c r="AI142" s="773">
        <v>3627.0415373333331</v>
      </c>
      <c r="AJ142" s="749"/>
      <c r="AK142" s="759"/>
      <c r="AL142" s="773">
        <v>3627.0415373333331</v>
      </c>
      <c r="AM142" s="749"/>
      <c r="AN142" s="759"/>
      <c r="AO142" s="773">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6253.3109567311558</v>
      </c>
      <c r="F143" s="749"/>
      <c r="G143" s="759"/>
      <c r="H143" s="773">
        <v>521.10924639426287</v>
      </c>
      <c r="I143" s="749"/>
      <c r="J143" s="759"/>
      <c r="K143" s="773">
        <v>521.10924639426287</v>
      </c>
      <c r="L143" s="749"/>
      <c r="M143" s="759"/>
      <c r="N143" s="773">
        <v>521.10924639426287</v>
      </c>
      <c r="O143" s="749"/>
      <c r="P143" s="759"/>
      <c r="Q143" s="773">
        <v>521.10924639426287</v>
      </c>
      <c r="R143" s="749"/>
      <c r="S143" s="759"/>
      <c r="T143" s="773">
        <v>521.10924639426287</v>
      </c>
      <c r="U143" s="749"/>
      <c r="V143" s="759"/>
      <c r="W143" s="773">
        <v>521.10924639426287</v>
      </c>
      <c r="X143" s="749"/>
      <c r="Y143" s="759"/>
      <c r="Z143" s="773">
        <v>521.10924639426287</v>
      </c>
      <c r="AA143" s="749"/>
      <c r="AB143" s="759"/>
      <c r="AC143" s="773">
        <v>521.10924639426287</v>
      </c>
      <c r="AD143" s="749"/>
      <c r="AE143" s="759"/>
      <c r="AF143" s="773">
        <v>521.10924639426287</v>
      </c>
      <c r="AG143" s="749"/>
      <c r="AH143" s="759"/>
      <c r="AI143" s="773">
        <v>521.10924639426287</v>
      </c>
      <c r="AJ143" s="749"/>
      <c r="AK143" s="759"/>
      <c r="AL143" s="773">
        <v>521.10924639426287</v>
      </c>
      <c r="AM143" s="749"/>
      <c r="AN143" s="759"/>
      <c r="AO143" s="773">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17875.092639933337</v>
      </c>
      <c r="F144" s="787"/>
      <c r="G144" s="788"/>
      <c r="H144" s="790">
        <v>1489.5910533277777</v>
      </c>
      <c r="I144" s="787"/>
      <c r="J144" s="788"/>
      <c r="K144" s="790">
        <v>1489.5910533277777</v>
      </c>
      <c r="L144" s="787"/>
      <c r="M144" s="788"/>
      <c r="N144" s="790">
        <v>1489.5910533277777</v>
      </c>
      <c r="O144" s="787"/>
      <c r="P144" s="788"/>
      <c r="Q144" s="790">
        <v>1489.5910533277777</v>
      </c>
      <c r="R144" s="787"/>
      <c r="S144" s="788"/>
      <c r="T144" s="790">
        <v>1489.5910533277777</v>
      </c>
      <c r="U144" s="787"/>
      <c r="V144" s="788"/>
      <c r="W144" s="790">
        <v>1489.5910533277777</v>
      </c>
      <c r="X144" s="787"/>
      <c r="Y144" s="788"/>
      <c r="Z144" s="790">
        <v>1489.5910533277777</v>
      </c>
      <c r="AA144" s="787"/>
      <c r="AB144" s="788"/>
      <c r="AC144" s="790">
        <v>1489.5910533277777</v>
      </c>
      <c r="AD144" s="787"/>
      <c r="AE144" s="788"/>
      <c r="AF144" s="790">
        <v>1489.5910533277777</v>
      </c>
      <c r="AG144" s="787"/>
      <c r="AH144" s="788"/>
      <c r="AI144" s="790">
        <v>1489.5910533277777</v>
      </c>
      <c r="AJ144" s="787"/>
      <c r="AK144" s="788"/>
      <c r="AL144" s="790">
        <v>1489.5910533277777</v>
      </c>
      <c r="AM144" s="787"/>
      <c r="AN144" s="788"/>
      <c r="AO144" s="790">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1500</v>
      </c>
      <c r="F145" s="749"/>
      <c r="G145" s="759"/>
      <c r="H145" s="773">
        <v>125</v>
      </c>
      <c r="I145" s="749"/>
      <c r="J145" s="759"/>
      <c r="K145" s="773">
        <v>125</v>
      </c>
      <c r="L145" s="749"/>
      <c r="M145" s="759"/>
      <c r="N145" s="773">
        <v>125</v>
      </c>
      <c r="O145" s="749"/>
      <c r="P145" s="759"/>
      <c r="Q145" s="773">
        <v>125</v>
      </c>
      <c r="R145" s="749"/>
      <c r="S145" s="759"/>
      <c r="T145" s="773">
        <v>125</v>
      </c>
      <c r="U145" s="749"/>
      <c r="V145" s="759"/>
      <c r="W145" s="773">
        <v>125</v>
      </c>
      <c r="X145" s="749"/>
      <c r="Y145" s="759"/>
      <c r="Z145" s="773">
        <v>125</v>
      </c>
      <c r="AA145" s="749"/>
      <c r="AB145" s="759"/>
      <c r="AC145" s="773">
        <v>125</v>
      </c>
      <c r="AD145" s="749"/>
      <c r="AE145" s="759"/>
      <c r="AF145" s="773">
        <v>125</v>
      </c>
      <c r="AG145" s="749"/>
      <c r="AH145" s="759"/>
      <c r="AI145" s="773">
        <v>125</v>
      </c>
      <c r="AJ145" s="749"/>
      <c r="AK145" s="759"/>
      <c r="AL145" s="773">
        <v>125</v>
      </c>
      <c r="AM145" s="749"/>
      <c r="AN145" s="759"/>
      <c r="AO145" s="773">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1000.0000000000001</v>
      </c>
      <c r="F146" s="749"/>
      <c r="G146" s="759"/>
      <c r="H146" s="773">
        <v>83.333333333333329</v>
      </c>
      <c r="I146" s="749"/>
      <c r="J146" s="759"/>
      <c r="K146" s="773">
        <v>83.333333333333329</v>
      </c>
      <c r="L146" s="749"/>
      <c r="M146" s="759"/>
      <c r="N146" s="773">
        <v>83.333333333333329</v>
      </c>
      <c r="O146" s="749"/>
      <c r="P146" s="759"/>
      <c r="Q146" s="773">
        <v>83.333333333333329</v>
      </c>
      <c r="R146" s="749"/>
      <c r="S146" s="759"/>
      <c r="T146" s="773">
        <v>83.333333333333329</v>
      </c>
      <c r="U146" s="749"/>
      <c r="V146" s="759"/>
      <c r="W146" s="773">
        <v>83.333333333333329</v>
      </c>
      <c r="X146" s="749"/>
      <c r="Y146" s="759"/>
      <c r="Z146" s="773">
        <v>83.333333333333329</v>
      </c>
      <c r="AA146" s="749"/>
      <c r="AB146" s="759"/>
      <c r="AC146" s="773">
        <v>83.333333333333329</v>
      </c>
      <c r="AD146" s="749"/>
      <c r="AE146" s="759"/>
      <c r="AF146" s="773">
        <v>83.333333333333329</v>
      </c>
      <c r="AG146" s="749"/>
      <c r="AH146" s="759"/>
      <c r="AI146" s="773">
        <v>83.333333333333329</v>
      </c>
      <c r="AJ146" s="749"/>
      <c r="AK146" s="759"/>
      <c r="AL146" s="773">
        <v>83.333333333333329</v>
      </c>
      <c r="AM146" s="749"/>
      <c r="AN146" s="759"/>
      <c r="AO146" s="773">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3681.4110838559995</v>
      </c>
      <c r="F147" s="749"/>
      <c r="G147" s="759"/>
      <c r="H147" s="773">
        <v>306.78425698799998</v>
      </c>
      <c r="I147" s="749"/>
      <c r="J147" s="759"/>
      <c r="K147" s="773">
        <v>306.78425698799998</v>
      </c>
      <c r="L147" s="749"/>
      <c r="M147" s="759"/>
      <c r="N147" s="773">
        <v>306.78425698799998</v>
      </c>
      <c r="O147" s="749"/>
      <c r="P147" s="759"/>
      <c r="Q147" s="773">
        <v>306.78425698799998</v>
      </c>
      <c r="R147" s="749"/>
      <c r="S147" s="759"/>
      <c r="T147" s="773">
        <v>306.78425698799998</v>
      </c>
      <c r="U147" s="749"/>
      <c r="V147" s="759"/>
      <c r="W147" s="773">
        <v>306.78425698799998</v>
      </c>
      <c r="X147" s="749"/>
      <c r="Y147" s="759"/>
      <c r="Z147" s="773">
        <v>306.78425698799998</v>
      </c>
      <c r="AA147" s="749"/>
      <c r="AB147" s="759"/>
      <c r="AC147" s="773">
        <v>306.78425698799998</v>
      </c>
      <c r="AD147" s="749"/>
      <c r="AE147" s="759"/>
      <c r="AF147" s="773">
        <v>306.78425698799998</v>
      </c>
      <c r="AG147" s="749"/>
      <c r="AH147" s="759"/>
      <c r="AI147" s="773">
        <v>306.78425698799998</v>
      </c>
      <c r="AJ147" s="749"/>
      <c r="AK147" s="759"/>
      <c r="AL147" s="773">
        <v>306.78425698799998</v>
      </c>
      <c r="AM147" s="749"/>
      <c r="AN147" s="759"/>
      <c r="AO147" s="773">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1013.8395827379996</v>
      </c>
      <c r="F148" s="749"/>
      <c r="G148" s="759"/>
      <c r="H148" s="773">
        <v>84.486631894833309</v>
      </c>
      <c r="I148" s="749"/>
      <c r="J148" s="759"/>
      <c r="K148" s="773">
        <v>84.486631894833309</v>
      </c>
      <c r="L148" s="749"/>
      <c r="M148" s="759"/>
      <c r="N148" s="773">
        <v>84.486631894833309</v>
      </c>
      <c r="O148" s="749"/>
      <c r="P148" s="759"/>
      <c r="Q148" s="773">
        <v>84.486631894833309</v>
      </c>
      <c r="R148" s="749"/>
      <c r="S148" s="759"/>
      <c r="T148" s="773">
        <v>84.486631894833309</v>
      </c>
      <c r="U148" s="749"/>
      <c r="V148" s="759"/>
      <c r="W148" s="773">
        <v>84.486631894833309</v>
      </c>
      <c r="X148" s="749"/>
      <c r="Y148" s="759"/>
      <c r="Z148" s="773">
        <v>84.486631894833309</v>
      </c>
      <c r="AA148" s="749"/>
      <c r="AB148" s="759"/>
      <c r="AC148" s="773">
        <v>84.486631894833309</v>
      </c>
      <c r="AD148" s="749"/>
      <c r="AE148" s="759"/>
      <c r="AF148" s="773">
        <v>84.486631894833309</v>
      </c>
      <c r="AG148" s="749"/>
      <c r="AH148" s="759"/>
      <c r="AI148" s="773">
        <v>84.486631894833309</v>
      </c>
      <c r="AJ148" s="749"/>
      <c r="AK148" s="759"/>
      <c r="AL148" s="773">
        <v>84.486631894833309</v>
      </c>
      <c r="AM148" s="749"/>
      <c r="AN148" s="759"/>
      <c r="AO148" s="773">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723.920969582</v>
      </c>
      <c r="F149" s="749"/>
      <c r="G149" s="759"/>
      <c r="H149" s="773">
        <v>60.326747465166655</v>
      </c>
      <c r="I149" s="749"/>
      <c r="J149" s="759"/>
      <c r="K149" s="773">
        <v>60.326747465166655</v>
      </c>
      <c r="L149" s="749"/>
      <c r="M149" s="759"/>
      <c r="N149" s="773">
        <v>60.326747465166655</v>
      </c>
      <c r="O149" s="749"/>
      <c r="P149" s="759"/>
      <c r="Q149" s="773">
        <v>60.326747465166655</v>
      </c>
      <c r="R149" s="749"/>
      <c r="S149" s="759"/>
      <c r="T149" s="773">
        <v>60.326747465166655</v>
      </c>
      <c r="U149" s="749"/>
      <c r="V149" s="759"/>
      <c r="W149" s="773">
        <v>60.326747465166655</v>
      </c>
      <c r="X149" s="749"/>
      <c r="Y149" s="759"/>
      <c r="Z149" s="773">
        <v>60.326747465166655</v>
      </c>
      <c r="AA149" s="749"/>
      <c r="AB149" s="759"/>
      <c r="AC149" s="773">
        <v>60.326747465166655</v>
      </c>
      <c r="AD149" s="749"/>
      <c r="AE149" s="759"/>
      <c r="AF149" s="773">
        <v>60.326747465166655</v>
      </c>
      <c r="AG149" s="749"/>
      <c r="AH149" s="759"/>
      <c r="AI149" s="773">
        <v>60.326747465166655</v>
      </c>
      <c r="AJ149" s="749"/>
      <c r="AK149" s="759"/>
      <c r="AL149" s="773">
        <v>60.326747465166655</v>
      </c>
      <c r="AM149" s="749"/>
      <c r="AN149" s="759"/>
      <c r="AO149" s="773">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2397.3606154580002</v>
      </c>
      <c r="F150" s="749"/>
      <c r="G150" s="759"/>
      <c r="H150" s="773">
        <v>199.78005128816665</v>
      </c>
      <c r="I150" s="749"/>
      <c r="J150" s="759"/>
      <c r="K150" s="773">
        <v>199.78005128816665</v>
      </c>
      <c r="L150" s="749"/>
      <c r="M150" s="759"/>
      <c r="N150" s="773">
        <v>199.78005128816665</v>
      </c>
      <c r="O150" s="749"/>
      <c r="P150" s="759"/>
      <c r="Q150" s="773">
        <v>199.78005128816665</v>
      </c>
      <c r="R150" s="749"/>
      <c r="S150" s="759"/>
      <c r="T150" s="773">
        <v>199.78005128816665</v>
      </c>
      <c r="U150" s="749"/>
      <c r="V150" s="759"/>
      <c r="W150" s="773">
        <v>199.78005128816665</v>
      </c>
      <c r="X150" s="749"/>
      <c r="Y150" s="759"/>
      <c r="Z150" s="773">
        <v>199.78005128816665</v>
      </c>
      <c r="AA150" s="749"/>
      <c r="AB150" s="759"/>
      <c r="AC150" s="773">
        <v>199.78005128816665</v>
      </c>
      <c r="AD150" s="749"/>
      <c r="AE150" s="759"/>
      <c r="AF150" s="773">
        <v>199.78005128816665</v>
      </c>
      <c r="AG150" s="749"/>
      <c r="AH150" s="759"/>
      <c r="AI150" s="773">
        <v>199.78005128816665</v>
      </c>
      <c r="AJ150" s="749"/>
      <c r="AK150" s="759"/>
      <c r="AL150" s="773">
        <v>199.78005128816665</v>
      </c>
      <c r="AM150" s="749"/>
      <c r="AN150" s="759"/>
      <c r="AO150" s="773">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6026.78723636417</v>
      </c>
      <c r="F151" s="749"/>
      <c r="G151" s="759"/>
      <c r="H151" s="773">
        <v>502.23226969701432</v>
      </c>
      <c r="I151" s="749"/>
      <c r="J151" s="759"/>
      <c r="K151" s="773">
        <v>502.23226969701432</v>
      </c>
      <c r="L151" s="749"/>
      <c r="M151" s="759"/>
      <c r="N151" s="773">
        <v>502.23226969701432</v>
      </c>
      <c r="O151" s="749"/>
      <c r="P151" s="759"/>
      <c r="Q151" s="773">
        <v>502.23226969701432</v>
      </c>
      <c r="R151" s="749"/>
      <c r="S151" s="759"/>
      <c r="T151" s="773">
        <v>502.23226969701432</v>
      </c>
      <c r="U151" s="749"/>
      <c r="V151" s="759"/>
      <c r="W151" s="773">
        <v>502.23226969701432</v>
      </c>
      <c r="X151" s="749"/>
      <c r="Y151" s="759"/>
      <c r="Z151" s="773">
        <v>502.23226969701432</v>
      </c>
      <c r="AA151" s="749"/>
      <c r="AB151" s="759"/>
      <c r="AC151" s="773">
        <v>502.23226969701432</v>
      </c>
      <c r="AD151" s="749"/>
      <c r="AE151" s="759"/>
      <c r="AF151" s="773">
        <v>502.23226969701432</v>
      </c>
      <c r="AG151" s="749"/>
      <c r="AH151" s="759"/>
      <c r="AI151" s="773">
        <v>502.23226969701432</v>
      </c>
      <c r="AJ151" s="749"/>
      <c r="AK151" s="759"/>
      <c r="AL151" s="773">
        <v>502.23226969701432</v>
      </c>
      <c r="AM151" s="749"/>
      <c r="AN151" s="759"/>
      <c r="AO151" s="773">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9386.0948526995053</v>
      </c>
      <c r="F152" s="749"/>
      <c r="G152" s="759"/>
      <c r="H152" s="773">
        <v>782.17457105829214</v>
      </c>
      <c r="I152" s="749"/>
      <c r="J152" s="759"/>
      <c r="K152" s="773">
        <v>782.17457105829214</v>
      </c>
      <c r="L152" s="749"/>
      <c r="M152" s="759"/>
      <c r="N152" s="773">
        <v>782.17457105829214</v>
      </c>
      <c r="O152" s="749"/>
      <c r="P152" s="759"/>
      <c r="Q152" s="773">
        <v>782.17457105829214</v>
      </c>
      <c r="R152" s="749"/>
      <c r="S152" s="759"/>
      <c r="T152" s="773">
        <v>782.17457105829214</v>
      </c>
      <c r="U152" s="749"/>
      <c r="V152" s="759"/>
      <c r="W152" s="773">
        <v>782.17457105829214</v>
      </c>
      <c r="X152" s="749"/>
      <c r="Y152" s="759"/>
      <c r="Z152" s="773">
        <v>782.17457105829214</v>
      </c>
      <c r="AA152" s="749"/>
      <c r="AB152" s="759"/>
      <c r="AC152" s="773">
        <v>782.17457105829214</v>
      </c>
      <c r="AD152" s="749"/>
      <c r="AE152" s="759"/>
      <c r="AF152" s="773">
        <v>782.17457105829214</v>
      </c>
      <c r="AG152" s="749"/>
      <c r="AH152" s="759"/>
      <c r="AI152" s="773">
        <v>782.17457105829214</v>
      </c>
      <c r="AJ152" s="749"/>
      <c r="AK152" s="759"/>
      <c r="AL152" s="773">
        <v>782.17457105829214</v>
      </c>
      <c r="AM152" s="749"/>
      <c r="AN152" s="759"/>
      <c r="AO152" s="773">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6.5578765125905422E-2</v>
      </c>
      <c r="E156" s="781">
        <v>122882.31638536218</v>
      </c>
      <c r="F156" s="779" t="s">
        <v>119</v>
      </c>
      <c r="G156" s="780">
        <v>9.5530604967064156E-2</v>
      </c>
      <c r="H156" s="781">
        <v>10240.193032113515</v>
      </c>
      <c r="I156" s="779" t="s">
        <v>119</v>
      </c>
      <c r="J156" s="780">
        <v>9.2459401084874285E-2</v>
      </c>
      <c r="K156" s="781">
        <v>10240.193032113515</v>
      </c>
      <c r="L156" s="779" t="s">
        <v>119</v>
      </c>
      <c r="M156" s="780">
        <v>6.1466261013679073E-2</v>
      </c>
      <c r="N156" s="781">
        <v>10240.193032113515</v>
      </c>
      <c r="O156" s="779" t="s">
        <v>119</v>
      </c>
      <c r="P156" s="780">
        <v>5.4973346117867902E-2</v>
      </c>
      <c r="Q156" s="781">
        <v>10240.193032113515</v>
      </c>
      <c r="R156" s="779" t="s">
        <v>119</v>
      </c>
      <c r="S156" s="780">
        <v>5.3995559329210192E-2</v>
      </c>
      <c r="T156" s="781">
        <v>10240.193032113515</v>
      </c>
      <c r="U156" s="779" t="s">
        <v>119</v>
      </c>
      <c r="V156" s="780">
        <v>5.971967873350896E-2</v>
      </c>
      <c r="W156" s="781">
        <v>10240.193032113515</v>
      </c>
      <c r="X156" s="779" t="s">
        <v>119</v>
      </c>
      <c r="Y156" s="780">
        <v>6.4135570470845893E-2</v>
      </c>
      <c r="Z156" s="781">
        <v>10240.193032113515</v>
      </c>
      <c r="AA156" s="779" t="s">
        <v>119</v>
      </c>
      <c r="AB156" s="780">
        <v>6.018007273255583E-2</v>
      </c>
      <c r="AC156" s="781">
        <v>10240.193032113515</v>
      </c>
      <c r="AD156" s="779" t="s">
        <v>119</v>
      </c>
      <c r="AE156" s="780">
        <v>6.0918066935519176E-2</v>
      </c>
      <c r="AF156" s="781">
        <v>10240.193032113515</v>
      </c>
      <c r="AG156" s="779" t="s">
        <v>119</v>
      </c>
      <c r="AH156" s="780">
        <v>6.1674386050971447E-2</v>
      </c>
      <c r="AI156" s="781">
        <v>10240.193032113515</v>
      </c>
      <c r="AJ156" s="779" t="s">
        <v>119</v>
      </c>
      <c r="AK156" s="780">
        <v>6.3318083477590603E-2</v>
      </c>
      <c r="AL156" s="781">
        <v>10240.193032113515</v>
      </c>
      <c r="AM156" s="779" t="s">
        <v>119</v>
      </c>
      <c r="AN156" s="780">
        <v>8.8134687163162417E-2</v>
      </c>
      <c r="AO156" s="781">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0.83102819797629368</v>
      </c>
      <c r="E158" s="791">
        <v>1557191.1083232737</v>
      </c>
      <c r="F158" s="779" t="s">
        <v>119</v>
      </c>
      <c r="G158" s="780">
        <v>1.0216167754285854</v>
      </c>
      <c r="H158" s="791">
        <v>109509.96268516128</v>
      </c>
      <c r="I158" s="779" t="s">
        <v>119</v>
      </c>
      <c r="J158" s="780">
        <v>1.0133644512974569</v>
      </c>
      <c r="K158" s="791">
        <v>112233.55842032775</v>
      </c>
      <c r="L158" s="779" t="s">
        <v>119</v>
      </c>
      <c r="M158" s="780">
        <v>0.82318581806009516</v>
      </c>
      <c r="N158" s="791">
        <v>137141.60482866658</v>
      </c>
      <c r="O158" s="779" t="s">
        <v>119</v>
      </c>
      <c r="P158" s="780">
        <v>0.76779537161483125</v>
      </c>
      <c r="Q158" s="791">
        <v>143021.54352477565</v>
      </c>
      <c r="R158" s="779" t="s">
        <v>119</v>
      </c>
      <c r="S158" s="780">
        <v>0.781044446489357</v>
      </c>
      <c r="T158" s="791">
        <v>148124.14202337075</v>
      </c>
      <c r="U158" s="779" t="s">
        <v>119</v>
      </c>
      <c r="V158" s="780">
        <v>0.77611863395212255</v>
      </c>
      <c r="W158" s="791">
        <v>133081.83828240441</v>
      </c>
      <c r="X158" s="779" t="s">
        <v>119</v>
      </c>
      <c r="Y158" s="780">
        <v>0.80392496825996917</v>
      </c>
      <c r="Z158" s="791">
        <v>128358.51927223432</v>
      </c>
      <c r="AA158" s="779" t="s">
        <v>119</v>
      </c>
      <c r="AB158" s="780">
        <v>0.81323890942925214</v>
      </c>
      <c r="AC158" s="791">
        <v>138380.08223735401</v>
      </c>
      <c r="AD158" s="779" t="s">
        <v>119</v>
      </c>
      <c r="AE158" s="780">
        <v>0.78225945921159179</v>
      </c>
      <c r="AF158" s="791">
        <v>131496.09412265831</v>
      </c>
      <c r="AG158" s="779" t="s">
        <v>119</v>
      </c>
      <c r="AH158" s="780">
        <v>0.79428971482875077</v>
      </c>
      <c r="AI158" s="791">
        <v>131881.0048071924</v>
      </c>
      <c r="AJ158" s="779" t="s">
        <v>119</v>
      </c>
      <c r="AK158" s="780">
        <v>0.82780205672224871</v>
      </c>
      <c r="AL158" s="791">
        <v>133877.28098587377</v>
      </c>
      <c r="AM158" s="779" t="s">
        <v>119</v>
      </c>
      <c r="AN158" s="780">
        <v>0.94747716746354782</v>
      </c>
      <c r="AO158" s="791">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9"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9"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9"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9" t="s">
        <v>59</v>
      </c>
      <c r="C162" s="749"/>
      <c r="D162" s="759"/>
      <c r="E162" s="760">
        <v>0</v>
      </c>
      <c r="F162" s="749"/>
      <c r="G162" s="759"/>
      <c r="H162" s="773">
        <v>0</v>
      </c>
      <c r="I162" s="749"/>
      <c r="J162" s="759"/>
      <c r="K162" s="773">
        <v>0</v>
      </c>
      <c r="L162" s="749"/>
      <c r="M162" s="759"/>
      <c r="N162" s="773">
        <v>0</v>
      </c>
      <c r="O162" s="749"/>
      <c r="P162" s="759"/>
      <c r="Q162" s="773">
        <v>0</v>
      </c>
      <c r="R162" s="749"/>
      <c r="S162" s="759"/>
      <c r="T162" s="773">
        <v>0</v>
      </c>
      <c r="U162" s="749"/>
      <c r="V162" s="759"/>
      <c r="W162" s="773">
        <v>0</v>
      </c>
      <c r="X162" s="749"/>
      <c r="Y162" s="759"/>
      <c r="Z162" s="773">
        <v>0</v>
      </c>
      <c r="AA162" s="749"/>
      <c r="AB162" s="759"/>
      <c r="AC162" s="773">
        <v>0</v>
      </c>
      <c r="AD162" s="749"/>
      <c r="AE162" s="759"/>
      <c r="AF162" s="773">
        <v>0</v>
      </c>
      <c r="AG162" s="749"/>
      <c r="AH162" s="759"/>
      <c r="AI162" s="773">
        <v>0</v>
      </c>
      <c r="AJ162" s="749"/>
      <c r="AK162" s="759"/>
      <c r="AL162" s="773">
        <v>0</v>
      </c>
      <c r="AM162" s="749"/>
      <c r="AN162" s="759"/>
      <c r="AO162" s="773">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9" t="s">
        <v>59</v>
      </c>
      <c r="C163" s="749"/>
      <c r="D163" s="759"/>
      <c r="E163" s="760">
        <v>0</v>
      </c>
      <c r="F163" s="749"/>
      <c r="G163" s="759"/>
      <c r="H163" s="773">
        <v>0</v>
      </c>
      <c r="I163" s="749"/>
      <c r="J163" s="759"/>
      <c r="K163" s="773">
        <v>0</v>
      </c>
      <c r="L163" s="749"/>
      <c r="M163" s="759"/>
      <c r="N163" s="773">
        <v>0</v>
      </c>
      <c r="O163" s="749"/>
      <c r="P163" s="759"/>
      <c r="Q163" s="773">
        <v>0</v>
      </c>
      <c r="R163" s="749"/>
      <c r="S163" s="759"/>
      <c r="T163" s="773">
        <v>0</v>
      </c>
      <c r="U163" s="749"/>
      <c r="V163" s="759"/>
      <c r="W163" s="773">
        <v>0</v>
      </c>
      <c r="X163" s="749"/>
      <c r="Y163" s="759"/>
      <c r="Z163" s="773">
        <v>0</v>
      </c>
      <c r="AA163" s="749"/>
      <c r="AB163" s="759"/>
      <c r="AC163" s="773">
        <v>0</v>
      </c>
      <c r="AD163" s="749"/>
      <c r="AE163" s="759"/>
      <c r="AF163" s="773">
        <v>0</v>
      </c>
      <c r="AG163" s="749"/>
      <c r="AH163" s="759"/>
      <c r="AI163" s="773">
        <v>0</v>
      </c>
      <c r="AJ163" s="749"/>
      <c r="AK163" s="759"/>
      <c r="AL163" s="773">
        <v>0</v>
      </c>
      <c r="AM163" s="749"/>
      <c r="AN163" s="759"/>
      <c r="AO163" s="773">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9" t="s">
        <v>59</v>
      </c>
      <c r="C164" s="749"/>
      <c r="D164" s="759"/>
      <c r="E164" s="760">
        <v>0</v>
      </c>
      <c r="F164" s="749"/>
      <c r="G164" s="759"/>
      <c r="H164" s="773">
        <v>0</v>
      </c>
      <c r="I164" s="749"/>
      <c r="J164" s="759"/>
      <c r="K164" s="773">
        <v>0</v>
      </c>
      <c r="L164" s="749"/>
      <c r="M164" s="759"/>
      <c r="N164" s="773">
        <v>0</v>
      </c>
      <c r="O164" s="749"/>
      <c r="P164" s="759"/>
      <c r="Q164" s="773">
        <v>0</v>
      </c>
      <c r="R164" s="749"/>
      <c r="S164" s="759"/>
      <c r="T164" s="773">
        <v>0</v>
      </c>
      <c r="U164" s="749"/>
      <c r="V164" s="759"/>
      <c r="W164" s="773">
        <v>0</v>
      </c>
      <c r="X164" s="749"/>
      <c r="Y164" s="759"/>
      <c r="Z164" s="773">
        <v>0</v>
      </c>
      <c r="AA164" s="749"/>
      <c r="AB164" s="759"/>
      <c r="AC164" s="773">
        <v>0</v>
      </c>
      <c r="AD164" s="749"/>
      <c r="AE164" s="759"/>
      <c r="AF164" s="773">
        <v>0</v>
      </c>
      <c r="AG164" s="749"/>
      <c r="AH164" s="759"/>
      <c r="AI164" s="773">
        <v>0</v>
      </c>
      <c r="AJ164" s="749"/>
      <c r="AK164" s="759"/>
      <c r="AL164" s="773">
        <v>0</v>
      </c>
      <c r="AM164" s="749"/>
      <c r="AN164" s="759"/>
      <c r="AO164" s="773">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8" t="s">
        <v>149</v>
      </c>
      <c r="C165" s="778"/>
      <c r="D165" s="786"/>
      <c r="E165" s="776">
        <v>201451.10287500001</v>
      </c>
      <c r="F165" s="778"/>
      <c r="G165" s="786"/>
      <c r="H165" s="777">
        <v>11524.155500000001</v>
      </c>
      <c r="I165" s="778"/>
      <c r="J165" s="786"/>
      <c r="K165" s="777">
        <v>11906.950874999999</v>
      </c>
      <c r="L165" s="778"/>
      <c r="M165" s="786"/>
      <c r="N165" s="777">
        <v>17910.794125</v>
      </c>
      <c r="O165" s="778"/>
      <c r="P165" s="786"/>
      <c r="Q165" s="777">
        <v>20026.242249999996</v>
      </c>
      <c r="R165" s="778"/>
      <c r="S165" s="786"/>
      <c r="T165" s="777">
        <v>20388.890499999994</v>
      </c>
      <c r="U165" s="778"/>
      <c r="V165" s="786"/>
      <c r="W165" s="777">
        <v>18434.619375000002</v>
      </c>
      <c r="X165" s="778"/>
      <c r="Y165" s="786"/>
      <c r="Z165" s="777">
        <v>17165.3505</v>
      </c>
      <c r="AA165" s="778"/>
      <c r="AB165" s="786"/>
      <c r="AC165" s="777">
        <v>18293.589499999998</v>
      </c>
      <c r="AD165" s="778"/>
      <c r="AE165" s="786"/>
      <c r="AF165" s="777">
        <v>18071.971125</v>
      </c>
      <c r="AG165" s="778"/>
      <c r="AH165" s="786"/>
      <c r="AI165" s="777">
        <v>17850.352750000002</v>
      </c>
      <c r="AJ165" s="778"/>
      <c r="AK165" s="786"/>
      <c r="AL165" s="777">
        <v>17386.968875000006</v>
      </c>
      <c r="AM165" s="778"/>
      <c r="AN165" s="786"/>
      <c r="AO165" s="777">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201451.10287500001</v>
      </c>
      <c r="F166" s="816"/>
      <c r="G166" s="817"/>
      <c r="H166" s="791">
        <v>11524.155500000001</v>
      </c>
      <c r="I166" s="816"/>
      <c r="J166" s="817"/>
      <c r="K166" s="791">
        <v>11906.950874999999</v>
      </c>
      <c r="L166" s="816"/>
      <c r="M166" s="817"/>
      <c r="N166" s="791">
        <v>17910.794125</v>
      </c>
      <c r="O166" s="816"/>
      <c r="P166" s="817"/>
      <c r="Q166" s="791">
        <v>20026.242249999996</v>
      </c>
      <c r="R166" s="816"/>
      <c r="S166" s="817"/>
      <c r="T166" s="791">
        <v>20388.890499999994</v>
      </c>
      <c r="U166" s="816"/>
      <c r="V166" s="817"/>
      <c r="W166" s="791">
        <v>18434.619375000002</v>
      </c>
      <c r="X166" s="816"/>
      <c r="Y166" s="817"/>
      <c r="Z166" s="791">
        <v>17165.3505</v>
      </c>
      <c r="AA166" s="816"/>
      <c r="AB166" s="817"/>
      <c r="AC166" s="791">
        <v>18293.589499999998</v>
      </c>
      <c r="AD166" s="816"/>
      <c r="AE166" s="817"/>
      <c r="AF166" s="791">
        <v>18071.971125</v>
      </c>
      <c r="AG166" s="816"/>
      <c r="AH166" s="817"/>
      <c r="AI166" s="791">
        <v>17850.352750000002</v>
      </c>
      <c r="AJ166" s="816"/>
      <c r="AK166" s="817"/>
      <c r="AL166" s="791">
        <v>17386.968875000006</v>
      </c>
      <c r="AM166" s="816"/>
      <c r="AN166" s="817"/>
      <c r="AO166" s="791">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8"/>
      <c r="D168" s="819"/>
      <c r="E168" s="800">
        <v>518072.59455172636</v>
      </c>
      <c r="F168" s="818"/>
      <c r="G168" s="819"/>
      <c r="H168" s="800">
        <v>9206.9928148387189</v>
      </c>
      <c r="I168" s="818"/>
      <c r="J168" s="819"/>
      <c r="K168" s="800">
        <v>10426.792454672239</v>
      </c>
      <c r="L168" s="818"/>
      <c r="M168" s="819"/>
      <c r="N168" s="800">
        <v>47367.789296333431</v>
      </c>
      <c r="O168" s="818"/>
      <c r="P168" s="819"/>
      <c r="Q168" s="800">
        <v>63280.298725224347</v>
      </c>
      <c r="R168" s="818"/>
      <c r="S168" s="819"/>
      <c r="T168" s="800">
        <v>61913.548476629207</v>
      </c>
      <c r="U168" s="818"/>
      <c r="V168" s="819"/>
      <c r="W168" s="800">
        <v>56823.781092595593</v>
      </c>
      <c r="X168" s="818"/>
      <c r="Y168" s="819"/>
      <c r="Z168" s="800">
        <v>48471.631227765669</v>
      </c>
      <c r="AA168" s="818"/>
      <c r="AB168" s="819"/>
      <c r="AC168" s="800">
        <v>50072.707262645999</v>
      </c>
      <c r="AD168" s="818"/>
      <c r="AE168" s="819"/>
      <c r="AF168" s="800">
        <v>54673.677002341676</v>
      </c>
      <c r="AG168" s="818"/>
      <c r="AH168" s="819"/>
      <c r="AI168" s="800">
        <v>52005.747942807604</v>
      </c>
      <c r="AJ168" s="818"/>
      <c r="AK168" s="819"/>
      <c r="AL168" s="800">
        <v>45235.887889126272</v>
      </c>
      <c r="AM168" s="818"/>
      <c r="AN168" s="819"/>
      <c r="AO168" s="800">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3865</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71">
        <v>2024</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6293.9415928456292</v>
      </c>
      <c r="D175" s="772">
        <v>2077000.7256390578</v>
      </c>
      <c r="E175" s="760">
        <v>1578520.5514856838</v>
      </c>
      <c r="F175" s="822">
        <v>294.81793519148601</v>
      </c>
      <c r="G175" s="823">
        <v>97289.918613190384</v>
      </c>
      <c r="H175" s="773">
        <v>73940.338146024689</v>
      </c>
      <c r="I175" s="822">
        <v>297.2981282462469</v>
      </c>
      <c r="J175" s="823">
        <v>98108.382321261466</v>
      </c>
      <c r="K175" s="773">
        <v>74562.370564158715</v>
      </c>
      <c r="L175" s="822">
        <v>420.21079482837303</v>
      </c>
      <c r="M175" s="823">
        <v>138669.56229336309</v>
      </c>
      <c r="N175" s="773">
        <v>105388.86734295596</v>
      </c>
      <c r="O175" s="822">
        <v>779.19719999999995</v>
      </c>
      <c r="P175" s="823">
        <v>257135.07599999997</v>
      </c>
      <c r="Q175" s="773">
        <v>195422.65775999997</v>
      </c>
      <c r="R175" s="822">
        <v>842.13720000000001</v>
      </c>
      <c r="S175" s="823">
        <v>277905.27600000001</v>
      </c>
      <c r="T175" s="773">
        <v>211208.00976000002</v>
      </c>
      <c r="U175" s="822">
        <v>437.98206262740655</v>
      </c>
      <c r="V175" s="823">
        <v>144534.08066704418</v>
      </c>
      <c r="W175" s="773">
        <v>109845.90130695357</v>
      </c>
      <c r="X175" s="822">
        <v>463.23840000000001</v>
      </c>
      <c r="Y175" s="823">
        <v>152868.67199999999</v>
      </c>
      <c r="Z175" s="773">
        <v>116180.19072</v>
      </c>
      <c r="AA175" s="822">
        <v>396.08321081737733</v>
      </c>
      <c r="AB175" s="823">
        <v>130707.45956973452</v>
      </c>
      <c r="AC175" s="773">
        <v>99337.669272998231</v>
      </c>
      <c r="AD175" s="822">
        <v>330.91274867466632</v>
      </c>
      <c r="AE175" s="823">
        <v>109201.20706263988</v>
      </c>
      <c r="AF175" s="773">
        <v>82992.917367606307</v>
      </c>
      <c r="AG175" s="822">
        <v>720.66300000000001</v>
      </c>
      <c r="AH175" s="823">
        <v>237818.79</v>
      </c>
      <c r="AI175" s="773">
        <v>180742.28040000002</v>
      </c>
      <c r="AJ175" s="822">
        <v>905.70659999999998</v>
      </c>
      <c r="AK175" s="823">
        <v>298883.17800000001</v>
      </c>
      <c r="AL175" s="773">
        <v>227151.21528</v>
      </c>
      <c r="AM175" s="822">
        <v>405.69431246007315</v>
      </c>
      <c r="AN175" s="823">
        <v>133879.12311182416</v>
      </c>
      <c r="AO175" s="773">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0.7599999999999999</v>
      </c>
      <c r="F176" s="821"/>
      <c r="G176" s="759"/>
      <c r="H176" s="824">
        <v>0.76</v>
      </c>
      <c r="I176" s="821"/>
      <c r="J176" s="759"/>
      <c r="K176" s="824">
        <v>0.76</v>
      </c>
      <c r="L176" s="821"/>
      <c r="M176" s="759"/>
      <c r="N176" s="824">
        <v>0.76</v>
      </c>
      <c r="O176" s="821"/>
      <c r="P176" s="759"/>
      <c r="Q176" s="824">
        <v>0.76</v>
      </c>
      <c r="R176" s="821"/>
      <c r="S176" s="759"/>
      <c r="T176" s="824">
        <v>0.76</v>
      </c>
      <c r="U176" s="821"/>
      <c r="V176" s="759"/>
      <c r="W176" s="824">
        <v>0.76</v>
      </c>
      <c r="X176" s="821"/>
      <c r="Y176" s="759"/>
      <c r="Z176" s="824">
        <v>0.76</v>
      </c>
      <c r="AA176" s="821"/>
      <c r="AB176" s="759"/>
      <c r="AC176" s="824">
        <v>0.76</v>
      </c>
      <c r="AD176" s="821"/>
      <c r="AE176" s="759"/>
      <c r="AF176" s="824">
        <v>0.76</v>
      </c>
      <c r="AG176" s="821"/>
      <c r="AH176" s="759"/>
      <c r="AI176" s="824">
        <v>0.76</v>
      </c>
      <c r="AJ176" s="821"/>
      <c r="AK176" s="759"/>
      <c r="AL176" s="824">
        <v>0.76</v>
      </c>
      <c r="AM176" s="821"/>
      <c r="AN176" s="759"/>
      <c r="AO176" s="824">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330</v>
      </c>
      <c r="E177" s="827"/>
      <c r="F177" s="825"/>
      <c r="G177" s="826">
        <v>330</v>
      </c>
      <c r="H177" s="827"/>
      <c r="I177" s="825"/>
      <c r="J177" s="826">
        <v>329.99999999999994</v>
      </c>
      <c r="K177" s="827"/>
      <c r="L177" s="825"/>
      <c r="M177" s="826">
        <v>330</v>
      </c>
      <c r="N177" s="827"/>
      <c r="O177" s="825"/>
      <c r="P177" s="826">
        <v>330</v>
      </c>
      <c r="Q177" s="827"/>
      <c r="R177" s="825"/>
      <c r="S177" s="826">
        <v>330</v>
      </c>
      <c r="T177" s="827"/>
      <c r="U177" s="825"/>
      <c r="V177" s="826">
        <v>330.00000000000006</v>
      </c>
      <c r="W177" s="827"/>
      <c r="X177" s="825"/>
      <c r="Y177" s="826">
        <v>330</v>
      </c>
      <c r="Z177" s="827"/>
      <c r="AA177" s="825"/>
      <c r="AB177" s="826">
        <v>330</v>
      </c>
      <c r="AC177" s="827"/>
      <c r="AD177" s="825"/>
      <c r="AE177" s="826">
        <v>330</v>
      </c>
      <c r="AF177" s="827"/>
      <c r="AG177" s="825"/>
      <c r="AH177" s="826">
        <v>330</v>
      </c>
      <c r="AI177" s="827"/>
      <c r="AJ177" s="825"/>
      <c r="AK177" s="826">
        <v>330</v>
      </c>
      <c r="AL177" s="827"/>
      <c r="AM177" s="825"/>
      <c r="AN177" s="826">
        <v>330.00000000000006</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1332.9876300068672</v>
      </c>
      <c r="D178" s="829">
        <v>359906.66010185424</v>
      </c>
      <c r="E178" s="784">
        <v>230340.26246518671</v>
      </c>
      <c r="F178" s="830">
        <v>62.439197268867318</v>
      </c>
      <c r="G178" s="831">
        <v>16858.583262594177</v>
      </c>
      <c r="H178" s="785">
        <v>10789.493288060274</v>
      </c>
      <c r="I178" s="830">
        <v>62.964474889139993</v>
      </c>
      <c r="J178" s="831">
        <v>17000.408220067799</v>
      </c>
      <c r="K178" s="785">
        <v>10880.261260843392</v>
      </c>
      <c r="L178" s="830">
        <v>88.996026295872454</v>
      </c>
      <c r="M178" s="831">
        <v>24028.927099885565</v>
      </c>
      <c r="N178" s="785">
        <v>15378.513343926761</v>
      </c>
      <c r="O178" s="830">
        <v>165.02539999999999</v>
      </c>
      <c r="P178" s="831">
        <v>44556.858</v>
      </c>
      <c r="Q178" s="785">
        <v>28516.38912</v>
      </c>
      <c r="R178" s="830">
        <v>178.3554</v>
      </c>
      <c r="S178" s="831">
        <v>48155.957999999999</v>
      </c>
      <c r="T178" s="785">
        <v>30819.813119999999</v>
      </c>
      <c r="U178" s="830">
        <v>92.759785427761827</v>
      </c>
      <c r="V178" s="831">
        <v>25045.142065495693</v>
      </c>
      <c r="W178" s="785">
        <v>16028.890921917244</v>
      </c>
      <c r="X178" s="830">
        <v>98.108800000000002</v>
      </c>
      <c r="Y178" s="831">
        <v>26489.376</v>
      </c>
      <c r="Z178" s="785">
        <v>16953.200639999999</v>
      </c>
      <c r="AA178" s="830">
        <v>83.886069275431197</v>
      </c>
      <c r="AB178" s="831">
        <v>22649.238704366424</v>
      </c>
      <c r="AC178" s="785">
        <v>14495.512770794512</v>
      </c>
      <c r="AD178" s="830">
        <v>70.083681916639691</v>
      </c>
      <c r="AE178" s="831">
        <v>18922.594117492714</v>
      </c>
      <c r="AF178" s="785">
        <v>12110.460235195336</v>
      </c>
      <c r="AG178" s="830">
        <v>152.6285</v>
      </c>
      <c r="AH178" s="831">
        <v>41209.695</v>
      </c>
      <c r="AI178" s="785">
        <v>26374.2048</v>
      </c>
      <c r="AJ178" s="830">
        <v>191.81870000000001</v>
      </c>
      <c r="AK178" s="831">
        <v>51791.048999999999</v>
      </c>
      <c r="AL178" s="785">
        <v>33146.271359999999</v>
      </c>
      <c r="AM178" s="830">
        <v>85.921594933154992</v>
      </c>
      <c r="AN178" s="831">
        <v>23198.830631951849</v>
      </c>
      <c r="AO178" s="785">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0.64</v>
      </c>
      <c r="F179" s="749"/>
      <c r="G179" s="759"/>
      <c r="H179" s="824">
        <v>0.64</v>
      </c>
      <c r="I179" s="749"/>
      <c r="J179" s="759"/>
      <c r="K179" s="824">
        <v>0.64</v>
      </c>
      <c r="L179" s="749"/>
      <c r="M179" s="759"/>
      <c r="N179" s="824">
        <v>0.64</v>
      </c>
      <c r="O179" s="749"/>
      <c r="P179" s="759"/>
      <c r="Q179" s="824">
        <v>0.64</v>
      </c>
      <c r="R179" s="749"/>
      <c r="S179" s="759"/>
      <c r="T179" s="824">
        <v>0.64</v>
      </c>
      <c r="U179" s="749"/>
      <c r="V179" s="759"/>
      <c r="W179" s="824">
        <v>0.64</v>
      </c>
      <c r="X179" s="749"/>
      <c r="Y179" s="759"/>
      <c r="Z179" s="824">
        <v>0.64</v>
      </c>
      <c r="AA179" s="749"/>
      <c r="AB179" s="759"/>
      <c r="AC179" s="824">
        <v>0.64</v>
      </c>
      <c r="AD179" s="749"/>
      <c r="AE179" s="759"/>
      <c r="AF179" s="824">
        <v>0.64</v>
      </c>
      <c r="AG179" s="749"/>
      <c r="AH179" s="759"/>
      <c r="AI179" s="824">
        <v>0.64</v>
      </c>
      <c r="AJ179" s="749"/>
      <c r="AK179" s="759"/>
      <c r="AL179" s="824">
        <v>0.64</v>
      </c>
      <c r="AM179" s="749"/>
      <c r="AN179" s="759"/>
      <c r="AO179" s="824">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270.00000000000006</v>
      </c>
      <c r="E180" s="827"/>
      <c r="F180" s="778"/>
      <c r="G180" s="826">
        <v>270</v>
      </c>
      <c r="H180" s="827"/>
      <c r="I180" s="778"/>
      <c r="J180" s="826">
        <v>270</v>
      </c>
      <c r="K180" s="827"/>
      <c r="L180" s="778"/>
      <c r="M180" s="826">
        <v>270</v>
      </c>
      <c r="N180" s="827"/>
      <c r="O180" s="778"/>
      <c r="P180" s="826">
        <v>270</v>
      </c>
      <c r="Q180" s="827"/>
      <c r="R180" s="778"/>
      <c r="S180" s="826">
        <v>270</v>
      </c>
      <c r="T180" s="827"/>
      <c r="U180" s="778"/>
      <c r="V180" s="826">
        <v>270</v>
      </c>
      <c r="W180" s="827"/>
      <c r="X180" s="778"/>
      <c r="Y180" s="826">
        <v>270</v>
      </c>
      <c r="Z180" s="827"/>
      <c r="AA180" s="778"/>
      <c r="AB180" s="826">
        <v>270</v>
      </c>
      <c r="AC180" s="827"/>
      <c r="AD180" s="778"/>
      <c r="AE180" s="826">
        <v>269.99999999999994</v>
      </c>
      <c r="AF180" s="827"/>
      <c r="AG180" s="778"/>
      <c r="AH180" s="826">
        <v>270</v>
      </c>
      <c r="AI180" s="827"/>
      <c r="AJ180" s="778"/>
      <c r="AK180" s="826">
        <v>270</v>
      </c>
      <c r="AL180" s="827"/>
      <c r="AM180" s="778"/>
      <c r="AN180" s="826">
        <v>270</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2611.875</v>
      </c>
      <c r="D181" s="772">
        <v>767891.25</v>
      </c>
      <c r="E181" s="760">
        <v>568239.52499999991</v>
      </c>
      <c r="F181" s="822">
        <v>131.25</v>
      </c>
      <c r="G181" s="823">
        <v>38587.5</v>
      </c>
      <c r="H181" s="773">
        <v>28554.75</v>
      </c>
      <c r="I181" s="822">
        <v>131.25</v>
      </c>
      <c r="J181" s="823">
        <v>38587.5</v>
      </c>
      <c r="K181" s="773">
        <v>28554.75</v>
      </c>
      <c r="L181" s="822">
        <v>183.75000000000003</v>
      </c>
      <c r="M181" s="823">
        <v>54022.500000000007</v>
      </c>
      <c r="N181" s="773">
        <v>39976.65</v>
      </c>
      <c r="O181" s="822">
        <v>262.5</v>
      </c>
      <c r="P181" s="823">
        <v>77175</v>
      </c>
      <c r="Q181" s="773">
        <v>57109.5</v>
      </c>
      <c r="R181" s="822">
        <v>301.875</v>
      </c>
      <c r="S181" s="823">
        <v>88751.25</v>
      </c>
      <c r="T181" s="773">
        <v>65675.925000000003</v>
      </c>
      <c r="U181" s="822">
        <v>236.25</v>
      </c>
      <c r="V181" s="823">
        <v>69457.5</v>
      </c>
      <c r="W181" s="773">
        <v>51398.55</v>
      </c>
      <c r="X181" s="822">
        <v>210</v>
      </c>
      <c r="Y181" s="823">
        <v>61740</v>
      </c>
      <c r="Z181" s="773">
        <v>45687.6</v>
      </c>
      <c r="AA181" s="822">
        <v>236.25</v>
      </c>
      <c r="AB181" s="823">
        <v>69457.5</v>
      </c>
      <c r="AC181" s="773">
        <v>51398.55</v>
      </c>
      <c r="AD181" s="822">
        <v>210</v>
      </c>
      <c r="AE181" s="823">
        <v>61740</v>
      </c>
      <c r="AF181" s="773">
        <v>45687.6</v>
      </c>
      <c r="AG181" s="822">
        <v>315</v>
      </c>
      <c r="AH181" s="823">
        <v>92610</v>
      </c>
      <c r="AI181" s="773">
        <v>68531.399999999994</v>
      </c>
      <c r="AJ181" s="822">
        <v>262.5</v>
      </c>
      <c r="AK181" s="823">
        <v>77175</v>
      </c>
      <c r="AL181" s="773">
        <v>57109.5</v>
      </c>
      <c r="AM181" s="822">
        <v>131.25</v>
      </c>
      <c r="AN181" s="823">
        <v>38587.5</v>
      </c>
      <c r="AO181" s="773">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0.73999999999999988</v>
      </c>
      <c r="F182" s="821"/>
      <c r="G182" s="832"/>
      <c r="H182" s="824">
        <v>0.74</v>
      </c>
      <c r="I182" s="821"/>
      <c r="J182" s="832"/>
      <c r="K182" s="824">
        <v>0.74</v>
      </c>
      <c r="L182" s="821"/>
      <c r="M182" s="832"/>
      <c r="N182" s="824">
        <v>0.73999999999999988</v>
      </c>
      <c r="O182" s="821"/>
      <c r="P182" s="832"/>
      <c r="Q182" s="824">
        <v>0.74</v>
      </c>
      <c r="R182" s="821"/>
      <c r="S182" s="832"/>
      <c r="T182" s="824">
        <v>0.74</v>
      </c>
      <c r="U182" s="821"/>
      <c r="V182" s="832"/>
      <c r="W182" s="824">
        <v>0.74</v>
      </c>
      <c r="X182" s="821"/>
      <c r="Y182" s="832"/>
      <c r="Z182" s="824">
        <v>0.74</v>
      </c>
      <c r="AA182" s="821"/>
      <c r="AB182" s="832"/>
      <c r="AC182" s="824">
        <v>0.74</v>
      </c>
      <c r="AD182" s="821"/>
      <c r="AE182" s="832"/>
      <c r="AF182" s="824">
        <v>0.74</v>
      </c>
      <c r="AG182" s="821"/>
      <c r="AH182" s="832"/>
      <c r="AI182" s="824">
        <v>0.74</v>
      </c>
      <c r="AJ182" s="821"/>
      <c r="AK182" s="832"/>
      <c r="AL182" s="824">
        <v>0.74</v>
      </c>
      <c r="AM182" s="821"/>
      <c r="AN182" s="832"/>
      <c r="AO182" s="824">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294</v>
      </c>
      <c r="E183" s="824"/>
      <c r="F183" s="821"/>
      <c r="G183" s="833">
        <v>294</v>
      </c>
      <c r="H183" s="824"/>
      <c r="I183" s="821"/>
      <c r="J183" s="833">
        <v>294</v>
      </c>
      <c r="K183" s="824"/>
      <c r="L183" s="821"/>
      <c r="M183" s="833">
        <v>294</v>
      </c>
      <c r="N183" s="824"/>
      <c r="O183" s="821"/>
      <c r="P183" s="833">
        <v>294</v>
      </c>
      <c r="Q183" s="824"/>
      <c r="R183" s="821"/>
      <c r="S183" s="833">
        <v>294</v>
      </c>
      <c r="T183" s="824"/>
      <c r="U183" s="821"/>
      <c r="V183" s="833">
        <v>294</v>
      </c>
      <c r="W183" s="824"/>
      <c r="X183" s="821"/>
      <c r="Y183" s="833">
        <v>294</v>
      </c>
      <c r="Z183" s="824"/>
      <c r="AA183" s="821"/>
      <c r="AB183" s="833">
        <v>294</v>
      </c>
      <c r="AC183" s="824"/>
      <c r="AD183" s="821"/>
      <c r="AE183" s="833">
        <v>294</v>
      </c>
      <c r="AF183" s="824"/>
      <c r="AG183" s="821"/>
      <c r="AH183" s="833">
        <v>294</v>
      </c>
      <c r="AI183" s="824"/>
      <c r="AJ183" s="821"/>
      <c r="AK183" s="833">
        <v>294</v>
      </c>
      <c r="AL183" s="824"/>
      <c r="AM183" s="821"/>
      <c r="AN183" s="833">
        <v>294</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1680</v>
      </c>
      <c r="D184" s="829">
        <v>167999.99999999997</v>
      </c>
      <c r="E184" s="784">
        <v>127680.00000000001</v>
      </c>
      <c r="F184" s="830">
        <v>130.89082671091208</v>
      </c>
      <c r="G184" s="831">
        <v>13089.08267109121</v>
      </c>
      <c r="H184" s="785">
        <v>9947.7028300293186</v>
      </c>
      <c r="I184" s="830">
        <v>90.114229728258636</v>
      </c>
      <c r="J184" s="831">
        <v>9011.4229728258633</v>
      </c>
      <c r="K184" s="785">
        <v>6848.6814593476565</v>
      </c>
      <c r="L184" s="830">
        <v>136.98918515126147</v>
      </c>
      <c r="M184" s="831">
        <v>13698.918515126148</v>
      </c>
      <c r="N184" s="785">
        <v>10411.178071495873</v>
      </c>
      <c r="O184" s="830">
        <v>151.73371672679087</v>
      </c>
      <c r="P184" s="831">
        <v>15173.371672679088</v>
      </c>
      <c r="Q184" s="785">
        <v>11531.762471236107</v>
      </c>
      <c r="R184" s="830">
        <v>198.27442913289764</v>
      </c>
      <c r="S184" s="831">
        <v>19827.442913289764</v>
      </c>
      <c r="T184" s="785">
        <v>15068.856614100221</v>
      </c>
      <c r="U184" s="830">
        <v>139.69255948917578</v>
      </c>
      <c r="V184" s="831">
        <v>13969.255948917578</v>
      </c>
      <c r="W184" s="785">
        <v>10616.634521177361</v>
      </c>
      <c r="X184" s="830">
        <v>139.0787295461968</v>
      </c>
      <c r="Y184" s="831">
        <v>13907.872954619679</v>
      </c>
      <c r="Z184" s="785">
        <v>10569.983445510956</v>
      </c>
      <c r="AA184" s="830">
        <v>147.26663238148149</v>
      </c>
      <c r="AB184" s="831">
        <v>14726.66323814815</v>
      </c>
      <c r="AC184" s="785">
        <v>11192.264060992595</v>
      </c>
      <c r="AD184" s="830">
        <v>161.37421028330323</v>
      </c>
      <c r="AE184" s="831">
        <v>16137.421028330324</v>
      </c>
      <c r="AF184" s="785">
        <v>12264.439981531046</v>
      </c>
      <c r="AG184" s="830">
        <v>200.16216642329189</v>
      </c>
      <c r="AH184" s="831">
        <v>20016.216642329189</v>
      </c>
      <c r="AI184" s="785">
        <v>15212.324648170184</v>
      </c>
      <c r="AJ184" s="830">
        <v>116.32497850919506</v>
      </c>
      <c r="AK184" s="831">
        <v>11632.497850919506</v>
      </c>
      <c r="AL184" s="785">
        <v>8840.6983666988253</v>
      </c>
      <c r="AM184" s="830">
        <v>68.098335917235062</v>
      </c>
      <c r="AN184" s="831">
        <v>6809.8335917235054</v>
      </c>
      <c r="AO184" s="785">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0.76000000000000023</v>
      </c>
      <c r="F185" s="834"/>
      <c r="G185" s="835">
        <v>0</v>
      </c>
      <c r="H185" s="824">
        <v>0.7599999999999999</v>
      </c>
      <c r="I185" s="834"/>
      <c r="J185" s="835">
        <v>0</v>
      </c>
      <c r="K185" s="824">
        <v>0.76</v>
      </c>
      <c r="L185" s="834"/>
      <c r="M185" s="835">
        <v>0</v>
      </c>
      <c r="N185" s="824">
        <v>0.76</v>
      </c>
      <c r="O185" s="834"/>
      <c r="P185" s="835">
        <v>0</v>
      </c>
      <c r="Q185" s="824">
        <v>0.76</v>
      </c>
      <c r="R185" s="834"/>
      <c r="S185" s="835">
        <v>0</v>
      </c>
      <c r="T185" s="824">
        <v>0.76</v>
      </c>
      <c r="U185" s="834"/>
      <c r="V185" s="835">
        <v>0</v>
      </c>
      <c r="W185" s="824">
        <v>0.76000000000000012</v>
      </c>
      <c r="X185" s="834"/>
      <c r="Y185" s="835">
        <v>0</v>
      </c>
      <c r="Z185" s="824">
        <v>0.76</v>
      </c>
      <c r="AA185" s="834"/>
      <c r="AB185" s="835">
        <v>0</v>
      </c>
      <c r="AC185" s="824">
        <v>0.76</v>
      </c>
      <c r="AD185" s="834"/>
      <c r="AE185" s="835">
        <v>0</v>
      </c>
      <c r="AF185" s="824">
        <v>0.76</v>
      </c>
      <c r="AG185" s="834"/>
      <c r="AH185" s="835">
        <v>0</v>
      </c>
      <c r="AI185" s="824">
        <v>0.76</v>
      </c>
      <c r="AJ185" s="834"/>
      <c r="AK185" s="835">
        <v>0</v>
      </c>
      <c r="AL185" s="824">
        <v>0.76</v>
      </c>
      <c r="AM185" s="834"/>
      <c r="AN185" s="835">
        <v>0</v>
      </c>
      <c r="AO185" s="824">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99.999999999999986</v>
      </c>
      <c r="E186" s="827"/>
      <c r="F186" s="836"/>
      <c r="G186" s="837">
        <v>100.00000000000001</v>
      </c>
      <c r="H186" s="827"/>
      <c r="I186" s="836"/>
      <c r="J186" s="837">
        <v>100</v>
      </c>
      <c r="K186" s="827"/>
      <c r="L186" s="836"/>
      <c r="M186" s="837">
        <v>100.00000000000001</v>
      </c>
      <c r="N186" s="827"/>
      <c r="O186" s="836"/>
      <c r="P186" s="837">
        <v>100</v>
      </c>
      <c r="Q186" s="827"/>
      <c r="R186" s="836"/>
      <c r="S186" s="837">
        <v>100</v>
      </c>
      <c r="T186" s="827"/>
      <c r="U186" s="836"/>
      <c r="V186" s="837">
        <v>100</v>
      </c>
      <c r="W186" s="827"/>
      <c r="X186" s="836"/>
      <c r="Y186" s="837">
        <v>100</v>
      </c>
      <c r="Z186" s="827"/>
      <c r="AA186" s="836"/>
      <c r="AB186" s="837">
        <v>100.00000000000001</v>
      </c>
      <c r="AC186" s="827"/>
      <c r="AD186" s="836"/>
      <c r="AE186" s="837">
        <v>100</v>
      </c>
      <c r="AF186" s="827"/>
      <c r="AG186" s="836"/>
      <c r="AH186" s="837">
        <v>100</v>
      </c>
      <c r="AI186" s="827"/>
      <c r="AJ186" s="836"/>
      <c r="AK186" s="837">
        <v>100</v>
      </c>
      <c r="AL186" s="827"/>
      <c r="AM186" s="836"/>
      <c r="AN186" s="837">
        <v>99.999999999999986</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21"/>
      <c r="D187" s="772"/>
      <c r="E187" s="760">
        <v>-38999.999999999978</v>
      </c>
      <c r="F187" s="822"/>
      <c r="G187" s="823"/>
      <c r="H187" s="773">
        <v>-1913.6914707565138</v>
      </c>
      <c r="I187" s="822"/>
      <c r="J187" s="823"/>
      <c r="K187" s="773">
        <v>-1880.8409511640809</v>
      </c>
      <c r="L187" s="822"/>
      <c r="M187" s="823"/>
      <c r="N187" s="773">
        <v>-2662.7586946003275</v>
      </c>
      <c r="O187" s="822"/>
      <c r="P187" s="823"/>
      <c r="Q187" s="773">
        <v>-4558.590378992194</v>
      </c>
      <c r="R187" s="822"/>
      <c r="S187" s="823"/>
      <c r="T187" s="773">
        <v>-5026.1907963026288</v>
      </c>
      <c r="U187" s="822"/>
      <c r="V187" s="823"/>
      <c r="W187" s="773">
        <v>-2925.6573101237609</v>
      </c>
      <c r="X187" s="822"/>
      <c r="Y187" s="823"/>
      <c r="Z187" s="773">
        <v>-2948.0748381438912</v>
      </c>
      <c r="AA187" s="822"/>
      <c r="AB187" s="823"/>
      <c r="AC187" s="773">
        <v>-2745.9763920939877</v>
      </c>
      <c r="AD187" s="822"/>
      <c r="AE187" s="823"/>
      <c r="AF187" s="773">
        <v>-2378.8512154376144</v>
      </c>
      <c r="AG187" s="822"/>
      <c r="AH187" s="823"/>
      <c r="AI187" s="773">
        <v>-4528.6893081736907</v>
      </c>
      <c r="AJ187" s="822"/>
      <c r="AK187" s="823"/>
      <c r="AL187" s="773">
        <v>-5087.5973124709253</v>
      </c>
      <c r="AM187" s="822"/>
      <c r="AN187" s="823"/>
      <c r="AO187" s="773">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8">
        <v>11918.804222852497</v>
      </c>
      <c r="D188" s="839">
        <v>3372798.6357409121</v>
      </c>
      <c r="E188" s="840">
        <v>2465780.3389508706</v>
      </c>
      <c r="F188" s="838">
        <v>619.39795917126537</v>
      </c>
      <c r="G188" s="839">
        <v>165825.08454687579</v>
      </c>
      <c r="H188" s="840">
        <v>121318.59279335776</v>
      </c>
      <c r="I188" s="838">
        <v>581.62683286364552</v>
      </c>
      <c r="J188" s="839">
        <v>162707.7135141551</v>
      </c>
      <c r="K188" s="840">
        <v>118965.22233318569</v>
      </c>
      <c r="L188" s="838">
        <v>829.94600627550699</v>
      </c>
      <c r="M188" s="839">
        <v>230419.90790837479</v>
      </c>
      <c r="N188" s="840">
        <v>168492.45006377829</v>
      </c>
      <c r="O188" s="838">
        <v>1358.4563167267909</v>
      </c>
      <c r="P188" s="839">
        <v>394040.30567267904</v>
      </c>
      <c r="Q188" s="840">
        <v>288021.71897224389</v>
      </c>
      <c r="R188" s="838">
        <v>1520.6420291328977</v>
      </c>
      <c r="S188" s="839">
        <v>434639.92691328976</v>
      </c>
      <c r="T188" s="840">
        <v>317746.41369779763</v>
      </c>
      <c r="U188" s="838">
        <v>906.68440754434414</v>
      </c>
      <c r="V188" s="839">
        <v>253005.97868145746</v>
      </c>
      <c r="W188" s="840">
        <v>184964.31943992444</v>
      </c>
      <c r="X188" s="838">
        <v>910.42592954619681</v>
      </c>
      <c r="Y188" s="839">
        <v>255005.92095461965</v>
      </c>
      <c r="Z188" s="840">
        <v>186442.89996736709</v>
      </c>
      <c r="AA188" s="838">
        <v>863.48591247428999</v>
      </c>
      <c r="AB188" s="839">
        <v>237540.8615122491</v>
      </c>
      <c r="AC188" s="840">
        <v>173678.01971269134</v>
      </c>
      <c r="AD188" s="838">
        <v>772.37064087460931</v>
      </c>
      <c r="AE188" s="839">
        <v>206001.22220846292</v>
      </c>
      <c r="AF188" s="840">
        <v>150676.56636889509</v>
      </c>
      <c r="AG188" s="838">
        <v>1388.4536664232919</v>
      </c>
      <c r="AH188" s="839">
        <v>391654.70164232916</v>
      </c>
      <c r="AI188" s="840">
        <v>286331.52053999656</v>
      </c>
      <c r="AJ188" s="838">
        <v>1476.350278509195</v>
      </c>
      <c r="AK188" s="839">
        <v>439481.72485091951</v>
      </c>
      <c r="AL188" s="840">
        <v>321160.08769422793</v>
      </c>
      <c r="AM188" s="838">
        <v>690.96424331046319</v>
      </c>
      <c r="AN188" s="839">
        <v>202475.28733549951</v>
      </c>
      <c r="AO188" s="840">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282.98129348194868</v>
      </c>
      <c r="E189" s="843">
        <v>0.73107843226140468</v>
      </c>
      <c r="F189" s="841"/>
      <c r="G189" s="842">
        <v>267.71977868436062</v>
      </c>
      <c r="H189" s="843">
        <v>0.73160579489445798</v>
      </c>
      <c r="I189" s="841"/>
      <c r="J189" s="842">
        <v>279.74588571346004</v>
      </c>
      <c r="K189" s="843">
        <v>0.73115908129847862</v>
      </c>
      <c r="L189" s="841"/>
      <c r="M189" s="842">
        <v>277.63240760976095</v>
      </c>
      <c r="N189" s="843">
        <v>0.7312408532459721</v>
      </c>
      <c r="O189" s="841"/>
      <c r="P189" s="842">
        <v>290.06476014048184</v>
      </c>
      <c r="Q189" s="843">
        <v>0.73094481662365129</v>
      </c>
      <c r="R189" s="841"/>
      <c r="S189" s="842">
        <v>285.82659073360657</v>
      </c>
      <c r="T189" s="843">
        <v>0.73105666097994659</v>
      </c>
      <c r="U189" s="841"/>
      <c r="V189" s="842">
        <v>279.04525166225875</v>
      </c>
      <c r="W189" s="843">
        <v>0.73106699060578473</v>
      </c>
      <c r="X189" s="841"/>
      <c r="Y189" s="842">
        <v>280.09518696565215</v>
      </c>
      <c r="Z189" s="843">
        <v>0.73113165086290721</v>
      </c>
      <c r="AA189" s="841"/>
      <c r="AB189" s="842">
        <v>275.09523673823895</v>
      </c>
      <c r="AC189" s="843">
        <v>0.73115007922009834</v>
      </c>
      <c r="AD189" s="841"/>
      <c r="AE189" s="842">
        <v>266.71291127170929</v>
      </c>
      <c r="AF189" s="843">
        <v>0.73143530292464942</v>
      </c>
      <c r="AG189" s="841"/>
      <c r="AH189" s="842">
        <v>282.07977775106184</v>
      </c>
      <c r="AI189" s="843">
        <v>0.73108153518729646</v>
      </c>
      <c r="AJ189" s="841"/>
      <c r="AK189" s="842">
        <v>297.68120157413057</v>
      </c>
      <c r="AL189" s="843">
        <v>0.73077006285795276</v>
      </c>
      <c r="AM189" s="841"/>
      <c r="AN189" s="842">
        <v>293.03294533075217</v>
      </c>
      <c r="AO189" s="843">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149998.60802777953</v>
      </c>
      <c r="E191" s="760">
        <v>32999.693766111493</v>
      </c>
      <c r="F191" s="822">
        <v>0</v>
      </c>
      <c r="G191" s="845">
        <v>7026.1662343061498</v>
      </c>
      <c r="H191" s="773">
        <v>1545.7565715473529</v>
      </c>
      <c r="I191" s="822">
        <v>0</v>
      </c>
      <c r="J191" s="845">
        <v>7085.2747437141779</v>
      </c>
      <c r="K191" s="773">
        <v>1558.7604436171191</v>
      </c>
      <c r="L191" s="822">
        <v>0</v>
      </c>
      <c r="M191" s="845">
        <v>10014.55659743501</v>
      </c>
      <c r="N191" s="773">
        <v>2203.2024514357022</v>
      </c>
      <c r="O191" s="822">
        <v>0</v>
      </c>
      <c r="P191" s="845">
        <v>18570</v>
      </c>
      <c r="Q191" s="773">
        <v>4085.4</v>
      </c>
      <c r="R191" s="822">
        <v>0</v>
      </c>
      <c r="S191" s="845">
        <v>20070</v>
      </c>
      <c r="T191" s="773">
        <v>4415.3999999999996</v>
      </c>
      <c r="U191" s="822">
        <v>0</v>
      </c>
      <c r="V191" s="845">
        <v>10438.085381968698</v>
      </c>
      <c r="W191" s="773">
        <v>2296.3787840331138</v>
      </c>
      <c r="X191" s="822">
        <v>0</v>
      </c>
      <c r="Y191" s="845">
        <v>11040</v>
      </c>
      <c r="Z191" s="773">
        <v>2428.8000000000002</v>
      </c>
      <c r="AA191" s="822">
        <v>0</v>
      </c>
      <c r="AB191" s="845">
        <v>9439.5426791557984</v>
      </c>
      <c r="AC191" s="773">
        <v>2076.6993894142756</v>
      </c>
      <c r="AD191" s="822">
        <v>0</v>
      </c>
      <c r="AE191" s="845">
        <v>7886.3858120749837</v>
      </c>
      <c r="AF191" s="773">
        <v>1735.0048786564964</v>
      </c>
      <c r="AG191" s="822">
        <v>0</v>
      </c>
      <c r="AH191" s="845">
        <v>17175</v>
      </c>
      <c r="AI191" s="773">
        <v>3778.5</v>
      </c>
      <c r="AJ191" s="822">
        <v>0</v>
      </c>
      <c r="AK191" s="845">
        <v>21585</v>
      </c>
      <c r="AL191" s="773">
        <v>4748.7</v>
      </c>
      <c r="AM191" s="822">
        <v>0</v>
      </c>
      <c r="AN191" s="845">
        <v>9668.5965791247181</v>
      </c>
      <c r="AO191" s="773">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0.21999999999999997</v>
      </c>
      <c r="F192" s="821"/>
      <c r="G192" s="832"/>
      <c r="H192" s="824">
        <v>0.22</v>
      </c>
      <c r="I192" s="821"/>
      <c r="J192" s="832"/>
      <c r="K192" s="824">
        <v>0.22</v>
      </c>
      <c r="L192" s="821"/>
      <c r="M192" s="832"/>
      <c r="N192" s="824">
        <v>0.22</v>
      </c>
      <c r="O192" s="821"/>
      <c r="P192" s="832"/>
      <c r="Q192" s="824">
        <v>0.22</v>
      </c>
      <c r="R192" s="821"/>
      <c r="S192" s="832"/>
      <c r="T192" s="824">
        <v>0.21999999999999997</v>
      </c>
      <c r="U192" s="821"/>
      <c r="V192" s="832"/>
      <c r="W192" s="824">
        <v>0.22000000000000003</v>
      </c>
      <c r="X192" s="821"/>
      <c r="Y192" s="832"/>
      <c r="Z192" s="824">
        <v>0.22000000000000003</v>
      </c>
      <c r="AA192" s="821"/>
      <c r="AB192" s="832"/>
      <c r="AC192" s="824">
        <v>0.22</v>
      </c>
      <c r="AD192" s="821"/>
      <c r="AE192" s="832"/>
      <c r="AF192" s="824">
        <v>0.22</v>
      </c>
      <c r="AG192" s="821"/>
      <c r="AH192" s="832"/>
      <c r="AI192" s="824">
        <v>0.22</v>
      </c>
      <c r="AJ192" s="821"/>
      <c r="AK192" s="832"/>
      <c r="AL192" s="824">
        <v>0.22</v>
      </c>
      <c r="AM192" s="821"/>
      <c r="AN192" s="832"/>
      <c r="AO192" s="824">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0</v>
      </c>
      <c r="D194" s="846">
        <v>167999.99999999997</v>
      </c>
      <c r="E194" s="784">
        <v>117600</v>
      </c>
      <c r="F194" s="830">
        <v>0</v>
      </c>
      <c r="G194" s="847">
        <v>13089.08267109121</v>
      </c>
      <c r="H194" s="785">
        <v>9162.3578697638459</v>
      </c>
      <c r="I194" s="830">
        <v>0</v>
      </c>
      <c r="J194" s="847">
        <v>9011.4229728258633</v>
      </c>
      <c r="K194" s="785">
        <v>6307.9960809781041</v>
      </c>
      <c r="L194" s="830">
        <v>0</v>
      </c>
      <c r="M194" s="847">
        <v>13698.918515126148</v>
      </c>
      <c r="N194" s="785">
        <v>9589.2429605883026</v>
      </c>
      <c r="O194" s="830">
        <v>0</v>
      </c>
      <c r="P194" s="847">
        <v>15173.371672679088</v>
      </c>
      <c r="Q194" s="785">
        <v>10621.360170875361</v>
      </c>
      <c r="R194" s="830">
        <v>0</v>
      </c>
      <c r="S194" s="847">
        <v>19827.442913289764</v>
      </c>
      <c r="T194" s="785">
        <v>13879.210039302834</v>
      </c>
      <c r="U194" s="830">
        <v>0</v>
      </c>
      <c r="V194" s="847">
        <v>13969.255948917578</v>
      </c>
      <c r="W194" s="785">
        <v>9778.4791642423043</v>
      </c>
      <c r="X194" s="830">
        <v>0</v>
      </c>
      <c r="Y194" s="847">
        <v>13907.872954619679</v>
      </c>
      <c r="Z194" s="785">
        <v>9735.5110682337745</v>
      </c>
      <c r="AA194" s="830">
        <v>0</v>
      </c>
      <c r="AB194" s="847">
        <v>14726.66323814815</v>
      </c>
      <c r="AC194" s="785">
        <v>10308.664266703705</v>
      </c>
      <c r="AD194" s="830">
        <v>0</v>
      </c>
      <c r="AE194" s="847">
        <v>16137.421028330324</v>
      </c>
      <c r="AF194" s="785">
        <v>11296.194719831226</v>
      </c>
      <c r="AG194" s="830">
        <v>0</v>
      </c>
      <c r="AH194" s="847">
        <v>20016.216642329189</v>
      </c>
      <c r="AI194" s="785">
        <v>14011.351649630431</v>
      </c>
      <c r="AJ194" s="830">
        <v>0</v>
      </c>
      <c r="AK194" s="847">
        <v>11632.497850919506</v>
      </c>
      <c r="AL194" s="785">
        <v>8142.7484956436538</v>
      </c>
      <c r="AM194" s="830">
        <v>0</v>
      </c>
      <c r="AN194" s="847">
        <v>6809.8335917235054</v>
      </c>
      <c r="AO194" s="785">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0.70000000000000007</v>
      </c>
      <c r="F195" s="825"/>
      <c r="G195" s="848"/>
      <c r="H195" s="827">
        <v>0.7</v>
      </c>
      <c r="I195" s="825"/>
      <c r="J195" s="848"/>
      <c r="K195" s="827">
        <v>0.7</v>
      </c>
      <c r="L195" s="825"/>
      <c r="M195" s="848"/>
      <c r="N195" s="827">
        <v>0.7</v>
      </c>
      <c r="O195" s="825"/>
      <c r="P195" s="848"/>
      <c r="Q195" s="827">
        <v>0.7</v>
      </c>
      <c r="R195" s="825"/>
      <c r="S195" s="848"/>
      <c r="T195" s="827">
        <v>0.7</v>
      </c>
      <c r="U195" s="825"/>
      <c r="V195" s="848"/>
      <c r="W195" s="827">
        <v>0.7</v>
      </c>
      <c r="X195" s="825"/>
      <c r="Y195" s="848"/>
      <c r="Z195" s="827">
        <v>0.7</v>
      </c>
      <c r="AA195" s="825"/>
      <c r="AB195" s="848"/>
      <c r="AC195" s="827">
        <v>0.7</v>
      </c>
      <c r="AD195" s="825"/>
      <c r="AE195" s="848"/>
      <c r="AF195" s="827">
        <v>0.7</v>
      </c>
      <c r="AG195" s="825"/>
      <c r="AH195" s="848"/>
      <c r="AI195" s="827">
        <v>0.7</v>
      </c>
      <c r="AJ195" s="825"/>
      <c r="AK195" s="848"/>
      <c r="AL195" s="827">
        <v>0.7</v>
      </c>
      <c r="AM195" s="825"/>
      <c r="AN195" s="848"/>
      <c r="AO195" s="827">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61"/>
      <c r="D197" s="852">
        <v>3690797.2437686916</v>
      </c>
      <c r="E197" s="763">
        <v>2616380.0327169821</v>
      </c>
      <c r="F197" s="761"/>
      <c r="G197" s="852">
        <v>185940.33345227316</v>
      </c>
      <c r="H197" s="763">
        <v>132026.70723466895</v>
      </c>
      <c r="I197" s="761"/>
      <c r="J197" s="852">
        <v>178804.41123069511</v>
      </c>
      <c r="K197" s="763">
        <v>126831.97885778092</v>
      </c>
      <c r="L197" s="761"/>
      <c r="M197" s="852">
        <v>254133.38302093593</v>
      </c>
      <c r="N197" s="763">
        <v>180284.8954758023</v>
      </c>
      <c r="O197" s="761"/>
      <c r="P197" s="852">
        <v>427783.67734535813</v>
      </c>
      <c r="Q197" s="763">
        <v>302728.4791431193</v>
      </c>
      <c r="R197" s="761"/>
      <c r="S197" s="852">
        <v>474537.36982657952</v>
      </c>
      <c r="T197" s="763">
        <v>336041.02373710048</v>
      </c>
      <c r="U197" s="761"/>
      <c r="V197" s="852">
        <v>277413.32001234376</v>
      </c>
      <c r="W197" s="763">
        <v>197039.17738819987</v>
      </c>
      <c r="X197" s="761"/>
      <c r="Y197" s="852">
        <v>279953.79390923935</v>
      </c>
      <c r="Z197" s="763">
        <v>198607.21103560086</v>
      </c>
      <c r="AA197" s="761"/>
      <c r="AB197" s="852">
        <v>261707.06742955305</v>
      </c>
      <c r="AC197" s="763">
        <v>186063.38336880933</v>
      </c>
      <c r="AD197" s="761"/>
      <c r="AE197" s="852">
        <v>230025.02904886822</v>
      </c>
      <c r="AF197" s="763">
        <v>163707.76596738282</v>
      </c>
      <c r="AG197" s="761"/>
      <c r="AH197" s="852">
        <v>428845.91828465834</v>
      </c>
      <c r="AI197" s="763">
        <v>304121.37218962697</v>
      </c>
      <c r="AJ197" s="761"/>
      <c r="AK197" s="852">
        <v>472699.222701839</v>
      </c>
      <c r="AL197" s="763">
        <v>334051.53618987161</v>
      </c>
      <c r="AM197" s="761"/>
      <c r="AN197" s="852">
        <v>218953.71750634772</v>
      </c>
      <c r="AO197" s="763">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4"/>
      <c r="D198" s="765"/>
      <c r="E198" s="853">
        <v>0.70889291931013343</v>
      </c>
      <c r="F198" s="764"/>
      <c r="G198" s="765"/>
      <c r="H198" s="853">
        <v>0.7100487816891935</v>
      </c>
      <c r="I198" s="764"/>
      <c r="J198" s="765"/>
      <c r="K198" s="853">
        <v>0.70933361198869482</v>
      </c>
      <c r="L198" s="764"/>
      <c r="M198" s="765"/>
      <c r="N198" s="853">
        <v>0.70941052030519791</v>
      </c>
      <c r="O198" s="764"/>
      <c r="P198" s="765"/>
      <c r="Q198" s="853">
        <v>0.70766720465288036</v>
      </c>
      <c r="R198" s="764"/>
      <c r="S198" s="765"/>
      <c r="T198" s="853">
        <v>0.70814448999012913</v>
      </c>
      <c r="U198" s="764"/>
      <c r="V198" s="765"/>
      <c r="W198" s="853">
        <v>0.71027295077046926</v>
      </c>
      <c r="X198" s="764"/>
      <c r="Y198" s="765"/>
      <c r="Z198" s="853">
        <v>0.7094285391252424</v>
      </c>
      <c r="AA198" s="764"/>
      <c r="AB198" s="765"/>
      <c r="AC198" s="853">
        <v>0.71096048416382307</v>
      </c>
      <c r="AD198" s="764"/>
      <c r="AE198" s="765"/>
      <c r="AF198" s="853">
        <v>0.71169544742282598</v>
      </c>
      <c r="AG198" s="764"/>
      <c r="AH198" s="765"/>
      <c r="AI198" s="853">
        <v>0.70916233365606618</v>
      </c>
      <c r="AJ198" s="764"/>
      <c r="AK198" s="765"/>
      <c r="AL198" s="853">
        <v>0.70668941294320431</v>
      </c>
      <c r="AM198" s="764"/>
      <c r="AN198" s="765"/>
      <c r="AO198" s="853">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200107.22499999998</v>
      </c>
      <c r="F201" s="749"/>
      <c r="G201" s="759"/>
      <c r="H201" s="773">
        <v>15728.762179487177</v>
      </c>
      <c r="I201" s="749"/>
      <c r="J201" s="759"/>
      <c r="K201" s="773">
        <v>15728.762179487177</v>
      </c>
      <c r="L201" s="749"/>
      <c r="M201" s="759"/>
      <c r="N201" s="773">
        <v>18569.281891025639</v>
      </c>
      <c r="O201" s="749"/>
      <c r="P201" s="759"/>
      <c r="Q201" s="773">
        <v>15728.762179487177</v>
      </c>
      <c r="R201" s="749"/>
      <c r="S201" s="759"/>
      <c r="T201" s="773">
        <v>18569.281891025639</v>
      </c>
      <c r="U201" s="749"/>
      <c r="V201" s="759"/>
      <c r="W201" s="773">
        <v>15728.762179487177</v>
      </c>
      <c r="X201" s="749"/>
      <c r="Y201" s="759"/>
      <c r="Z201" s="773">
        <v>15728.762179487177</v>
      </c>
      <c r="AA201" s="749"/>
      <c r="AB201" s="759"/>
      <c r="AC201" s="773">
        <v>18569.281891025639</v>
      </c>
      <c r="AD201" s="749"/>
      <c r="AE201" s="759"/>
      <c r="AF201" s="773">
        <v>15728.762179487177</v>
      </c>
      <c r="AG201" s="749"/>
      <c r="AH201" s="759"/>
      <c r="AI201" s="773">
        <v>15728.762179487177</v>
      </c>
      <c r="AJ201" s="749"/>
      <c r="AK201" s="759"/>
      <c r="AL201" s="773">
        <v>18569.281891025639</v>
      </c>
      <c r="AM201" s="749"/>
      <c r="AN201" s="759"/>
      <c r="AO201" s="773">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110532.42199999999</v>
      </c>
      <c r="F202" s="749"/>
      <c r="G202" s="759"/>
      <c r="H202" s="773">
        <v>8540.9555384615378</v>
      </c>
      <c r="I202" s="749"/>
      <c r="J202" s="759"/>
      <c r="K202" s="773">
        <v>8540.9555384615378</v>
      </c>
      <c r="L202" s="749"/>
      <c r="M202" s="759"/>
      <c r="N202" s="773">
        <v>10551.194423076922</v>
      </c>
      <c r="O202" s="749"/>
      <c r="P202" s="759"/>
      <c r="Q202" s="773">
        <v>8540.9555384615378</v>
      </c>
      <c r="R202" s="749"/>
      <c r="S202" s="759"/>
      <c r="T202" s="773">
        <v>10551.194423076922</v>
      </c>
      <c r="U202" s="749"/>
      <c r="V202" s="759"/>
      <c r="W202" s="773">
        <v>8540.9555384615378</v>
      </c>
      <c r="X202" s="749"/>
      <c r="Y202" s="759"/>
      <c r="Z202" s="773">
        <v>8540.9555384615378</v>
      </c>
      <c r="AA202" s="749"/>
      <c r="AB202" s="759"/>
      <c r="AC202" s="773">
        <v>10551.194423076922</v>
      </c>
      <c r="AD202" s="749"/>
      <c r="AE202" s="759"/>
      <c r="AF202" s="773">
        <v>8540.9555384615378</v>
      </c>
      <c r="AG202" s="749"/>
      <c r="AH202" s="759"/>
      <c r="AI202" s="773">
        <v>8540.9555384615378</v>
      </c>
      <c r="AJ202" s="749"/>
      <c r="AK202" s="759"/>
      <c r="AL202" s="773">
        <v>10551.194423076922</v>
      </c>
      <c r="AM202" s="749"/>
      <c r="AN202" s="759"/>
      <c r="AO202" s="773">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225525.50000000003</v>
      </c>
      <c r="F203" s="782"/>
      <c r="G203" s="783"/>
      <c r="H203" s="785">
        <v>17386.576923076926</v>
      </c>
      <c r="I203" s="782"/>
      <c r="J203" s="783"/>
      <c r="K203" s="785">
        <v>17386.576923076926</v>
      </c>
      <c r="L203" s="782"/>
      <c r="M203" s="783"/>
      <c r="N203" s="785">
        <v>21608.221153846152</v>
      </c>
      <c r="O203" s="782"/>
      <c r="P203" s="783"/>
      <c r="Q203" s="785">
        <v>17386.576923076926</v>
      </c>
      <c r="R203" s="782"/>
      <c r="S203" s="783"/>
      <c r="T203" s="785">
        <v>21608.221153846152</v>
      </c>
      <c r="U203" s="782"/>
      <c r="V203" s="783"/>
      <c r="W203" s="785">
        <v>17386.576923076926</v>
      </c>
      <c r="X203" s="782"/>
      <c r="Y203" s="783"/>
      <c r="Z203" s="785">
        <v>17386.576923076926</v>
      </c>
      <c r="AA203" s="782"/>
      <c r="AB203" s="783"/>
      <c r="AC203" s="785">
        <v>21608.221153846152</v>
      </c>
      <c r="AD203" s="782"/>
      <c r="AE203" s="783"/>
      <c r="AF203" s="785">
        <v>17386.576923076926</v>
      </c>
      <c r="AG203" s="782"/>
      <c r="AH203" s="783"/>
      <c r="AI203" s="785">
        <v>17386.576923076926</v>
      </c>
      <c r="AJ203" s="782"/>
      <c r="AK203" s="783"/>
      <c r="AL203" s="785">
        <v>21608.221153846152</v>
      </c>
      <c r="AM203" s="782"/>
      <c r="AN203" s="783"/>
      <c r="AO203" s="785">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365799.26791981579</v>
      </c>
      <c r="F204" s="749"/>
      <c r="G204" s="759"/>
      <c r="H204" s="773">
        <v>22290.336382194619</v>
      </c>
      <c r="I204" s="749"/>
      <c r="J204" s="759"/>
      <c r="K204" s="773">
        <v>22366.944585270074</v>
      </c>
      <c r="L204" s="749"/>
      <c r="M204" s="759"/>
      <c r="N204" s="773">
        <v>29459.471030658788</v>
      </c>
      <c r="O204" s="749"/>
      <c r="P204" s="759"/>
      <c r="Q204" s="773">
        <v>37251.8431136</v>
      </c>
      <c r="R204" s="749"/>
      <c r="S204" s="759"/>
      <c r="T204" s="773">
        <v>42491.9338336</v>
      </c>
      <c r="U204" s="749"/>
      <c r="V204" s="759"/>
      <c r="W204" s="773">
        <v>26712.389950435332</v>
      </c>
      <c r="X204" s="749"/>
      <c r="Y204" s="759"/>
      <c r="Z204" s="773">
        <v>27492.507699199999</v>
      </c>
      <c r="AA204" s="749"/>
      <c r="AB204" s="759"/>
      <c r="AC204" s="773">
        <v>28714.218215727149</v>
      </c>
      <c r="AD204" s="749"/>
      <c r="AE204" s="759"/>
      <c r="AF204" s="773">
        <v>23405.232981063091</v>
      </c>
      <c r="AG204" s="749"/>
      <c r="AH204" s="759"/>
      <c r="AI204" s="773">
        <v>35443.838744000001</v>
      </c>
      <c r="AJ204" s="749"/>
      <c r="AK204" s="759"/>
      <c r="AL204" s="773">
        <v>44455.465460799998</v>
      </c>
      <c r="AM204" s="749"/>
      <c r="AN204" s="759"/>
      <c r="AO204" s="773">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209744.26717906876</v>
      </c>
      <c r="F208" s="749"/>
      <c r="G208" s="759"/>
      <c r="H208" s="773">
        <v>12657.897135159797</v>
      </c>
      <c r="I208" s="749"/>
      <c r="J208" s="759"/>
      <c r="K208" s="773">
        <v>12579.878101224591</v>
      </c>
      <c r="L208" s="749"/>
      <c r="M208" s="759"/>
      <c r="N208" s="773">
        <v>16539.370539953656</v>
      </c>
      <c r="O208" s="749"/>
      <c r="P208" s="759"/>
      <c r="Q208" s="773">
        <v>21337.650925649403</v>
      </c>
      <c r="R208" s="749"/>
      <c r="S208" s="759"/>
      <c r="T208" s="773">
        <v>24257.202352684133</v>
      </c>
      <c r="U208" s="749"/>
      <c r="V208" s="759"/>
      <c r="W208" s="773">
        <v>15831.041725044821</v>
      </c>
      <c r="X208" s="749"/>
      <c r="Y208" s="759"/>
      <c r="Z208" s="773">
        <v>15978.759647668778</v>
      </c>
      <c r="AA208" s="749"/>
      <c r="AB208" s="759"/>
      <c r="AC208" s="773">
        <v>16674.450424347018</v>
      </c>
      <c r="AD208" s="749"/>
      <c r="AE208" s="759"/>
      <c r="AF208" s="773">
        <v>14012.29952289802</v>
      </c>
      <c r="AG208" s="749"/>
      <c r="AH208" s="759"/>
      <c r="AI208" s="773">
        <v>21053.513894315158</v>
      </c>
      <c r="AJ208" s="749"/>
      <c r="AK208" s="759"/>
      <c r="AL208" s="773">
        <v>24642.155259697473</v>
      </c>
      <c r="AM208" s="749"/>
      <c r="AN208" s="759"/>
      <c r="AO208" s="773">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255019.46141596028</v>
      </c>
      <c r="F209" s="782"/>
      <c r="G209" s="783"/>
      <c r="H209" s="785">
        <v>15390.218543189885</v>
      </c>
      <c r="I209" s="782"/>
      <c r="J209" s="783"/>
      <c r="K209" s="785">
        <v>15295.358396202588</v>
      </c>
      <c r="L209" s="782"/>
      <c r="M209" s="783"/>
      <c r="N209" s="785">
        <v>20109.543035362156</v>
      </c>
      <c r="O209" s="782"/>
      <c r="P209" s="783"/>
      <c r="Q209" s="785">
        <v>25943.575574798393</v>
      </c>
      <c r="R209" s="782"/>
      <c r="S209" s="783"/>
      <c r="T209" s="785">
        <v>29493.338543351638</v>
      </c>
      <c r="U209" s="782"/>
      <c r="V209" s="783"/>
      <c r="W209" s="785">
        <v>19248.315048953176</v>
      </c>
      <c r="X209" s="782"/>
      <c r="Y209" s="783"/>
      <c r="Z209" s="785">
        <v>19427.919219191994</v>
      </c>
      <c r="AA209" s="782"/>
      <c r="AB209" s="783"/>
      <c r="AC209" s="785">
        <v>20273.781132686243</v>
      </c>
      <c r="AD209" s="782"/>
      <c r="AE209" s="783"/>
      <c r="AF209" s="785">
        <v>17036.980917708606</v>
      </c>
      <c r="AG209" s="782"/>
      <c r="AH209" s="783"/>
      <c r="AI209" s="785">
        <v>25598.104999255436</v>
      </c>
      <c r="AJ209" s="782"/>
      <c r="AK209" s="783"/>
      <c r="AL209" s="785">
        <v>29961.387011790761</v>
      </c>
      <c r="AM209" s="782"/>
      <c r="AN209" s="783"/>
      <c r="AO209" s="785">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131390.46164257085</v>
      </c>
      <c r="F210" s="749"/>
      <c r="G210" s="759"/>
      <c r="H210" s="773">
        <v>7929.3082494260925</v>
      </c>
      <c r="I210" s="749"/>
      <c r="J210" s="759"/>
      <c r="K210" s="773">
        <v>7880.4346519565488</v>
      </c>
      <c r="L210" s="749"/>
      <c r="M210" s="759"/>
      <c r="N210" s="773">
        <v>10360.786303001805</v>
      </c>
      <c r="O210" s="749"/>
      <c r="P210" s="759"/>
      <c r="Q210" s="773">
        <v>13366.581328754823</v>
      </c>
      <c r="R210" s="749"/>
      <c r="S210" s="759"/>
      <c r="T210" s="773">
        <v>15195.480945161602</v>
      </c>
      <c r="U210" s="749"/>
      <c r="V210" s="759"/>
      <c r="W210" s="773">
        <v>9917.0666665258741</v>
      </c>
      <c r="X210" s="749"/>
      <c r="Y210" s="759"/>
      <c r="Z210" s="773">
        <v>10009.601858583701</v>
      </c>
      <c r="AA210" s="749"/>
      <c r="AB210" s="759"/>
      <c r="AC210" s="773">
        <v>10445.404627057909</v>
      </c>
      <c r="AD210" s="749"/>
      <c r="AE210" s="759"/>
      <c r="AF210" s="773">
        <v>8777.7488641237815</v>
      </c>
      <c r="AG210" s="749"/>
      <c r="AH210" s="759"/>
      <c r="AI210" s="773">
        <v>13188.588880051169</v>
      </c>
      <c r="AJ210" s="749"/>
      <c r="AK210" s="759"/>
      <c r="AL210" s="773">
        <v>15436.627656074805</v>
      </c>
      <c r="AM210" s="749"/>
      <c r="AN210" s="759"/>
      <c r="AO210" s="773">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57286.980463005551</v>
      </c>
      <c r="F211" s="749"/>
      <c r="G211" s="759"/>
      <c r="H211" s="773">
        <v>3457.223006078887</v>
      </c>
      <c r="I211" s="749"/>
      <c r="J211" s="759"/>
      <c r="K211" s="773">
        <v>3435.9138426252184</v>
      </c>
      <c r="L211" s="749"/>
      <c r="M211" s="759"/>
      <c r="N211" s="773">
        <v>4517.3611166393239</v>
      </c>
      <c r="O211" s="749"/>
      <c r="P211" s="759"/>
      <c r="Q211" s="773">
        <v>5827.9046581068851</v>
      </c>
      <c r="R211" s="749"/>
      <c r="S211" s="759"/>
      <c r="T211" s="773">
        <v>6625.3151800282658</v>
      </c>
      <c r="U211" s="749"/>
      <c r="V211" s="759"/>
      <c r="W211" s="773">
        <v>4323.8968588228145</v>
      </c>
      <c r="X211" s="749"/>
      <c r="Y211" s="759"/>
      <c r="Z211" s="773">
        <v>4364.2427231518241</v>
      </c>
      <c r="AA211" s="749"/>
      <c r="AB211" s="759"/>
      <c r="AC211" s="773">
        <v>4554.255181980242</v>
      </c>
      <c r="AD211" s="749"/>
      <c r="AE211" s="759"/>
      <c r="AF211" s="773">
        <v>3827.1478873113533</v>
      </c>
      <c r="AG211" s="749"/>
      <c r="AH211" s="759"/>
      <c r="AI211" s="773">
        <v>5750.2989491081044</v>
      </c>
      <c r="AJ211" s="749"/>
      <c r="AK211" s="759"/>
      <c r="AL211" s="773">
        <v>6730.4565026486489</v>
      </c>
      <c r="AM211" s="749"/>
      <c r="AN211" s="759"/>
      <c r="AO211" s="773">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0.59448763794654436</v>
      </c>
      <c r="E213" s="781">
        <v>1555405.5856204212</v>
      </c>
      <c r="F213" s="779" t="s">
        <v>175</v>
      </c>
      <c r="G213" s="780">
        <v>0.78303307052353699</v>
      </c>
      <c r="H213" s="781">
        <v>103381.27795707491</v>
      </c>
      <c r="I213" s="779" t="s">
        <v>175</v>
      </c>
      <c r="J213" s="780">
        <v>0.81379179878634056</v>
      </c>
      <c r="K213" s="781">
        <v>103214.82421830465</v>
      </c>
      <c r="L213" s="779" t="s">
        <v>175</v>
      </c>
      <c r="M213" s="780">
        <v>0.73059492391720182</v>
      </c>
      <c r="N213" s="781">
        <v>131715.22949356446</v>
      </c>
      <c r="O213" s="779" t="s">
        <v>175</v>
      </c>
      <c r="P213" s="780">
        <v>0.48024503889904196</v>
      </c>
      <c r="Q213" s="781">
        <v>145383.85024193514</v>
      </c>
      <c r="R213" s="779" t="s">
        <v>175</v>
      </c>
      <c r="S213" s="780">
        <v>0.50229572105704468</v>
      </c>
      <c r="T213" s="781">
        <v>168791.96832277434</v>
      </c>
      <c r="U213" s="779" t="s">
        <v>175</v>
      </c>
      <c r="V213" s="780">
        <v>0.5972873336704041</v>
      </c>
      <c r="W213" s="781">
        <v>117689.00489080767</v>
      </c>
      <c r="X213" s="779" t="s">
        <v>175</v>
      </c>
      <c r="Y213" s="780">
        <v>0.59881675578991711</v>
      </c>
      <c r="Z213" s="781">
        <v>118929.32578882194</v>
      </c>
      <c r="AA213" s="779" t="s">
        <v>175</v>
      </c>
      <c r="AB213" s="780">
        <v>0.70616154920341467</v>
      </c>
      <c r="AC213" s="781">
        <v>131390.80704974727</v>
      </c>
      <c r="AD213" s="779" t="s">
        <v>175</v>
      </c>
      <c r="AE213" s="780">
        <v>0.66408398020525816</v>
      </c>
      <c r="AF213" s="781">
        <v>108715.70481413048</v>
      </c>
      <c r="AG213" s="779" t="s">
        <v>175</v>
      </c>
      <c r="AH213" s="780">
        <v>0.46918978130476291</v>
      </c>
      <c r="AI213" s="781">
        <v>142690.64010775549</v>
      </c>
      <c r="AJ213" s="779" t="s">
        <v>175</v>
      </c>
      <c r="AK213" s="780">
        <v>0.51475527195666892</v>
      </c>
      <c r="AL213" s="781">
        <v>171954.78935896041</v>
      </c>
      <c r="AM213" s="779" t="s">
        <v>175</v>
      </c>
      <c r="AN213" s="780">
        <v>0.72023942846810873</v>
      </c>
      <c r="AO213" s="781">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124643.90782958329</v>
      </c>
      <c r="F214" s="749"/>
      <c r="G214" s="759"/>
      <c r="H214" s="773">
        <v>10386.992319131941</v>
      </c>
      <c r="I214" s="749"/>
      <c r="J214" s="759"/>
      <c r="K214" s="773">
        <v>10386.992319131941</v>
      </c>
      <c r="L214" s="749"/>
      <c r="M214" s="759"/>
      <c r="N214" s="773">
        <v>10386.992319131941</v>
      </c>
      <c r="O214" s="749"/>
      <c r="P214" s="759"/>
      <c r="Q214" s="773">
        <v>10386.992319131941</v>
      </c>
      <c r="R214" s="749"/>
      <c r="S214" s="759"/>
      <c r="T214" s="773">
        <v>10386.992319131941</v>
      </c>
      <c r="U214" s="749"/>
      <c r="V214" s="759"/>
      <c r="W214" s="773">
        <v>10386.992319131941</v>
      </c>
      <c r="X214" s="749"/>
      <c r="Y214" s="759"/>
      <c r="Z214" s="773">
        <v>10386.992319131941</v>
      </c>
      <c r="AA214" s="749"/>
      <c r="AB214" s="759"/>
      <c r="AC214" s="773">
        <v>10386.992319131941</v>
      </c>
      <c r="AD214" s="749"/>
      <c r="AE214" s="759"/>
      <c r="AF214" s="773">
        <v>10386.992319131941</v>
      </c>
      <c r="AG214" s="749"/>
      <c r="AH214" s="759"/>
      <c r="AI214" s="773">
        <v>10386.992319131941</v>
      </c>
      <c r="AJ214" s="749"/>
      <c r="AK214" s="759"/>
      <c r="AL214" s="773">
        <v>10386.992319131941</v>
      </c>
      <c r="AM214" s="749"/>
      <c r="AN214" s="759"/>
      <c r="AO214" s="773">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46324.71188201334</v>
      </c>
      <c r="F215" s="749"/>
      <c r="G215" s="759"/>
      <c r="H215" s="773">
        <v>3860.3926568344446</v>
      </c>
      <c r="I215" s="749"/>
      <c r="J215" s="759"/>
      <c r="K215" s="773">
        <v>3860.3926568344446</v>
      </c>
      <c r="L215" s="749"/>
      <c r="M215" s="759"/>
      <c r="N215" s="773">
        <v>3860.3926568344446</v>
      </c>
      <c r="O215" s="749"/>
      <c r="P215" s="759"/>
      <c r="Q215" s="773">
        <v>3860.3926568344446</v>
      </c>
      <c r="R215" s="749"/>
      <c r="S215" s="759"/>
      <c r="T215" s="773">
        <v>3860.3926568344446</v>
      </c>
      <c r="U215" s="749"/>
      <c r="V215" s="759"/>
      <c r="W215" s="773">
        <v>3860.3926568344446</v>
      </c>
      <c r="X215" s="749"/>
      <c r="Y215" s="759"/>
      <c r="Z215" s="773">
        <v>3860.3926568344446</v>
      </c>
      <c r="AA215" s="749"/>
      <c r="AB215" s="759"/>
      <c r="AC215" s="773">
        <v>3860.3926568344446</v>
      </c>
      <c r="AD215" s="749"/>
      <c r="AE215" s="759"/>
      <c r="AF215" s="773">
        <v>3860.3926568344446</v>
      </c>
      <c r="AG215" s="749"/>
      <c r="AH215" s="759"/>
      <c r="AI215" s="773">
        <v>3860.3926568344446</v>
      </c>
      <c r="AJ215" s="749"/>
      <c r="AK215" s="759"/>
      <c r="AL215" s="773">
        <v>3860.3926568344446</v>
      </c>
      <c r="AM215" s="749"/>
      <c r="AN215" s="759"/>
      <c r="AO215" s="773">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160000</v>
      </c>
      <c r="F216" s="778"/>
      <c r="G216" s="786"/>
      <c r="H216" s="777">
        <v>13333.333333333334</v>
      </c>
      <c r="I216" s="778"/>
      <c r="J216" s="786"/>
      <c r="K216" s="777">
        <v>13333.333333333334</v>
      </c>
      <c r="L216" s="778"/>
      <c r="M216" s="786"/>
      <c r="N216" s="777">
        <v>13333.333333333334</v>
      </c>
      <c r="O216" s="778"/>
      <c r="P216" s="786"/>
      <c r="Q216" s="777">
        <v>13333.333333333334</v>
      </c>
      <c r="R216" s="778"/>
      <c r="S216" s="786"/>
      <c r="T216" s="777">
        <v>13333.333333333334</v>
      </c>
      <c r="U216" s="778"/>
      <c r="V216" s="786"/>
      <c r="W216" s="777">
        <v>13333.333333333334</v>
      </c>
      <c r="X216" s="778"/>
      <c r="Y216" s="786"/>
      <c r="Z216" s="777">
        <v>13333.333333333334</v>
      </c>
      <c r="AA216" s="778"/>
      <c r="AB216" s="786"/>
      <c r="AC216" s="777">
        <v>13333.333333333334</v>
      </c>
      <c r="AD216" s="778"/>
      <c r="AE216" s="786"/>
      <c r="AF216" s="777">
        <v>13333.333333333334</v>
      </c>
      <c r="AG216" s="778"/>
      <c r="AH216" s="786"/>
      <c r="AI216" s="777">
        <v>13333.333333333334</v>
      </c>
      <c r="AJ216" s="778"/>
      <c r="AK216" s="786"/>
      <c r="AL216" s="777">
        <v>13333.333333333334</v>
      </c>
      <c r="AM216" s="778"/>
      <c r="AN216" s="786"/>
      <c r="AO216" s="777">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52330.582495999988</v>
      </c>
      <c r="F217" s="749"/>
      <c r="G217" s="759"/>
      <c r="H217" s="773">
        <v>4360.8818746666657</v>
      </c>
      <c r="I217" s="749"/>
      <c r="J217" s="759"/>
      <c r="K217" s="773">
        <v>4360.8818746666657</v>
      </c>
      <c r="L217" s="749"/>
      <c r="M217" s="759"/>
      <c r="N217" s="773">
        <v>4360.8818746666657</v>
      </c>
      <c r="O217" s="749"/>
      <c r="P217" s="759"/>
      <c r="Q217" s="773">
        <v>4360.8818746666657</v>
      </c>
      <c r="R217" s="749"/>
      <c r="S217" s="759"/>
      <c r="T217" s="773">
        <v>4360.8818746666657</v>
      </c>
      <c r="U217" s="749"/>
      <c r="V217" s="759"/>
      <c r="W217" s="773">
        <v>4360.8818746666657</v>
      </c>
      <c r="X217" s="749"/>
      <c r="Y217" s="759"/>
      <c r="Z217" s="773">
        <v>4360.8818746666657</v>
      </c>
      <c r="AA217" s="749"/>
      <c r="AB217" s="759"/>
      <c r="AC217" s="773">
        <v>4360.8818746666657</v>
      </c>
      <c r="AD217" s="749"/>
      <c r="AE217" s="759"/>
      <c r="AF217" s="773">
        <v>4360.8818746666657</v>
      </c>
      <c r="AG217" s="749"/>
      <c r="AH217" s="759"/>
      <c r="AI217" s="773">
        <v>4360.8818746666657</v>
      </c>
      <c r="AJ217" s="749"/>
      <c r="AK217" s="759"/>
      <c r="AL217" s="773">
        <v>4360.8818746666657</v>
      </c>
      <c r="AM217" s="749"/>
      <c r="AN217" s="759"/>
      <c r="AO217" s="773">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13192.582256247888</v>
      </c>
      <c r="F218" s="749"/>
      <c r="G218" s="759"/>
      <c r="H218" s="773">
        <v>1099.3818546873238</v>
      </c>
      <c r="I218" s="749"/>
      <c r="J218" s="759"/>
      <c r="K218" s="773">
        <v>1099.3818546873238</v>
      </c>
      <c r="L218" s="749"/>
      <c r="M218" s="759"/>
      <c r="N218" s="773">
        <v>1099.3818546873238</v>
      </c>
      <c r="O218" s="749"/>
      <c r="P218" s="759"/>
      <c r="Q218" s="773">
        <v>1099.3818546873238</v>
      </c>
      <c r="R218" s="749"/>
      <c r="S218" s="759"/>
      <c r="T218" s="773">
        <v>1099.3818546873238</v>
      </c>
      <c r="U218" s="749"/>
      <c r="V218" s="759"/>
      <c r="W218" s="773">
        <v>1099.3818546873238</v>
      </c>
      <c r="X218" s="749"/>
      <c r="Y218" s="759"/>
      <c r="Z218" s="773">
        <v>1099.3818546873238</v>
      </c>
      <c r="AA218" s="749"/>
      <c r="AB218" s="759"/>
      <c r="AC218" s="773">
        <v>1099.3818546873238</v>
      </c>
      <c r="AD218" s="749"/>
      <c r="AE218" s="759"/>
      <c r="AF218" s="773">
        <v>1099.3818546873238</v>
      </c>
      <c r="AG218" s="749"/>
      <c r="AH218" s="759"/>
      <c r="AI218" s="773">
        <v>1099.3818546873238</v>
      </c>
      <c r="AJ218" s="749"/>
      <c r="AK218" s="759"/>
      <c r="AL218" s="773">
        <v>1099.3818546873238</v>
      </c>
      <c r="AM218" s="749"/>
      <c r="AN218" s="759"/>
      <c r="AO218" s="773">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79701.264029866681</v>
      </c>
      <c r="F219" s="778"/>
      <c r="G219" s="786"/>
      <c r="H219" s="777">
        <v>5641.7720024888895</v>
      </c>
      <c r="I219" s="778"/>
      <c r="J219" s="786"/>
      <c r="K219" s="777">
        <v>5641.7720024888895</v>
      </c>
      <c r="L219" s="778"/>
      <c r="M219" s="786"/>
      <c r="N219" s="777">
        <v>5141.7720024888895</v>
      </c>
      <c r="O219" s="778"/>
      <c r="P219" s="786"/>
      <c r="Q219" s="777">
        <v>5141.7720024888895</v>
      </c>
      <c r="R219" s="778"/>
      <c r="S219" s="786"/>
      <c r="T219" s="777">
        <v>10141.772002488889</v>
      </c>
      <c r="U219" s="778"/>
      <c r="V219" s="786"/>
      <c r="W219" s="777">
        <v>5641.7720024888895</v>
      </c>
      <c r="X219" s="778"/>
      <c r="Y219" s="786"/>
      <c r="Z219" s="777">
        <v>5641.7720024888895</v>
      </c>
      <c r="AA219" s="778"/>
      <c r="AB219" s="786"/>
      <c r="AC219" s="777">
        <v>3641.772002488889</v>
      </c>
      <c r="AD219" s="778"/>
      <c r="AE219" s="786"/>
      <c r="AF219" s="777">
        <v>3641.772002488889</v>
      </c>
      <c r="AG219" s="778"/>
      <c r="AH219" s="786"/>
      <c r="AI219" s="777">
        <v>10141.772002488889</v>
      </c>
      <c r="AJ219" s="778"/>
      <c r="AK219" s="786"/>
      <c r="AL219" s="777">
        <v>15141.772002488889</v>
      </c>
      <c r="AM219" s="778"/>
      <c r="AN219" s="786"/>
      <c r="AO219" s="777">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9"/>
      <c r="D221" s="759"/>
      <c r="E221" s="760">
        <v>67000.000000000015</v>
      </c>
      <c r="F221" s="749"/>
      <c r="G221" s="759"/>
      <c r="H221" s="773">
        <v>5583.333333333333</v>
      </c>
      <c r="I221" s="749"/>
      <c r="J221" s="759"/>
      <c r="K221" s="773">
        <v>5583.333333333333</v>
      </c>
      <c r="L221" s="749"/>
      <c r="M221" s="759"/>
      <c r="N221" s="773">
        <v>5583.333333333333</v>
      </c>
      <c r="O221" s="749"/>
      <c r="P221" s="759"/>
      <c r="Q221" s="773">
        <v>5583.333333333333</v>
      </c>
      <c r="R221" s="749"/>
      <c r="S221" s="759"/>
      <c r="T221" s="773">
        <v>5583.333333333333</v>
      </c>
      <c r="U221" s="749"/>
      <c r="V221" s="759"/>
      <c r="W221" s="773">
        <v>5583.333333333333</v>
      </c>
      <c r="X221" s="749"/>
      <c r="Y221" s="759"/>
      <c r="Z221" s="773">
        <v>5583.333333333333</v>
      </c>
      <c r="AA221" s="749"/>
      <c r="AB221" s="759"/>
      <c r="AC221" s="773">
        <v>5583.333333333333</v>
      </c>
      <c r="AD221" s="749"/>
      <c r="AE221" s="759"/>
      <c r="AF221" s="773">
        <v>5583.333333333333</v>
      </c>
      <c r="AG221" s="749"/>
      <c r="AH221" s="759"/>
      <c r="AI221" s="773">
        <v>5583.333333333333</v>
      </c>
      <c r="AJ221" s="749"/>
      <c r="AK221" s="759"/>
      <c r="AL221" s="773">
        <v>5583.333333333333</v>
      </c>
      <c r="AM221" s="749"/>
      <c r="AN221" s="759"/>
      <c r="AO221" s="773">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9"/>
      <c r="D222" s="759"/>
      <c r="E222" s="760">
        <v>14663.299651285315</v>
      </c>
      <c r="F222" s="749"/>
      <c r="G222" s="759"/>
      <c r="H222" s="773">
        <v>1221.9416376071097</v>
      </c>
      <c r="I222" s="749"/>
      <c r="J222" s="759"/>
      <c r="K222" s="773">
        <v>1221.9416376071097</v>
      </c>
      <c r="L222" s="749"/>
      <c r="M222" s="759"/>
      <c r="N222" s="773">
        <v>1221.9416376071097</v>
      </c>
      <c r="O222" s="749"/>
      <c r="P222" s="759"/>
      <c r="Q222" s="773">
        <v>1221.9416376071097</v>
      </c>
      <c r="R222" s="749"/>
      <c r="S222" s="759"/>
      <c r="T222" s="773">
        <v>1221.9416376071097</v>
      </c>
      <c r="U222" s="749"/>
      <c r="V222" s="759"/>
      <c r="W222" s="773">
        <v>1221.9416376071097</v>
      </c>
      <c r="X222" s="749"/>
      <c r="Y222" s="759"/>
      <c r="Z222" s="773">
        <v>1221.9416376071097</v>
      </c>
      <c r="AA222" s="749"/>
      <c r="AB222" s="759"/>
      <c r="AC222" s="773">
        <v>1221.9416376071097</v>
      </c>
      <c r="AD222" s="749"/>
      <c r="AE222" s="759"/>
      <c r="AF222" s="773">
        <v>1221.9416376071097</v>
      </c>
      <c r="AG222" s="749"/>
      <c r="AH222" s="759"/>
      <c r="AI222" s="773">
        <v>1221.9416376071097</v>
      </c>
      <c r="AJ222" s="749"/>
      <c r="AK222" s="759"/>
      <c r="AL222" s="773">
        <v>1221.9416376071097</v>
      </c>
      <c r="AM222" s="749"/>
      <c r="AN222" s="759"/>
      <c r="AO222" s="773">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9"/>
      <c r="D223" s="759"/>
      <c r="E223" s="760">
        <v>8978.4511677120008</v>
      </c>
      <c r="F223" s="749"/>
      <c r="G223" s="759"/>
      <c r="H223" s="773">
        <v>748.20426397599988</v>
      </c>
      <c r="I223" s="749"/>
      <c r="J223" s="759"/>
      <c r="K223" s="773">
        <v>748.20426397599988</v>
      </c>
      <c r="L223" s="749"/>
      <c r="M223" s="759"/>
      <c r="N223" s="773">
        <v>748.20426397599988</v>
      </c>
      <c r="O223" s="749"/>
      <c r="P223" s="759"/>
      <c r="Q223" s="773">
        <v>748.20426397599988</v>
      </c>
      <c r="R223" s="749"/>
      <c r="S223" s="759"/>
      <c r="T223" s="773">
        <v>748.20426397599988</v>
      </c>
      <c r="U223" s="749"/>
      <c r="V223" s="759"/>
      <c r="W223" s="773">
        <v>748.20426397599988</v>
      </c>
      <c r="X223" s="749"/>
      <c r="Y223" s="759"/>
      <c r="Z223" s="773">
        <v>748.20426397599988</v>
      </c>
      <c r="AA223" s="749"/>
      <c r="AB223" s="759"/>
      <c r="AC223" s="773">
        <v>748.20426397599988</v>
      </c>
      <c r="AD223" s="749"/>
      <c r="AE223" s="759"/>
      <c r="AF223" s="773">
        <v>748.20426397599988</v>
      </c>
      <c r="AG223" s="749"/>
      <c r="AH223" s="759"/>
      <c r="AI223" s="773">
        <v>748.20426397599988</v>
      </c>
      <c r="AJ223" s="749"/>
      <c r="AK223" s="759"/>
      <c r="AL223" s="773">
        <v>748.20426397599988</v>
      </c>
      <c r="AM223" s="749"/>
      <c r="AN223" s="759"/>
      <c r="AO223" s="773">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9"/>
      <c r="D224" s="759"/>
      <c r="E224" s="760">
        <v>2593.0447654759992</v>
      </c>
      <c r="F224" s="749"/>
      <c r="G224" s="759"/>
      <c r="H224" s="773">
        <v>216.08706378966664</v>
      </c>
      <c r="I224" s="749"/>
      <c r="J224" s="759"/>
      <c r="K224" s="773">
        <v>216.08706378966664</v>
      </c>
      <c r="L224" s="749"/>
      <c r="M224" s="759"/>
      <c r="N224" s="773">
        <v>216.08706378966664</v>
      </c>
      <c r="O224" s="749"/>
      <c r="P224" s="759"/>
      <c r="Q224" s="773">
        <v>216.08706378966664</v>
      </c>
      <c r="R224" s="749"/>
      <c r="S224" s="759"/>
      <c r="T224" s="773">
        <v>216.08706378966664</v>
      </c>
      <c r="U224" s="749"/>
      <c r="V224" s="759"/>
      <c r="W224" s="773">
        <v>216.08706378966664</v>
      </c>
      <c r="X224" s="749"/>
      <c r="Y224" s="759"/>
      <c r="Z224" s="773">
        <v>216.08706378966664</v>
      </c>
      <c r="AA224" s="749"/>
      <c r="AB224" s="759"/>
      <c r="AC224" s="773">
        <v>216.08706378966664</v>
      </c>
      <c r="AD224" s="749"/>
      <c r="AE224" s="759"/>
      <c r="AF224" s="773">
        <v>216.08706378966664</v>
      </c>
      <c r="AG224" s="749"/>
      <c r="AH224" s="759"/>
      <c r="AI224" s="773">
        <v>216.08706378966664</v>
      </c>
      <c r="AJ224" s="749"/>
      <c r="AK224" s="759"/>
      <c r="AL224" s="773">
        <v>216.08706378966664</v>
      </c>
      <c r="AM224" s="749"/>
      <c r="AN224" s="759"/>
      <c r="AO224" s="773">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9"/>
      <c r="D225" s="759"/>
      <c r="E225" s="760">
        <v>1245.3413391639999</v>
      </c>
      <c r="F225" s="749"/>
      <c r="G225" s="759"/>
      <c r="H225" s="773">
        <v>103.77844493033332</v>
      </c>
      <c r="I225" s="749"/>
      <c r="J225" s="759"/>
      <c r="K225" s="773">
        <v>103.77844493033332</v>
      </c>
      <c r="L225" s="749"/>
      <c r="M225" s="759"/>
      <c r="N225" s="773">
        <v>103.77844493033332</v>
      </c>
      <c r="O225" s="749"/>
      <c r="P225" s="759"/>
      <c r="Q225" s="773">
        <v>103.77844493033332</v>
      </c>
      <c r="R225" s="749"/>
      <c r="S225" s="759"/>
      <c r="T225" s="773">
        <v>103.77844493033332</v>
      </c>
      <c r="U225" s="749"/>
      <c r="V225" s="759"/>
      <c r="W225" s="773">
        <v>103.77844493033332</v>
      </c>
      <c r="X225" s="749"/>
      <c r="Y225" s="759"/>
      <c r="Z225" s="773">
        <v>103.77844493033332</v>
      </c>
      <c r="AA225" s="749"/>
      <c r="AB225" s="759"/>
      <c r="AC225" s="773">
        <v>103.77844493033332</v>
      </c>
      <c r="AD225" s="749"/>
      <c r="AE225" s="759"/>
      <c r="AF225" s="773">
        <v>103.77844493033332</v>
      </c>
      <c r="AG225" s="749"/>
      <c r="AH225" s="759"/>
      <c r="AI225" s="773">
        <v>103.77844493033332</v>
      </c>
      <c r="AJ225" s="749"/>
      <c r="AK225" s="759"/>
      <c r="AL225" s="773">
        <v>103.77844493033332</v>
      </c>
      <c r="AM225" s="749"/>
      <c r="AN225" s="759"/>
      <c r="AO225" s="773">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9"/>
      <c r="D226" s="759"/>
      <c r="E226" s="760">
        <v>2597.6718309159996</v>
      </c>
      <c r="F226" s="749"/>
      <c r="G226" s="759"/>
      <c r="H226" s="773">
        <v>216.4726525763333</v>
      </c>
      <c r="I226" s="749"/>
      <c r="J226" s="759"/>
      <c r="K226" s="773">
        <v>216.4726525763333</v>
      </c>
      <c r="L226" s="749"/>
      <c r="M226" s="759"/>
      <c r="N226" s="773">
        <v>216.4726525763333</v>
      </c>
      <c r="O226" s="749"/>
      <c r="P226" s="759"/>
      <c r="Q226" s="773">
        <v>216.4726525763333</v>
      </c>
      <c r="R226" s="749"/>
      <c r="S226" s="759"/>
      <c r="T226" s="773">
        <v>216.4726525763333</v>
      </c>
      <c r="U226" s="749"/>
      <c r="V226" s="759"/>
      <c r="W226" s="773">
        <v>216.4726525763333</v>
      </c>
      <c r="X226" s="749"/>
      <c r="Y226" s="759"/>
      <c r="Z226" s="773">
        <v>216.4726525763333</v>
      </c>
      <c r="AA226" s="749"/>
      <c r="AB226" s="759"/>
      <c r="AC226" s="773">
        <v>216.4726525763333</v>
      </c>
      <c r="AD226" s="749"/>
      <c r="AE226" s="759"/>
      <c r="AF226" s="773">
        <v>216.4726525763333</v>
      </c>
      <c r="AG226" s="749"/>
      <c r="AH226" s="759"/>
      <c r="AI226" s="773">
        <v>216.4726525763333</v>
      </c>
      <c r="AJ226" s="749"/>
      <c r="AK226" s="759"/>
      <c r="AL226" s="773">
        <v>216.4726525763333</v>
      </c>
      <c r="AM226" s="749"/>
      <c r="AN226" s="759"/>
      <c r="AO226" s="773">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9"/>
      <c r="D227" s="759"/>
      <c r="E227" s="760">
        <v>47837.454665381847</v>
      </c>
      <c r="F227" s="749"/>
      <c r="G227" s="759"/>
      <c r="H227" s="773">
        <v>3986.4545554484885</v>
      </c>
      <c r="I227" s="749"/>
      <c r="J227" s="759"/>
      <c r="K227" s="773">
        <v>3986.4545554484885</v>
      </c>
      <c r="L227" s="749"/>
      <c r="M227" s="759"/>
      <c r="N227" s="773">
        <v>3986.4545554484885</v>
      </c>
      <c r="O227" s="749"/>
      <c r="P227" s="759"/>
      <c r="Q227" s="773">
        <v>3986.4545554484885</v>
      </c>
      <c r="R227" s="749"/>
      <c r="S227" s="759"/>
      <c r="T227" s="773">
        <v>3986.4545554484885</v>
      </c>
      <c r="U227" s="749"/>
      <c r="V227" s="759"/>
      <c r="W227" s="773">
        <v>3986.4545554484885</v>
      </c>
      <c r="X227" s="749"/>
      <c r="Y227" s="759"/>
      <c r="Z227" s="773">
        <v>3986.4545554484885</v>
      </c>
      <c r="AA227" s="749"/>
      <c r="AB227" s="759"/>
      <c r="AC227" s="773">
        <v>3986.4545554484885</v>
      </c>
      <c r="AD227" s="749"/>
      <c r="AE227" s="759"/>
      <c r="AF227" s="773">
        <v>3986.4545554484885</v>
      </c>
      <c r="AG227" s="749"/>
      <c r="AH227" s="759"/>
      <c r="AI227" s="773">
        <v>3986.4545554484885</v>
      </c>
      <c r="AJ227" s="749"/>
      <c r="AK227" s="759"/>
      <c r="AL227" s="773">
        <v>3986.4545554484885</v>
      </c>
      <c r="AM227" s="749"/>
      <c r="AN227" s="759"/>
      <c r="AO227" s="773">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9"/>
      <c r="D228" s="759"/>
      <c r="E228" s="760">
        <v>23398.36077425268</v>
      </c>
      <c r="F228" s="749"/>
      <c r="G228" s="759"/>
      <c r="H228" s="773">
        <v>1949.8633978543896</v>
      </c>
      <c r="I228" s="749"/>
      <c r="J228" s="759"/>
      <c r="K228" s="773">
        <v>1949.8633978543896</v>
      </c>
      <c r="L228" s="749"/>
      <c r="M228" s="759"/>
      <c r="N228" s="773">
        <v>1949.8633978543896</v>
      </c>
      <c r="O228" s="749"/>
      <c r="P228" s="759"/>
      <c r="Q228" s="773">
        <v>1949.8633978543896</v>
      </c>
      <c r="R228" s="749"/>
      <c r="S228" s="759"/>
      <c r="T228" s="773">
        <v>1949.8633978543896</v>
      </c>
      <c r="U228" s="749"/>
      <c r="V228" s="759"/>
      <c r="W228" s="773">
        <v>1949.8633978543896</v>
      </c>
      <c r="X228" s="749"/>
      <c r="Y228" s="759"/>
      <c r="Z228" s="773">
        <v>1949.8633978543896</v>
      </c>
      <c r="AA228" s="749"/>
      <c r="AB228" s="759"/>
      <c r="AC228" s="773">
        <v>1949.8633978543896</v>
      </c>
      <c r="AD228" s="749"/>
      <c r="AE228" s="759"/>
      <c r="AF228" s="773">
        <v>1949.8633978543896</v>
      </c>
      <c r="AG228" s="749"/>
      <c r="AH228" s="759"/>
      <c r="AI228" s="773">
        <v>1949.8633978543896</v>
      </c>
      <c r="AJ228" s="749"/>
      <c r="AK228" s="759"/>
      <c r="AL228" s="773">
        <v>1949.8633978543896</v>
      </c>
      <c r="AM228" s="749"/>
      <c r="AN228" s="759"/>
      <c r="AO228" s="773">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9" t="s">
        <v>175</v>
      </c>
      <c r="D232" s="780">
        <v>0.246335266524187</v>
      </c>
      <c r="E232" s="781">
        <v>644506.67268789886</v>
      </c>
      <c r="F232" s="779" t="s">
        <v>175</v>
      </c>
      <c r="G232" s="780">
        <v>0.39922899309282633</v>
      </c>
      <c r="H232" s="781">
        <v>52708.889390658253</v>
      </c>
      <c r="I232" s="779" t="s">
        <v>175</v>
      </c>
      <c r="J232" s="780">
        <v>0.41558043850882215</v>
      </c>
      <c r="K232" s="781">
        <v>52708.889390658253</v>
      </c>
      <c r="L232" s="779" t="s">
        <v>175</v>
      </c>
      <c r="M232" s="780">
        <v>0.28959103452826801</v>
      </c>
      <c r="N232" s="781">
        <v>52208.889390658253</v>
      </c>
      <c r="O232" s="779" t="s">
        <v>175</v>
      </c>
      <c r="P232" s="780">
        <v>0.17246110950128263</v>
      </c>
      <c r="Q232" s="781">
        <v>52208.889390658253</v>
      </c>
      <c r="R232" s="779" t="s">
        <v>175</v>
      </c>
      <c r="S232" s="780">
        <v>0.17024376593798041</v>
      </c>
      <c r="T232" s="781">
        <v>57208.889390658253</v>
      </c>
      <c r="U232" s="779" t="s">
        <v>175</v>
      </c>
      <c r="V232" s="780">
        <v>0.26750461552533278</v>
      </c>
      <c r="W232" s="781">
        <v>52708.889390658253</v>
      </c>
      <c r="X232" s="779" t="s">
        <v>175</v>
      </c>
      <c r="Y232" s="780">
        <v>0.26539262656082535</v>
      </c>
      <c r="Z232" s="781">
        <v>52708.889390658253</v>
      </c>
      <c r="AA232" s="779" t="s">
        <v>175</v>
      </c>
      <c r="AB232" s="780">
        <v>0.27253556542151336</v>
      </c>
      <c r="AC232" s="781">
        <v>50708.889390658253</v>
      </c>
      <c r="AD232" s="779" t="s">
        <v>175</v>
      </c>
      <c r="AE232" s="780">
        <v>0.30975249763509388</v>
      </c>
      <c r="AF232" s="781">
        <v>50708.889390658253</v>
      </c>
      <c r="AG232" s="779" t="s">
        <v>175</v>
      </c>
      <c r="AH232" s="780">
        <v>0.18811203230724324</v>
      </c>
      <c r="AI232" s="781">
        <v>57208.889390658253</v>
      </c>
      <c r="AJ232" s="779" t="s">
        <v>175</v>
      </c>
      <c r="AK232" s="780">
        <v>0.18622542527479752</v>
      </c>
      <c r="AL232" s="781">
        <v>62208.889390658253</v>
      </c>
      <c r="AM232" s="779" t="s">
        <v>175</v>
      </c>
      <c r="AN232" s="780">
        <v>0.33064337511960989</v>
      </c>
      <c r="AO232" s="781">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9" t="s">
        <v>119</v>
      </c>
      <c r="D234" s="817">
        <v>0.84082290447073149</v>
      </c>
      <c r="E234" s="791">
        <v>2199912.2583083203</v>
      </c>
      <c r="F234" s="779" t="s">
        <v>119</v>
      </c>
      <c r="G234" s="817">
        <v>1.1822620636163634</v>
      </c>
      <c r="H234" s="791">
        <v>156090.16734773316</v>
      </c>
      <c r="I234" s="779" t="s">
        <v>119</v>
      </c>
      <c r="J234" s="817">
        <v>1.2293722372951625</v>
      </c>
      <c r="K234" s="791">
        <v>155923.71360896289</v>
      </c>
      <c r="L234" s="779" t="s">
        <v>119</v>
      </c>
      <c r="M234" s="817">
        <v>1.0201859584454698</v>
      </c>
      <c r="N234" s="791">
        <v>183924.1188842227</v>
      </c>
      <c r="O234" s="779" t="s">
        <v>119</v>
      </c>
      <c r="P234" s="817">
        <v>0.65270614840032459</v>
      </c>
      <c r="Q234" s="791">
        <v>197592.73963259341</v>
      </c>
      <c r="R234" s="779" t="s">
        <v>119</v>
      </c>
      <c r="S234" s="817">
        <v>0.67253948699502497</v>
      </c>
      <c r="T234" s="791">
        <v>226000.85771343258</v>
      </c>
      <c r="U234" s="779" t="s">
        <v>119</v>
      </c>
      <c r="V234" s="817">
        <v>0.86479194919573676</v>
      </c>
      <c r="W234" s="791">
        <v>170397.89428146591</v>
      </c>
      <c r="X234" s="779" t="s">
        <v>119</v>
      </c>
      <c r="Y234" s="817">
        <v>0.86420938235074252</v>
      </c>
      <c r="Z234" s="791">
        <v>171638.2151794802</v>
      </c>
      <c r="AA234" s="779" t="s">
        <v>119</v>
      </c>
      <c r="AB234" s="817">
        <v>0.97869711462492803</v>
      </c>
      <c r="AC234" s="791">
        <v>182099.6964404055</v>
      </c>
      <c r="AD234" s="779" t="s">
        <v>119</v>
      </c>
      <c r="AE234" s="817">
        <v>0.9738364778403521</v>
      </c>
      <c r="AF234" s="791">
        <v>159424.59420478874</v>
      </c>
      <c r="AG234" s="779" t="s">
        <v>119</v>
      </c>
      <c r="AH234" s="817">
        <v>0.65730181361200612</v>
      </c>
      <c r="AI234" s="791">
        <v>199899.52949841373</v>
      </c>
      <c r="AJ234" s="779" t="s">
        <v>119</v>
      </c>
      <c r="AK234" s="817">
        <v>0.70098069723146639</v>
      </c>
      <c r="AL234" s="791">
        <v>234163.67874961864</v>
      </c>
      <c r="AM234" s="779" t="s">
        <v>119</v>
      </c>
      <c r="AN234" s="817">
        <v>1.0508828035877187</v>
      </c>
      <c r="AO234" s="791">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8"/>
      <c r="D236" s="819"/>
      <c r="E236" s="800">
        <v>416467.77440866176</v>
      </c>
      <c r="F236" s="818"/>
      <c r="G236" s="819"/>
      <c r="H236" s="800">
        <v>-24063.460113064211</v>
      </c>
      <c r="I236" s="818"/>
      <c r="J236" s="819"/>
      <c r="K236" s="800">
        <v>-29091.734751181968</v>
      </c>
      <c r="L236" s="818"/>
      <c r="M236" s="819"/>
      <c r="N236" s="800">
        <v>-3639.2234084203956</v>
      </c>
      <c r="O236" s="818"/>
      <c r="P236" s="819"/>
      <c r="Q236" s="800">
        <v>105135.73951052589</v>
      </c>
      <c r="R236" s="818"/>
      <c r="S236" s="819"/>
      <c r="T236" s="800">
        <v>110040.1660236679</v>
      </c>
      <c r="U236" s="818"/>
      <c r="V236" s="819"/>
      <c r="W236" s="800">
        <v>26641.283106733958</v>
      </c>
      <c r="X236" s="818"/>
      <c r="Y236" s="819"/>
      <c r="Z236" s="800">
        <v>26968.995856120659</v>
      </c>
      <c r="AA236" s="818"/>
      <c r="AB236" s="819"/>
      <c r="AC236" s="800">
        <v>3963.6869284038257</v>
      </c>
      <c r="AD236" s="818"/>
      <c r="AE236" s="819"/>
      <c r="AF236" s="800">
        <v>4283.1717625940801</v>
      </c>
      <c r="AG236" s="818"/>
      <c r="AH236" s="819"/>
      <c r="AI236" s="800">
        <v>104221.84269121324</v>
      </c>
      <c r="AJ236" s="818"/>
      <c r="AK236" s="819"/>
      <c r="AL236" s="800">
        <v>99887.857440252963</v>
      </c>
      <c r="AM236" s="818"/>
      <c r="AN236" s="819"/>
      <c r="AO236" s="800">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3865</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71">
        <v>2024</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21">
        <v>0</v>
      </c>
      <c r="D244" s="772">
        <v>1187551</v>
      </c>
      <c r="E244" s="760">
        <v>178132.64999999997</v>
      </c>
      <c r="F244" s="822">
        <v>0</v>
      </c>
      <c r="G244" s="823">
        <v>114273.79910049828</v>
      </c>
      <c r="H244" s="773">
        <v>17141.06986507474</v>
      </c>
      <c r="I244" s="822">
        <v>0</v>
      </c>
      <c r="J244" s="823">
        <v>87661.944450869094</v>
      </c>
      <c r="K244" s="773">
        <v>13149.291667630363</v>
      </c>
      <c r="L244" s="822">
        <v>0</v>
      </c>
      <c r="M244" s="823">
        <v>127718.26555916485</v>
      </c>
      <c r="N244" s="773">
        <v>19157.739833874726</v>
      </c>
      <c r="O244" s="822">
        <v>0</v>
      </c>
      <c r="P244" s="823">
        <v>111937.99023890575</v>
      </c>
      <c r="Q244" s="773">
        <v>16790.698535835862</v>
      </c>
      <c r="R244" s="822">
        <v>0</v>
      </c>
      <c r="S244" s="823">
        <v>93531.939296992714</v>
      </c>
      <c r="T244" s="773">
        <v>14029.790894548907</v>
      </c>
      <c r="U244" s="822">
        <v>0</v>
      </c>
      <c r="V244" s="823">
        <v>109434.21769626775</v>
      </c>
      <c r="W244" s="773">
        <v>16415.13265444016</v>
      </c>
      <c r="X244" s="822">
        <v>0</v>
      </c>
      <c r="Y244" s="823">
        <v>102279.60711969429</v>
      </c>
      <c r="Z244" s="773">
        <v>15341.941067954143</v>
      </c>
      <c r="AA244" s="822">
        <v>0</v>
      </c>
      <c r="AB244" s="823">
        <v>99362.912856790354</v>
      </c>
      <c r="AC244" s="773">
        <v>14904.436928518553</v>
      </c>
      <c r="AD244" s="822">
        <v>0</v>
      </c>
      <c r="AE244" s="823">
        <v>65414.584168287191</v>
      </c>
      <c r="AF244" s="773">
        <v>9812.1876252430775</v>
      </c>
      <c r="AG244" s="822">
        <v>0</v>
      </c>
      <c r="AH244" s="823">
        <v>105347.5803785967</v>
      </c>
      <c r="AI244" s="773">
        <v>15802.137056789505</v>
      </c>
      <c r="AJ244" s="822">
        <v>0</v>
      </c>
      <c r="AK244" s="823">
        <v>108565.13624085431</v>
      </c>
      <c r="AL244" s="773">
        <v>16284.770436128145</v>
      </c>
      <c r="AM244" s="822">
        <v>0</v>
      </c>
      <c r="AN244" s="823">
        <v>62023.022893078683</v>
      </c>
      <c r="AO244" s="773">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21"/>
      <c r="D245" s="759"/>
      <c r="E245" s="824">
        <v>0.14999999999999997</v>
      </c>
      <c r="F245" s="821"/>
      <c r="G245" s="759"/>
      <c r="H245" s="824">
        <v>0.15</v>
      </c>
      <c r="I245" s="821"/>
      <c r="J245" s="759"/>
      <c r="K245" s="824">
        <v>0.15</v>
      </c>
      <c r="L245" s="821"/>
      <c r="M245" s="759"/>
      <c r="N245" s="824">
        <v>0.15</v>
      </c>
      <c r="O245" s="821"/>
      <c r="P245" s="759"/>
      <c r="Q245" s="824">
        <v>0.15</v>
      </c>
      <c r="R245" s="821"/>
      <c r="S245" s="759"/>
      <c r="T245" s="824">
        <v>0.15</v>
      </c>
      <c r="U245" s="821"/>
      <c r="V245" s="759"/>
      <c r="W245" s="824">
        <v>0.14999999999999997</v>
      </c>
      <c r="X245" s="821"/>
      <c r="Y245" s="759"/>
      <c r="Z245" s="824">
        <v>0.15</v>
      </c>
      <c r="AA245" s="821"/>
      <c r="AB245" s="759"/>
      <c r="AC245" s="824">
        <v>0.15</v>
      </c>
      <c r="AD245" s="821"/>
      <c r="AE245" s="759"/>
      <c r="AF245" s="824">
        <v>0.15</v>
      </c>
      <c r="AG245" s="821"/>
      <c r="AH245" s="759"/>
      <c r="AI245" s="824">
        <v>0.15</v>
      </c>
      <c r="AJ245" s="821"/>
      <c r="AK245" s="759"/>
      <c r="AL245" s="824">
        <v>0.15</v>
      </c>
      <c r="AM245" s="821"/>
      <c r="AN245" s="759"/>
      <c r="AO245" s="824">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8">
        <v>0</v>
      </c>
      <c r="D247" s="829">
        <v>0</v>
      </c>
      <c r="E247" s="784">
        <v>0</v>
      </c>
      <c r="F247" s="830"/>
      <c r="G247" s="831"/>
      <c r="H247" s="785"/>
      <c r="I247" s="830"/>
      <c r="J247" s="831"/>
      <c r="K247" s="785"/>
      <c r="L247" s="830"/>
      <c r="M247" s="831"/>
      <c r="N247" s="785"/>
      <c r="O247" s="830"/>
      <c r="P247" s="831"/>
      <c r="Q247" s="785"/>
      <c r="R247" s="830"/>
      <c r="S247" s="831"/>
      <c r="T247" s="785"/>
      <c r="U247" s="830"/>
      <c r="V247" s="831"/>
      <c r="W247" s="785"/>
      <c r="X247" s="830"/>
      <c r="Y247" s="831"/>
      <c r="Z247" s="785"/>
      <c r="AA247" s="830"/>
      <c r="AB247" s="831"/>
      <c r="AC247" s="785"/>
      <c r="AD247" s="830"/>
      <c r="AE247" s="831"/>
      <c r="AF247" s="785"/>
      <c r="AG247" s="830"/>
      <c r="AH247" s="831"/>
      <c r="AI247" s="785"/>
      <c r="AJ247" s="830"/>
      <c r="AK247" s="831"/>
      <c r="AL247" s="785"/>
      <c r="AM247" s="830"/>
      <c r="AN247" s="831"/>
      <c r="AO247" s="785"/>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8">
        <v>0</v>
      </c>
      <c r="D250" s="829">
        <v>0</v>
      </c>
      <c r="E250" s="784">
        <v>0</v>
      </c>
      <c r="F250" s="830"/>
      <c r="G250" s="831"/>
      <c r="H250" s="785"/>
      <c r="I250" s="830"/>
      <c r="J250" s="831"/>
      <c r="K250" s="785"/>
      <c r="L250" s="830"/>
      <c r="M250" s="831"/>
      <c r="N250" s="785"/>
      <c r="O250" s="830"/>
      <c r="P250" s="831"/>
      <c r="Q250" s="785"/>
      <c r="R250" s="830"/>
      <c r="S250" s="831"/>
      <c r="T250" s="785"/>
      <c r="U250" s="830"/>
      <c r="V250" s="831"/>
      <c r="W250" s="785"/>
      <c r="X250" s="830"/>
      <c r="Y250" s="831"/>
      <c r="Z250" s="785"/>
      <c r="AA250" s="830"/>
      <c r="AB250" s="831"/>
      <c r="AC250" s="785"/>
      <c r="AD250" s="830"/>
      <c r="AE250" s="831"/>
      <c r="AF250" s="785"/>
      <c r="AG250" s="830"/>
      <c r="AH250" s="831"/>
      <c r="AI250" s="785"/>
      <c r="AJ250" s="830"/>
      <c r="AK250" s="831"/>
      <c r="AL250" s="785"/>
      <c r="AM250" s="830"/>
      <c r="AN250" s="831"/>
      <c r="AO250" s="785"/>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61"/>
      <c r="D253" s="852">
        <v>1187551</v>
      </c>
      <c r="E253" s="763">
        <v>178132.64999999997</v>
      </c>
      <c r="F253" s="761"/>
      <c r="G253" s="852">
        <v>114273.79910049828</v>
      </c>
      <c r="H253" s="763">
        <v>17141.06986507474</v>
      </c>
      <c r="I253" s="761"/>
      <c r="J253" s="852">
        <v>87661.944450869094</v>
      </c>
      <c r="K253" s="763">
        <v>13149.291667630363</v>
      </c>
      <c r="L253" s="761"/>
      <c r="M253" s="852">
        <v>127718.26555916485</v>
      </c>
      <c r="N253" s="763">
        <v>19157.739833874726</v>
      </c>
      <c r="O253" s="761"/>
      <c r="P253" s="852">
        <v>111937.99023890575</v>
      </c>
      <c r="Q253" s="763">
        <v>16790.698535835862</v>
      </c>
      <c r="R253" s="761"/>
      <c r="S253" s="852">
        <v>93531.939296992714</v>
      </c>
      <c r="T253" s="763">
        <v>14029.790894548907</v>
      </c>
      <c r="U253" s="761"/>
      <c r="V253" s="852">
        <v>109434.21769626775</v>
      </c>
      <c r="W253" s="763">
        <v>16415.13265444016</v>
      </c>
      <c r="X253" s="761"/>
      <c r="Y253" s="852">
        <v>102279.60711969429</v>
      </c>
      <c r="Z253" s="763">
        <v>15341.941067954143</v>
      </c>
      <c r="AA253" s="761"/>
      <c r="AB253" s="852">
        <v>99362.912856790354</v>
      </c>
      <c r="AC253" s="763">
        <v>14904.436928518553</v>
      </c>
      <c r="AD253" s="761"/>
      <c r="AE253" s="852">
        <v>65414.584168287191</v>
      </c>
      <c r="AF253" s="763">
        <v>9812.1876252430775</v>
      </c>
      <c r="AG253" s="761"/>
      <c r="AH253" s="852">
        <v>105347.5803785967</v>
      </c>
      <c r="AI253" s="763">
        <v>15802.137056789505</v>
      </c>
      <c r="AJ253" s="761"/>
      <c r="AK253" s="852">
        <v>108565.13624085431</v>
      </c>
      <c r="AL253" s="763">
        <v>16284.770436128145</v>
      </c>
      <c r="AM253" s="761"/>
      <c r="AN253" s="852">
        <v>62023.022893078683</v>
      </c>
      <c r="AO253" s="763">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4"/>
      <c r="D254" s="765"/>
      <c r="E254" s="853">
        <v>0.14999999999999997</v>
      </c>
      <c r="F254" s="764"/>
      <c r="G254" s="765"/>
      <c r="H254" s="853">
        <v>0.15</v>
      </c>
      <c r="I254" s="764"/>
      <c r="J254" s="765"/>
      <c r="K254" s="853">
        <v>0.15</v>
      </c>
      <c r="L254" s="764"/>
      <c r="M254" s="765"/>
      <c r="N254" s="853">
        <v>0.15</v>
      </c>
      <c r="O254" s="764"/>
      <c r="P254" s="765"/>
      <c r="Q254" s="853">
        <v>0.15</v>
      </c>
      <c r="R254" s="764"/>
      <c r="S254" s="765"/>
      <c r="T254" s="853">
        <v>0.15</v>
      </c>
      <c r="U254" s="764"/>
      <c r="V254" s="765"/>
      <c r="W254" s="853">
        <v>0.14999999999999997</v>
      </c>
      <c r="X254" s="764"/>
      <c r="Y254" s="765"/>
      <c r="Z254" s="853">
        <v>0.15</v>
      </c>
      <c r="AA254" s="764"/>
      <c r="AB254" s="765"/>
      <c r="AC254" s="853">
        <v>0.15</v>
      </c>
      <c r="AD254" s="764"/>
      <c r="AE254" s="765"/>
      <c r="AF254" s="853">
        <v>0.15</v>
      </c>
      <c r="AG254" s="764"/>
      <c r="AH254" s="765"/>
      <c r="AI254" s="853">
        <v>0.15</v>
      </c>
      <c r="AJ254" s="764"/>
      <c r="AK254" s="765"/>
      <c r="AL254" s="853">
        <v>0.15</v>
      </c>
      <c r="AM254" s="764"/>
      <c r="AN254" s="765"/>
      <c r="AO254" s="853">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9"/>
      <c r="D257" s="759"/>
      <c r="E257" s="760">
        <v>3865.2249999999995</v>
      </c>
      <c r="F257" s="749"/>
      <c r="G257" s="759"/>
      <c r="H257" s="773">
        <v>297.32500000000005</v>
      </c>
      <c r="I257" s="749"/>
      <c r="J257" s="759"/>
      <c r="K257" s="773">
        <v>297.32500000000005</v>
      </c>
      <c r="L257" s="749"/>
      <c r="M257" s="759"/>
      <c r="N257" s="773">
        <v>371.65625000000006</v>
      </c>
      <c r="O257" s="749"/>
      <c r="P257" s="759"/>
      <c r="Q257" s="773">
        <v>297.32500000000005</v>
      </c>
      <c r="R257" s="749"/>
      <c r="S257" s="759"/>
      <c r="T257" s="773">
        <v>371.65625000000006</v>
      </c>
      <c r="U257" s="749"/>
      <c r="V257" s="759"/>
      <c r="W257" s="773">
        <v>297.32500000000005</v>
      </c>
      <c r="X257" s="749"/>
      <c r="Y257" s="759"/>
      <c r="Z257" s="773">
        <v>297.32500000000005</v>
      </c>
      <c r="AA257" s="749"/>
      <c r="AB257" s="759"/>
      <c r="AC257" s="773">
        <v>371.65625000000006</v>
      </c>
      <c r="AD257" s="749"/>
      <c r="AE257" s="759"/>
      <c r="AF257" s="773">
        <v>297.32500000000005</v>
      </c>
      <c r="AG257" s="749"/>
      <c r="AH257" s="759"/>
      <c r="AI257" s="773">
        <v>297.32500000000005</v>
      </c>
      <c r="AJ257" s="749"/>
      <c r="AK257" s="759"/>
      <c r="AL257" s="773">
        <v>371.65625000000006</v>
      </c>
      <c r="AM257" s="749"/>
      <c r="AN257" s="759"/>
      <c r="AO257" s="773">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9"/>
      <c r="D258" s="759"/>
      <c r="E258" s="760">
        <v>60628.758000000016</v>
      </c>
      <c r="F258" s="749"/>
      <c r="G258" s="759"/>
      <c r="H258" s="773">
        <v>4703.7506153846152</v>
      </c>
      <c r="I258" s="749"/>
      <c r="J258" s="759"/>
      <c r="K258" s="773">
        <v>4703.7506153846152</v>
      </c>
      <c r="L258" s="749"/>
      <c r="M258" s="759"/>
      <c r="N258" s="773">
        <v>5749.688269230769</v>
      </c>
      <c r="O258" s="749"/>
      <c r="P258" s="759"/>
      <c r="Q258" s="773">
        <v>4703.7506153846152</v>
      </c>
      <c r="R258" s="749"/>
      <c r="S258" s="759"/>
      <c r="T258" s="773">
        <v>5749.688269230769</v>
      </c>
      <c r="U258" s="749"/>
      <c r="V258" s="759"/>
      <c r="W258" s="773">
        <v>4703.7506153846152</v>
      </c>
      <c r="X258" s="749"/>
      <c r="Y258" s="759"/>
      <c r="Z258" s="773">
        <v>4703.7506153846152</v>
      </c>
      <c r="AA258" s="749"/>
      <c r="AB258" s="759"/>
      <c r="AC258" s="773">
        <v>5749.688269230769</v>
      </c>
      <c r="AD258" s="749"/>
      <c r="AE258" s="759"/>
      <c r="AF258" s="773">
        <v>4703.7506153846152</v>
      </c>
      <c r="AG258" s="749"/>
      <c r="AH258" s="759"/>
      <c r="AI258" s="773">
        <v>4703.7506153846152</v>
      </c>
      <c r="AJ258" s="749"/>
      <c r="AK258" s="759"/>
      <c r="AL258" s="773">
        <v>5749.688269230769</v>
      </c>
      <c r="AM258" s="749"/>
      <c r="AN258" s="759"/>
      <c r="AO258" s="773">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2"/>
      <c r="D259" s="783"/>
      <c r="E259" s="784">
        <v>227.90000000000006</v>
      </c>
      <c r="F259" s="782"/>
      <c r="G259" s="783"/>
      <c r="H259" s="785">
        <v>17.530769230769231</v>
      </c>
      <c r="I259" s="782"/>
      <c r="J259" s="783"/>
      <c r="K259" s="785">
        <v>17.530769230769231</v>
      </c>
      <c r="L259" s="782"/>
      <c r="M259" s="783"/>
      <c r="N259" s="785">
        <v>21.91346153846154</v>
      </c>
      <c r="O259" s="782"/>
      <c r="P259" s="783"/>
      <c r="Q259" s="785">
        <v>17.530769230769231</v>
      </c>
      <c r="R259" s="782"/>
      <c r="S259" s="783"/>
      <c r="T259" s="785">
        <v>21.91346153846154</v>
      </c>
      <c r="U259" s="782"/>
      <c r="V259" s="783"/>
      <c r="W259" s="785">
        <v>17.530769230769231</v>
      </c>
      <c r="X259" s="782"/>
      <c r="Y259" s="783"/>
      <c r="Z259" s="785">
        <v>17.530769230769231</v>
      </c>
      <c r="AA259" s="782"/>
      <c r="AB259" s="783"/>
      <c r="AC259" s="785">
        <v>21.91346153846154</v>
      </c>
      <c r="AD259" s="782"/>
      <c r="AE259" s="783"/>
      <c r="AF259" s="785">
        <v>17.530769230769231</v>
      </c>
      <c r="AG259" s="782"/>
      <c r="AH259" s="783"/>
      <c r="AI259" s="785">
        <v>17.530769230769231</v>
      </c>
      <c r="AJ259" s="782"/>
      <c r="AK259" s="783"/>
      <c r="AL259" s="785">
        <v>21.91346153846154</v>
      </c>
      <c r="AM259" s="782"/>
      <c r="AN259" s="783"/>
      <c r="AO259" s="785">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9"/>
      <c r="D260" s="759"/>
      <c r="E260" s="760">
        <v>0</v>
      </c>
      <c r="F260" s="749"/>
      <c r="G260" s="759"/>
      <c r="H260" s="773">
        <v>0</v>
      </c>
      <c r="I260" s="749"/>
      <c r="J260" s="759"/>
      <c r="K260" s="773">
        <v>0</v>
      </c>
      <c r="L260" s="749"/>
      <c r="M260" s="759"/>
      <c r="N260" s="773">
        <v>0</v>
      </c>
      <c r="O260" s="749"/>
      <c r="P260" s="759"/>
      <c r="Q260" s="773">
        <v>0</v>
      </c>
      <c r="R260" s="749"/>
      <c r="S260" s="759"/>
      <c r="T260" s="773">
        <v>0</v>
      </c>
      <c r="U260" s="749"/>
      <c r="V260" s="759"/>
      <c r="W260" s="773">
        <v>0</v>
      </c>
      <c r="X260" s="749"/>
      <c r="Y260" s="759"/>
      <c r="Z260" s="773">
        <v>0</v>
      </c>
      <c r="AA260" s="749"/>
      <c r="AB260" s="759"/>
      <c r="AC260" s="773">
        <v>0</v>
      </c>
      <c r="AD260" s="749"/>
      <c r="AE260" s="759"/>
      <c r="AF260" s="773">
        <v>0</v>
      </c>
      <c r="AG260" s="749"/>
      <c r="AH260" s="759"/>
      <c r="AI260" s="773">
        <v>0</v>
      </c>
      <c r="AJ260" s="749"/>
      <c r="AK260" s="759"/>
      <c r="AL260" s="773">
        <v>0</v>
      </c>
      <c r="AM260" s="749"/>
      <c r="AN260" s="759"/>
      <c r="AO260" s="773">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9"/>
      <c r="D264" s="759"/>
      <c r="E264" s="760">
        <v>7697.1027204999991</v>
      </c>
      <c r="F264" s="749"/>
      <c r="G264" s="759"/>
      <c r="H264" s="773">
        <v>596.62482465384608</v>
      </c>
      <c r="I264" s="749"/>
      <c r="J264" s="759"/>
      <c r="K264" s="773">
        <v>596.62482465384608</v>
      </c>
      <c r="L264" s="749"/>
      <c r="M264" s="759"/>
      <c r="N264" s="773">
        <v>731.02603081730774</v>
      </c>
      <c r="O264" s="749"/>
      <c r="P264" s="759"/>
      <c r="Q264" s="773">
        <v>596.62482465384608</v>
      </c>
      <c r="R264" s="749"/>
      <c r="S264" s="759"/>
      <c r="T264" s="773">
        <v>731.02603081730774</v>
      </c>
      <c r="U264" s="749"/>
      <c r="V264" s="759"/>
      <c r="W264" s="773">
        <v>596.62482465384608</v>
      </c>
      <c r="X264" s="749"/>
      <c r="Y264" s="759"/>
      <c r="Z264" s="773">
        <v>596.62482465384608</v>
      </c>
      <c r="AA264" s="749"/>
      <c r="AB264" s="759"/>
      <c r="AC264" s="773">
        <v>731.02603081730774</v>
      </c>
      <c r="AD264" s="749"/>
      <c r="AE264" s="759"/>
      <c r="AF264" s="773">
        <v>596.62482465384608</v>
      </c>
      <c r="AG264" s="749"/>
      <c r="AH264" s="759"/>
      <c r="AI264" s="773">
        <v>596.62482465384608</v>
      </c>
      <c r="AJ264" s="749"/>
      <c r="AK264" s="759"/>
      <c r="AL264" s="773">
        <v>731.02603081730774</v>
      </c>
      <c r="AM264" s="749"/>
      <c r="AN264" s="759"/>
      <c r="AO264" s="773">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2"/>
      <c r="D265" s="783"/>
      <c r="E265" s="784">
        <v>9358.5918539999984</v>
      </c>
      <c r="F265" s="782"/>
      <c r="G265" s="783"/>
      <c r="H265" s="785">
        <v>725.41168107692306</v>
      </c>
      <c r="I265" s="782"/>
      <c r="J265" s="783"/>
      <c r="K265" s="785">
        <v>725.41168107692306</v>
      </c>
      <c r="L265" s="782"/>
      <c r="M265" s="783"/>
      <c r="N265" s="785">
        <v>888.82460134615394</v>
      </c>
      <c r="O265" s="782"/>
      <c r="P265" s="783"/>
      <c r="Q265" s="785">
        <v>725.41168107692306</v>
      </c>
      <c r="R265" s="782"/>
      <c r="S265" s="783"/>
      <c r="T265" s="785">
        <v>888.82460134615394</v>
      </c>
      <c r="U265" s="782"/>
      <c r="V265" s="783"/>
      <c r="W265" s="785">
        <v>725.41168107692306</v>
      </c>
      <c r="X265" s="782"/>
      <c r="Y265" s="783"/>
      <c r="Z265" s="785">
        <v>725.41168107692306</v>
      </c>
      <c r="AA265" s="782"/>
      <c r="AB265" s="783"/>
      <c r="AC265" s="785">
        <v>888.82460134615394</v>
      </c>
      <c r="AD265" s="782"/>
      <c r="AE265" s="783"/>
      <c r="AF265" s="785">
        <v>725.41168107692306</v>
      </c>
      <c r="AG265" s="782"/>
      <c r="AH265" s="783"/>
      <c r="AI265" s="785">
        <v>725.41168107692306</v>
      </c>
      <c r="AJ265" s="782"/>
      <c r="AK265" s="783"/>
      <c r="AL265" s="785">
        <v>888.82460134615394</v>
      </c>
      <c r="AM265" s="782"/>
      <c r="AN265" s="783"/>
      <c r="AO265" s="785">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9"/>
      <c r="D266" s="759"/>
      <c r="E266" s="760">
        <v>4821.709281299999</v>
      </c>
      <c r="F266" s="749"/>
      <c r="G266" s="759"/>
      <c r="H266" s="773">
        <v>373.74471394615375</v>
      </c>
      <c r="I266" s="749"/>
      <c r="J266" s="759"/>
      <c r="K266" s="773">
        <v>373.74471394615375</v>
      </c>
      <c r="L266" s="749"/>
      <c r="M266" s="759"/>
      <c r="N266" s="773">
        <v>457.93789243269231</v>
      </c>
      <c r="O266" s="749"/>
      <c r="P266" s="759"/>
      <c r="Q266" s="773">
        <v>373.74471394615375</v>
      </c>
      <c r="R266" s="749"/>
      <c r="S266" s="759"/>
      <c r="T266" s="773">
        <v>457.93789243269231</v>
      </c>
      <c r="U266" s="749"/>
      <c r="V266" s="759"/>
      <c r="W266" s="773">
        <v>373.74471394615375</v>
      </c>
      <c r="X266" s="749"/>
      <c r="Y266" s="759"/>
      <c r="Z266" s="773">
        <v>373.74471394615375</v>
      </c>
      <c r="AA266" s="749"/>
      <c r="AB266" s="759"/>
      <c r="AC266" s="773">
        <v>457.93789243269231</v>
      </c>
      <c r="AD266" s="749"/>
      <c r="AE266" s="759"/>
      <c r="AF266" s="773">
        <v>373.74471394615375</v>
      </c>
      <c r="AG266" s="749"/>
      <c r="AH266" s="759"/>
      <c r="AI266" s="773">
        <v>373.74471394615375</v>
      </c>
      <c r="AJ266" s="749"/>
      <c r="AK266" s="759"/>
      <c r="AL266" s="773">
        <v>457.93789243269231</v>
      </c>
      <c r="AM266" s="749"/>
      <c r="AN266" s="759"/>
      <c r="AO266" s="773">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9"/>
      <c r="D267" s="759"/>
      <c r="E267" s="760">
        <v>2102.2923729999998</v>
      </c>
      <c r="F267" s="749"/>
      <c r="G267" s="759"/>
      <c r="H267" s="773">
        <v>162.95479792307691</v>
      </c>
      <c r="I267" s="749"/>
      <c r="J267" s="759"/>
      <c r="K267" s="773">
        <v>162.95479792307691</v>
      </c>
      <c r="L267" s="749"/>
      <c r="M267" s="759"/>
      <c r="N267" s="773">
        <v>199.66349740384615</v>
      </c>
      <c r="O267" s="749"/>
      <c r="P267" s="759"/>
      <c r="Q267" s="773">
        <v>162.95479792307691</v>
      </c>
      <c r="R267" s="749"/>
      <c r="S267" s="759"/>
      <c r="T267" s="773">
        <v>199.66349740384615</v>
      </c>
      <c r="U267" s="749"/>
      <c r="V267" s="759"/>
      <c r="W267" s="773">
        <v>162.95479792307691</v>
      </c>
      <c r="X267" s="749"/>
      <c r="Y267" s="759"/>
      <c r="Z267" s="773">
        <v>162.95479792307691</v>
      </c>
      <c r="AA267" s="749"/>
      <c r="AB267" s="759"/>
      <c r="AC267" s="773">
        <v>199.66349740384615</v>
      </c>
      <c r="AD267" s="749"/>
      <c r="AE267" s="759"/>
      <c r="AF267" s="773">
        <v>162.95479792307691</v>
      </c>
      <c r="AG267" s="749"/>
      <c r="AH267" s="759"/>
      <c r="AI267" s="773">
        <v>162.95479792307691</v>
      </c>
      <c r="AJ267" s="749"/>
      <c r="AK267" s="759"/>
      <c r="AL267" s="773">
        <v>199.66349740384615</v>
      </c>
      <c r="AM267" s="749"/>
      <c r="AN267" s="759"/>
      <c r="AO267" s="773">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9" t="s">
        <v>119</v>
      </c>
      <c r="D269" s="780">
        <v>0</v>
      </c>
      <c r="E269" s="781">
        <v>88701.579228800023</v>
      </c>
      <c r="F269" s="779" t="s">
        <v>119</v>
      </c>
      <c r="G269" s="780">
        <v>0</v>
      </c>
      <c r="H269" s="781">
        <v>6877.3424022153831</v>
      </c>
      <c r="I269" s="779" t="s">
        <v>119</v>
      </c>
      <c r="J269" s="780">
        <v>0</v>
      </c>
      <c r="K269" s="781">
        <v>6877.3424022153831</v>
      </c>
      <c r="L269" s="779" t="s">
        <v>119</v>
      </c>
      <c r="M269" s="780">
        <v>0</v>
      </c>
      <c r="N269" s="781">
        <v>8420.7100027692304</v>
      </c>
      <c r="O269" s="779" t="s">
        <v>119</v>
      </c>
      <c r="P269" s="780">
        <v>0</v>
      </c>
      <c r="Q269" s="781">
        <v>6877.3424022153831</v>
      </c>
      <c r="R269" s="779" t="s">
        <v>119</v>
      </c>
      <c r="S269" s="780">
        <v>0</v>
      </c>
      <c r="T269" s="781">
        <v>8420.7100027692304</v>
      </c>
      <c r="U269" s="779" t="s">
        <v>119</v>
      </c>
      <c r="V269" s="780">
        <v>0</v>
      </c>
      <c r="W269" s="781">
        <v>6877.3424022153831</v>
      </c>
      <c r="X269" s="779" t="s">
        <v>119</v>
      </c>
      <c r="Y269" s="780">
        <v>0</v>
      </c>
      <c r="Z269" s="781">
        <v>6877.3424022153831</v>
      </c>
      <c r="AA269" s="779" t="s">
        <v>119</v>
      </c>
      <c r="AB269" s="780">
        <v>0</v>
      </c>
      <c r="AC269" s="781">
        <v>8420.7100027692304</v>
      </c>
      <c r="AD269" s="779" t="s">
        <v>119</v>
      </c>
      <c r="AE269" s="780">
        <v>0</v>
      </c>
      <c r="AF269" s="781">
        <v>6877.3424022153831</v>
      </c>
      <c r="AG269" s="779" t="s">
        <v>119</v>
      </c>
      <c r="AH269" s="780">
        <v>0</v>
      </c>
      <c r="AI269" s="781">
        <v>6877.3424022153831</v>
      </c>
      <c r="AJ269" s="779" t="s">
        <v>119</v>
      </c>
      <c r="AK269" s="780">
        <v>0</v>
      </c>
      <c r="AL269" s="781">
        <v>8420.7100027692304</v>
      </c>
      <c r="AM269" s="779" t="s">
        <v>119</v>
      </c>
      <c r="AN269" s="780">
        <v>0</v>
      </c>
      <c r="AO269" s="781">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9"/>
      <c r="D270" s="759"/>
      <c r="E270" s="760">
        <v>0</v>
      </c>
      <c r="F270" s="749"/>
      <c r="G270" s="759"/>
      <c r="H270" s="773">
        <v>0</v>
      </c>
      <c r="I270" s="749"/>
      <c r="J270" s="759"/>
      <c r="K270" s="773">
        <v>0</v>
      </c>
      <c r="L270" s="749"/>
      <c r="M270" s="759"/>
      <c r="N270" s="773">
        <v>0</v>
      </c>
      <c r="O270" s="749"/>
      <c r="P270" s="759"/>
      <c r="Q270" s="773">
        <v>0</v>
      </c>
      <c r="R270" s="749"/>
      <c r="S270" s="759"/>
      <c r="T270" s="773">
        <v>0</v>
      </c>
      <c r="U270" s="749"/>
      <c r="V270" s="759"/>
      <c r="W270" s="773">
        <v>0</v>
      </c>
      <c r="X270" s="749"/>
      <c r="Y270" s="759"/>
      <c r="Z270" s="773">
        <v>0</v>
      </c>
      <c r="AA270" s="749"/>
      <c r="AB270" s="759"/>
      <c r="AC270" s="773">
        <v>0</v>
      </c>
      <c r="AD270" s="749"/>
      <c r="AE270" s="759"/>
      <c r="AF270" s="773">
        <v>0</v>
      </c>
      <c r="AG270" s="749"/>
      <c r="AH270" s="759"/>
      <c r="AI270" s="773">
        <v>0</v>
      </c>
      <c r="AJ270" s="749"/>
      <c r="AK270" s="759"/>
      <c r="AL270" s="773">
        <v>0</v>
      </c>
      <c r="AM270" s="749"/>
      <c r="AN270" s="759"/>
      <c r="AO270" s="773">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9"/>
      <c r="D271" s="759"/>
      <c r="E271" s="760">
        <v>7126.8787510789762</v>
      </c>
      <c r="F271" s="749"/>
      <c r="G271" s="759"/>
      <c r="H271" s="773">
        <v>593.90656258991453</v>
      </c>
      <c r="I271" s="749"/>
      <c r="J271" s="759"/>
      <c r="K271" s="773">
        <v>593.90656258991453</v>
      </c>
      <c r="L271" s="749"/>
      <c r="M271" s="759"/>
      <c r="N271" s="773">
        <v>593.90656258991453</v>
      </c>
      <c r="O271" s="749"/>
      <c r="P271" s="759"/>
      <c r="Q271" s="773">
        <v>593.90656258991453</v>
      </c>
      <c r="R271" s="749"/>
      <c r="S271" s="759"/>
      <c r="T271" s="773">
        <v>593.90656258991453</v>
      </c>
      <c r="U271" s="749"/>
      <c r="V271" s="759"/>
      <c r="W271" s="773">
        <v>593.90656258991453</v>
      </c>
      <c r="X271" s="749"/>
      <c r="Y271" s="759"/>
      <c r="Z271" s="773">
        <v>593.90656258991453</v>
      </c>
      <c r="AA271" s="749"/>
      <c r="AB271" s="759"/>
      <c r="AC271" s="773">
        <v>593.90656258991453</v>
      </c>
      <c r="AD271" s="749"/>
      <c r="AE271" s="759"/>
      <c r="AF271" s="773">
        <v>593.90656258991453</v>
      </c>
      <c r="AG271" s="749"/>
      <c r="AH271" s="759"/>
      <c r="AI271" s="773">
        <v>593.90656258991453</v>
      </c>
      <c r="AJ271" s="749"/>
      <c r="AK271" s="759"/>
      <c r="AL271" s="773">
        <v>593.90656258991453</v>
      </c>
      <c r="AM271" s="749"/>
      <c r="AN271" s="759"/>
      <c r="AO271" s="773">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8"/>
      <c r="D272" s="786"/>
      <c r="E272" s="776">
        <v>0</v>
      </c>
      <c r="F272" s="778"/>
      <c r="G272" s="786"/>
      <c r="H272" s="777">
        <v>0</v>
      </c>
      <c r="I272" s="778"/>
      <c r="J272" s="786"/>
      <c r="K272" s="777">
        <v>0</v>
      </c>
      <c r="L272" s="778"/>
      <c r="M272" s="786"/>
      <c r="N272" s="777">
        <v>0</v>
      </c>
      <c r="O272" s="778"/>
      <c r="P272" s="786"/>
      <c r="Q272" s="777">
        <v>0</v>
      </c>
      <c r="R272" s="778"/>
      <c r="S272" s="786"/>
      <c r="T272" s="777">
        <v>0</v>
      </c>
      <c r="U272" s="778"/>
      <c r="V272" s="786"/>
      <c r="W272" s="777">
        <v>0</v>
      </c>
      <c r="X272" s="778"/>
      <c r="Y272" s="786"/>
      <c r="Z272" s="777">
        <v>0</v>
      </c>
      <c r="AA272" s="778"/>
      <c r="AB272" s="786"/>
      <c r="AC272" s="777">
        <v>0</v>
      </c>
      <c r="AD272" s="778"/>
      <c r="AE272" s="786"/>
      <c r="AF272" s="777">
        <v>0</v>
      </c>
      <c r="AG272" s="778"/>
      <c r="AH272" s="786"/>
      <c r="AI272" s="777">
        <v>0</v>
      </c>
      <c r="AJ272" s="778"/>
      <c r="AK272" s="786"/>
      <c r="AL272" s="777">
        <v>0</v>
      </c>
      <c r="AM272" s="778"/>
      <c r="AN272" s="786"/>
      <c r="AO272" s="777">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9"/>
      <c r="D273" s="759"/>
      <c r="E273" s="760">
        <v>17209.607161333337</v>
      </c>
      <c r="F273" s="749"/>
      <c r="G273" s="759"/>
      <c r="H273" s="773">
        <v>1434.1339301111113</v>
      </c>
      <c r="I273" s="749"/>
      <c r="J273" s="759"/>
      <c r="K273" s="773">
        <v>1434.1339301111113</v>
      </c>
      <c r="L273" s="749"/>
      <c r="M273" s="759"/>
      <c r="N273" s="773">
        <v>1434.1339301111113</v>
      </c>
      <c r="O273" s="749"/>
      <c r="P273" s="759"/>
      <c r="Q273" s="773">
        <v>1434.1339301111113</v>
      </c>
      <c r="R273" s="749"/>
      <c r="S273" s="759"/>
      <c r="T273" s="773">
        <v>1434.1339301111113</v>
      </c>
      <c r="U273" s="749"/>
      <c r="V273" s="759"/>
      <c r="W273" s="773">
        <v>1434.1339301111113</v>
      </c>
      <c r="X273" s="749"/>
      <c r="Y273" s="759"/>
      <c r="Z273" s="773">
        <v>1434.1339301111113</v>
      </c>
      <c r="AA273" s="749"/>
      <c r="AB273" s="759"/>
      <c r="AC273" s="773">
        <v>1434.1339301111113</v>
      </c>
      <c r="AD273" s="749"/>
      <c r="AE273" s="759"/>
      <c r="AF273" s="773">
        <v>1434.1339301111113</v>
      </c>
      <c r="AG273" s="749"/>
      <c r="AH273" s="759"/>
      <c r="AI273" s="773">
        <v>1434.1339301111113</v>
      </c>
      <c r="AJ273" s="749"/>
      <c r="AK273" s="759"/>
      <c r="AL273" s="773">
        <v>1434.1339301111113</v>
      </c>
      <c r="AM273" s="749"/>
      <c r="AN273" s="759"/>
      <c r="AO273" s="773">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9"/>
      <c r="D274" s="759"/>
      <c r="E274" s="760">
        <v>2141.1807663028917</v>
      </c>
      <c r="F274" s="749"/>
      <c r="G274" s="759"/>
      <c r="H274" s="773">
        <v>178.43173052524097</v>
      </c>
      <c r="I274" s="749"/>
      <c r="J274" s="759"/>
      <c r="K274" s="773">
        <v>178.43173052524097</v>
      </c>
      <c r="L274" s="749"/>
      <c r="M274" s="759"/>
      <c r="N274" s="773">
        <v>178.43173052524097</v>
      </c>
      <c r="O274" s="749"/>
      <c r="P274" s="759"/>
      <c r="Q274" s="773">
        <v>178.43173052524097</v>
      </c>
      <c r="R274" s="749"/>
      <c r="S274" s="759"/>
      <c r="T274" s="773">
        <v>178.43173052524097</v>
      </c>
      <c r="U274" s="749"/>
      <c r="V274" s="759"/>
      <c r="W274" s="773">
        <v>178.43173052524097</v>
      </c>
      <c r="X274" s="749"/>
      <c r="Y274" s="759"/>
      <c r="Z274" s="773">
        <v>178.43173052524097</v>
      </c>
      <c r="AA274" s="749"/>
      <c r="AB274" s="759"/>
      <c r="AC274" s="773">
        <v>178.43173052524097</v>
      </c>
      <c r="AD274" s="749"/>
      <c r="AE274" s="759"/>
      <c r="AF274" s="773">
        <v>178.43173052524097</v>
      </c>
      <c r="AG274" s="749"/>
      <c r="AH274" s="759"/>
      <c r="AI274" s="773">
        <v>178.43173052524097</v>
      </c>
      <c r="AJ274" s="749"/>
      <c r="AK274" s="759"/>
      <c r="AL274" s="773">
        <v>178.43173052524097</v>
      </c>
      <c r="AM274" s="749"/>
      <c r="AN274" s="759"/>
      <c r="AO274" s="773">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8"/>
      <c r="D275" s="786"/>
      <c r="E275" s="776">
        <v>8118.614435794444</v>
      </c>
      <c r="F275" s="778"/>
      <c r="G275" s="786"/>
      <c r="H275" s="777">
        <v>676.55120298287022</v>
      </c>
      <c r="I275" s="778"/>
      <c r="J275" s="786"/>
      <c r="K275" s="777">
        <v>676.55120298287022</v>
      </c>
      <c r="L275" s="778"/>
      <c r="M275" s="786"/>
      <c r="N275" s="777">
        <v>676.55120298287022</v>
      </c>
      <c r="O275" s="778"/>
      <c r="P275" s="786"/>
      <c r="Q275" s="777">
        <v>676.55120298287022</v>
      </c>
      <c r="R275" s="778"/>
      <c r="S275" s="786"/>
      <c r="T275" s="777">
        <v>676.55120298287022</v>
      </c>
      <c r="U275" s="778"/>
      <c r="V275" s="786"/>
      <c r="W275" s="777">
        <v>676.55120298287022</v>
      </c>
      <c r="X275" s="778"/>
      <c r="Y275" s="786"/>
      <c r="Z275" s="777">
        <v>676.55120298287022</v>
      </c>
      <c r="AA275" s="778"/>
      <c r="AB275" s="786"/>
      <c r="AC275" s="777">
        <v>676.55120298287022</v>
      </c>
      <c r="AD275" s="778"/>
      <c r="AE275" s="786"/>
      <c r="AF275" s="777">
        <v>676.55120298287022</v>
      </c>
      <c r="AG275" s="778"/>
      <c r="AH275" s="786"/>
      <c r="AI275" s="777">
        <v>676.55120298287022</v>
      </c>
      <c r="AJ275" s="778"/>
      <c r="AK275" s="786"/>
      <c r="AL275" s="777">
        <v>676.55120298287022</v>
      </c>
      <c r="AM275" s="778"/>
      <c r="AN275" s="786"/>
      <c r="AO275" s="777">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9"/>
      <c r="D277" s="759"/>
      <c r="E277" s="760">
        <v>1500</v>
      </c>
      <c r="F277" s="749"/>
      <c r="G277" s="759"/>
      <c r="H277" s="773">
        <v>125</v>
      </c>
      <c r="I277" s="749"/>
      <c r="J277" s="759"/>
      <c r="K277" s="773">
        <v>125</v>
      </c>
      <c r="L277" s="749"/>
      <c r="M277" s="759"/>
      <c r="N277" s="773">
        <v>125</v>
      </c>
      <c r="O277" s="749"/>
      <c r="P277" s="759"/>
      <c r="Q277" s="773">
        <v>125</v>
      </c>
      <c r="R277" s="749"/>
      <c r="S277" s="759"/>
      <c r="T277" s="773">
        <v>125</v>
      </c>
      <c r="U277" s="749"/>
      <c r="V277" s="759"/>
      <c r="W277" s="773">
        <v>125</v>
      </c>
      <c r="X277" s="749"/>
      <c r="Y277" s="759"/>
      <c r="Z277" s="773">
        <v>125</v>
      </c>
      <c r="AA277" s="749"/>
      <c r="AB277" s="759"/>
      <c r="AC277" s="773">
        <v>125</v>
      </c>
      <c r="AD277" s="749"/>
      <c r="AE277" s="759"/>
      <c r="AF277" s="773">
        <v>125</v>
      </c>
      <c r="AG277" s="749"/>
      <c r="AH277" s="759"/>
      <c r="AI277" s="773">
        <v>125</v>
      </c>
      <c r="AJ277" s="749"/>
      <c r="AK277" s="759"/>
      <c r="AL277" s="773">
        <v>125</v>
      </c>
      <c r="AM277" s="749"/>
      <c r="AN277" s="759"/>
      <c r="AO277" s="773">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9"/>
      <c r="D278" s="759"/>
      <c r="E278" s="760">
        <v>1000.0000000000001</v>
      </c>
      <c r="F278" s="749"/>
      <c r="G278" s="759"/>
      <c r="H278" s="773">
        <v>83.333333333333329</v>
      </c>
      <c r="I278" s="749"/>
      <c r="J278" s="759"/>
      <c r="K278" s="773">
        <v>83.333333333333329</v>
      </c>
      <c r="L278" s="749"/>
      <c r="M278" s="759"/>
      <c r="N278" s="773">
        <v>83.333333333333329</v>
      </c>
      <c r="O278" s="749"/>
      <c r="P278" s="759"/>
      <c r="Q278" s="773">
        <v>83.333333333333329</v>
      </c>
      <c r="R278" s="749"/>
      <c r="S278" s="759"/>
      <c r="T278" s="773">
        <v>83.333333333333329</v>
      </c>
      <c r="U278" s="749"/>
      <c r="V278" s="759"/>
      <c r="W278" s="773">
        <v>83.333333333333329</v>
      </c>
      <c r="X278" s="749"/>
      <c r="Y278" s="759"/>
      <c r="Z278" s="773">
        <v>83.333333333333329</v>
      </c>
      <c r="AA278" s="749"/>
      <c r="AB278" s="759"/>
      <c r="AC278" s="773">
        <v>83.333333333333329</v>
      </c>
      <c r="AD278" s="749"/>
      <c r="AE278" s="759"/>
      <c r="AF278" s="773">
        <v>83.333333333333329</v>
      </c>
      <c r="AG278" s="749"/>
      <c r="AH278" s="759"/>
      <c r="AI278" s="773">
        <v>83.333333333333329</v>
      </c>
      <c r="AJ278" s="749"/>
      <c r="AK278" s="759"/>
      <c r="AL278" s="773">
        <v>83.333333333333329</v>
      </c>
      <c r="AM278" s="749"/>
      <c r="AN278" s="759"/>
      <c r="AO278" s="773">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9"/>
      <c r="D279" s="759"/>
      <c r="E279" s="760">
        <v>1890.7022489159997</v>
      </c>
      <c r="F279" s="749"/>
      <c r="G279" s="759"/>
      <c r="H279" s="773">
        <v>157.558520743</v>
      </c>
      <c r="I279" s="749"/>
      <c r="J279" s="759"/>
      <c r="K279" s="773">
        <v>157.558520743</v>
      </c>
      <c r="L279" s="749"/>
      <c r="M279" s="759"/>
      <c r="N279" s="773">
        <v>157.558520743</v>
      </c>
      <c r="O279" s="749"/>
      <c r="P279" s="759"/>
      <c r="Q279" s="773">
        <v>157.558520743</v>
      </c>
      <c r="R279" s="749"/>
      <c r="S279" s="759"/>
      <c r="T279" s="773">
        <v>157.558520743</v>
      </c>
      <c r="U279" s="749"/>
      <c r="V279" s="759"/>
      <c r="W279" s="773">
        <v>157.558520743</v>
      </c>
      <c r="X279" s="749"/>
      <c r="Y279" s="759"/>
      <c r="Z279" s="773">
        <v>157.558520743</v>
      </c>
      <c r="AA279" s="749"/>
      <c r="AB279" s="759"/>
      <c r="AC279" s="773">
        <v>157.558520743</v>
      </c>
      <c r="AD279" s="749"/>
      <c r="AE279" s="759"/>
      <c r="AF279" s="773">
        <v>157.558520743</v>
      </c>
      <c r="AG279" s="749"/>
      <c r="AH279" s="759"/>
      <c r="AI279" s="773">
        <v>157.558520743</v>
      </c>
      <c r="AJ279" s="749"/>
      <c r="AK279" s="759"/>
      <c r="AL279" s="773">
        <v>157.558520743</v>
      </c>
      <c r="AM279" s="749"/>
      <c r="AN279" s="759"/>
      <c r="AO279" s="773">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9"/>
      <c r="D280" s="759"/>
      <c r="E280" s="760">
        <v>441.36442326383332</v>
      </c>
      <c r="F280" s="749"/>
      <c r="G280" s="759"/>
      <c r="H280" s="773">
        <v>36.780368605319445</v>
      </c>
      <c r="I280" s="749"/>
      <c r="J280" s="759"/>
      <c r="K280" s="773">
        <v>36.780368605319445</v>
      </c>
      <c r="L280" s="749"/>
      <c r="M280" s="759"/>
      <c r="N280" s="773">
        <v>36.780368605319445</v>
      </c>
      <c r="O280" s="749"/>
      <c r="P280" s="759"/>
      <c r="Q280" s="773">
        <v>36.780368605319445</v>
      </c>
      <c r="R280" s="749"/>
      <c r="S280" s="759"/>
      <c r="T280" s="773">
        <v>36.780368605319445</v>
      </c>
      <c r="U280" s="749"/>
      <c r="V280" s="759"/>
      <c r="W280" s="773">
        <v>36.780368605319445</v>
      </c>
      <c r="X280" s="749"/>
      <c r="Y280" s="759"/>
      <c r="Z280" s="773">
        <v>36.780368605319445</v>
      </c>
      <c r="AA280" s="749"/>
      <c r="AB280" s="759"/>
      <c r="AC280" s="773">
        <v>36.780368605319445</v>
      </c>
      <c r="AD280" s="749"/>
      <c r="AE280" s="759"/>
      <c r="AF280" s="773">
        <v>36.780368605319445</v>
      </c>
      <c r="AG280" s="749"/>
      <c r="AH280" s="759"/>
      <c r="AI280" s="773">
        <v>36.780368605319445</v>
      </c>
      <c r="AJ280" s="749"/>
      <c r="AK280" s="759"/>
      <c r="AL280" s="773">
        <v>36.780368605319445</v>
      </c>
      <c r="AM280" s="749"/>
      <c r="AN280" s="759"/>
      <c r="AO280" s="773">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9"/>
      <c r="D281" s="759"/>
      <c r="E281" s="760">
        <v>296.94878225616674</v>
      </c>
      <c r="F281" s="749"/>
      <c r="G281" s="759"/>
      <c r="H281" s="773">
        <v>24.745731854680557</v>
      </c>
      <c r="I281" s="749"/>
      <c r="J281" s="759"/>
      <c r="K281" s="773">
        <v>24.745731854680557</v>
      </c>
      <c r="L281" s="749"/>
      <c r="M281" s="759"/>
      <c r="N281" s="773">
        <v>24.745731854680557</v>
      </c>
      <c r="O281" s="749"/>
      <c r="P281" s="759"/>
      <c r="Q281" s="773">
        <v>24.745731854680557</v>
      </c>
      <c r="R281" s="749"/>
      <c r="S281" s="759"/>
      <c r="T281" s="773">
        <v>24.745731854680557</v>
      </c>
      <c r="U281" s="749"/>
      <c r="V281" s="759"/>
      <c r="W281" s="773">
        <v>24.745731854680557</v>
      </c>
      <c r="X281" s="749"/>
      <c r="Y281" s="759"/>
      <c r="Z281" s="773">
        <v>24.745731854680557</v>
      </c>
      <c r="AA281" s="749"/>
      <c r="AB281" s="759"/>
      <c r="AC281" s="773">
        <v>24.745731854680557</v>
      </c>
      <c r="AD281" s="749"/>
      <c r="AE281" s="759"/>
      <c r="AF281" s="773">
        <v>24.745731854680557</v>
      </c>
      <c r="AG281" s="749"/>
      <c r="AH281" s="759"/>
      <c r="AI281" s="773">
        <v>24.745731854680557</v>
      </c>
      <c r="AJ281" s="749"/>
      <c r="AK281" s="759"/>
      <c r="AL281" s="773">
        <v>24.745731854680557</v>
      </c>
      <c r="AM281" s="749"/>
      <c r="AN281" s="759"/>
      <c r="AO281" s="773">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9"/>
      <c r="D282" s="759"/>
      <c r="E282" s="760">
        <v>2819.9935590171658</v>
      </c>
      <c r="F282" s="749"/>
      <c r="G282" s="759"/>
      <c r="H282" s="773">
        <v>234.99946325143051</v>
      </c>
      <c r="I282" s="749"/>
      <c r="J282" s="759"/>
      <c r="K282" s="773">
        <v>234.99946325143051</v>
      </c>
      <c r="L282" s="749"/>
      <c r="M282" s="759"/>
      <c r="N282" s="773">
        <v>234.99946325143051</v>
      </c>
      <c r="O282" s="749"/>
      <c r="P282" s="759"/>
      <c r="Q282" s="773">
        <v>234.99946325143051</v>
      </c>
      <c r="R282" s="749"/>
      <c r="S282" s="759"/>
      <c r="T282" s="773">
        <v>234.99946325143051</v>
      </c>
      <c r="U282" s="749"/>
      <c r="V282" s="759"/>
      <c r="W282" s="773">
        <v>234.99946325143051</v>
      </c>
      <c r="X282" s="749"/>
      <c r="Y282" s="759"/>
      <c r="Z282" s="773">
        <v>234.99946325143051</v>
      </c>
      <c r="AA282" s="749"/>
      <c r="AB282" s="759"/>
      <c r="AC282" s="773">
        <v>234.99946325143051</v>
      </c>
      <c r="AD282" s="749"/>
      <c r="AE282" s="759"/>
      <c r="AF282" s="773">
        <v>234.99946325143051</v>
      </c>
      <c r="AG282" s="749"/>
      <c r="AH282" s="759"/>
      <c r="AI282" s="773">
        <v>234.99946325143051</v>
      </c>
      <c r="AJ282" s="749"/>
      <c r="AK282" s="759"/>
      <c r="AL282" s="773">
        <v>234.99946325143051</v>
      </c>
      <c r="AM282" s="749"/>
      <c r="AN282" s="759"/>
      <c r="AO282" s="773">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9"/>
      <c r="D283" s="759"/>
      <c r="E283" s="760">
        <v>5211.9018277758541</v>
      </c>
      <c r="F283" s="749"/>
      <c r="G283" s="759"/>
      <c r="H283" s="773">
        <v>434.32515231465453</v>
      </c>
      <c r="I283" s="749"/>
      <c r="J283" s="759"/>
      <c r="K283" s="773">
        <v>434.32515231465453</v>
      </c>
      <c r="L283" s="749"/>
      <c r="M283" s="759"/>
      <c r="N283" s="773">
        <v>434.32515231465453</v>
      </c>
      <c r="O283" s="749"/>
      <c r="P283" s="759"/>
      <c r="Q283" s="773">
        <v>434.32515231465453</v>
      </c>
      <c r="R283" s="749"/>
      <c r="S283" s="759"/>
      <c r="T283" s="773">
        <v>434.32515231465453</v>
      </c>
      <c r="U283" s="749"/>
      <c r="V283" s="759"/>
      <c r="W283" s="773">
        <v>434.32515231465453</v>
      </c>
      <c r="X283" s="749"/>
      <c r="Y283" s="759"/>
      <c r="Z283" s="773">
        <v>434.32515231465453</v>
      </c>
      <c r="AA283" s="749"/>
      <c r="AB283" s="759"/>
      <c r="AC283" s="773">
        <v>434.32515231465453</v>
      </c>
      <c r="AD283" s="749"/>
      <c r="AE283" s="759"/>
      <c r="AF283" s="773">
        <v>434.32515231465453</v>
      </c>
      <c r="AG283" s="749"/>
      <c r="AH283" s="759"/>
      <c r="AI283" s="773">
        <v>434.32515231465453</v>
      </c>
      <c r="AJ283" s="749"/>
      <c r="AK283" s="759"/>
      <c r="AL283" s="773">
        <v>434.32515231465453</v>
      </c>
      <c r="AM283" s="749"/>
      <c r="AN283" s="759"/>
      <c r="AO283" s="773">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9"/>
      <c r="D284" s="759"/>
      <c r="E284" s="760">
        <v>2463.3784661654386</v>
      </c>
      <c r="F284" s="749"/>
      <c r="G284" s="759"/>
      <c r="H284" s="773">
        <v>205.2815388471198</v>
      </c>
      <c r="I284" s="749"/>
      <c r="J284" s="759"/>
      <c r="K284" s="773">
        <v>205.2815388471198</v>
      </c>
      <c r="L284" s="749"/>
      <c r="M284" s="759"/>
      <c r="N284" s="773">
        <v>205.2815388471198</v>
      </c>
      <c r="O284" s="749"/>
      <c r="P284" s="759"/>
      <c r="Q284" s="773">
        <v>205.2815388471198</v>
      </c>
      <c r="R284" s="749"/>
      <c r="S284" s="759"/>
      <c r="T284" s="773">
        <v>205.2815388471198</v>
      </c>
      <c r="U284" s="749"/>
      <c r="V284" s="759"/>
      <c r="W284" s="773">
        <v>205.2815388471198</v>
      </c>
      <c r="X284" s="749"/>
      <c r="Y284" s="759"/>
      <c r="Z284" s="773">
        <v>205.2815388471198</v>
      </c>
      <c r="AA284" s="749"/>
      <c r="AB284" s="759"/>
      <c r="AC284" s="773">
        <v>205.2815388471198</v>
      </c>
      <c r="AD284" s="749"/>
      <c r="AE284" s="759"/>
      <c r="AF284" s="773">
        <v>205.2815388471198</v>
      </c>
      <c r="AG284" s="749"/>
      <c r="AH284" s="759"/>
      <c r="AI284" s="773">
        <v>205.2815388471198</v>
      </c>
      <c r="AJ284" s="749"/>
      <c r="AK284" s="759"/>
      <c r="AL284" s="773">
        <v>205.2815388471198</v>
      </c>
      <c r="AM284" s="749"/>
      <c r="AN284" s="759"/>
      <c r="AO284" s="773">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2" t="s">
        <v>119</v>
      </c>
      <c r="D288" s="793">
        <v>0</v>
      </c>
      <c r="E288" s="794">
        <v>50220.5704219041</v>
      </c>
      <c r="F288" s="792" t="s">
        <v>119</v>
      </c>
      <c r="G288" s="793">
        <v>0</v>
      </c>
      <c r="H288" s="794">
        <v>4185.0475351586747</v>
      </c>
      <c r="I288" s="792" t="s">
        <v>119</v>
      </c>
      <c r="J288" s="793">
        <v>0</v>
      </c>
      <c r="K288" s="794">
        <v>4185.0475351586747</v>
      </c>
      <c r="L288" s="792" t="s">
        <v>119</v>
      </c>
      <c r="M288" s="793">
        <v>0</v>
      </c>
      <c r="N288" s="794">
        <v>4185.0475351586747</v>
      </c>
      <c r="O288" s="792" t="s">
        <v>119</v>
      </c>
      <c r="P288" s="793">
        <v>0</v>
      </c>
      <c r="Q288" s="794">
        <v>4185.0475351586747</v>
      </c>
      <c r="R288" s="792" t="s">
        <v>119</v>
      </c>
      <c r="S288" s="793">
        <v>0</v>
      </c>
      <c r="T288" s="794">
        <v>4185.0475351586747</v>
      </c>
      <c r="U288" s="792" t="s">
        <v>119</v>
      </c>
      <c r="V288" s="793">
        <v>0</v>
      </c>
      <c r="W288" s="794">
        <v>4185.0475351586747</v>
      </c>
      <c r="X288" s="792" t="s">
        <v>119</v>
      </c>
      <c r="Y288" s="793">
        <v>0</v>
      </c>
      <c r="Z288" s="794">
        <v>4185.0475351586747</v>
      </c>
      <c r="AA288" s="792" t="s">
        <v>119</v>
      </c>
      <c r="AB288" s="793">
        <v>0</v>
      </c>
      <c r="AC288" s="794">
        <v>4185.0475351586747</v>
      </c>
      <c r="AD288" s="792" t="s">
        <v>119</v>
      </c>
      <c r="AE288" s="793">
        <v>0</v>
      </c>
      <c r="AF288" s="794">
        <v>4185.0475351586747</v>
      </c>
      <c r="AG288" s="792" t="s">
        <v>119</v>
      </c>
      <c r="AH288" s="793">
        <v>0</v>
      </c>
      <c r="AI288" s="794">
        <v>4185.0475351586747</v>
      </c>
      <c r="AJ288" s="792" t="s">
        <v>119</v>
      </c>
      <c r="AK288" s="793">
        <v>0</v>
      </c>
      <c r="AL288" s="794">
        <v>4185.0475351586747</v>
      </c>
      <c r="AM288" s="792" t="s">
        <v>119</v>
      </c>
      <c r="AN288" s="793">
        <v>0</v>
      </c>
      <c r="AO288" s="794">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9" t="s">
        <v>119</v>
      </c>
      <c r="D290" s="817">
        <v>0</v>
      </c>
      <c r="E290" s="791">
        <v>138922.14965070412</v>
      </c>
      <c r="F290" s="779" t="s">
        <v>119</v>
      </c>
      <c r="G290" s="817">
        <v>0</v>
      </c>
      <c r="H290" s="791">
        <v>11062.389937374057</v>
      </c>
      <c r="I290" s="779" t="s">
        <v>119</v>
      </c>
      <c r="J290" s="817">
        <v>0</v>
      </c>
      <c r="K290" s="791">
        <v>11062.389937374057</v>
      </c>
      <c r="L290" s="779" t="s">
        <v>119</v>
      </c>
      <c r="M290" s="817">
        <v>0</v>
      </c>
      <c r="N290" s="791">
        <v>12605.757537927904</v>
      </c>
      <c r="O290" s="779" t="s">
        <v>119</v>
      </c>
      <c r="P290" s="817">
        <v>0</v>
      </c>
      <c r="Q290" s="791">
        <v>11062.389937374057</v>
      </c>
      <c r="R290" s="779" t="s">
        <v>119</v>
      </c>
      <c r="S290" s="817">
        <v>0</v>
      </c>
      <c r="T290" s="791">
        <v>12605.757537927904</v>
      </c>
      <c r="U290" s="779" t="s">
        <v>119</v>
      </c>
      <c r="V290" s="817">
        <v>0</v>
      </c>
      <c r="W290" s="791">
        <v>11062.389937374057</v>
      </c>
      <c r="X290" s="779" t="s">
        <v>119</v>
      </c>
      <c r="Y290" s="817">
        <v>0</v>
      </c>
      <c r="Z290" s="791">
        <v>11062.389937374057</v>
      </c>
      <c r="AA290" s="779" t="s">
        <v>119</v>
      </c>
      <c r="AB290" s="817">
        <v>0</v>
      </c>
      <c r="AC290" s="791">
        <v>12605.757537927904</v>
      </c>
      <c r="AD290" s="779" t="s">
        <v>119</v>
      </c>
      <c r="AE290" s="817">
        <v>0</v>
      </c>
      <c r="AF290" s="791">
        <v>11062.389937374057</v>
      </c>
      <c r="AG290" s="779" t="s">
        <v>119</v>
      </c>
      <c r="AH290" s="817">
        <v>0</v>
      </c>
      <c r="AI290" s="791">
        <v>11062.389937374057</v>
      </c>
      <c r="AJ290" s="779" t="s">
        <v>119</v>
      </c>
      <c r="AK290" s="817">
        <v>0</v>
      </c>
      <c r="AL290" s="791">
        <v>12605.757537927904</v>
      </c>
      <c r="AM290" s="779" t="s">
        <v>119</v>
      </c>
      <c r="AN290" s="817">
        <v>0</v>
      </c>
      <c r="AO290" s="791">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8"/>
      <c r="D292" s="819"/>
      <c r="E292" s="800">
        <v>39210.500349295849</v>
      </c>
      <c r="F292" s="818"/>
      <c r="G292" s="819"/>
      <c r="H292" s="800">
        <v>6078.679927700683</v>
      </c>
      <c r="I292" s="818"/>
      <c r="J292" s="819"/>
      <c r="K292" s="800">
        <v>2086.9017302563061</v>
      </c>
      <c r="L292" s="818"/>
      <c r="M292" s="819"/>
      <c r="N292" s="800">
        <v>6551.982295946822</v>
      </c>
      <c r="O292" s="818"/>
      <c r="P292" s="819"/>
      <c r="Q292" s="800">
        <v>5728.3085984618046</v>
      </c>
      <c r="R292" s="818"/>
      <c r="S292" s="819"/>
      <c r="T292" s="800">
        <v>1424.0333566210029</v>
      </c>
      <c r="U292" s="818"/>
      <c r="V292" s="819"/>
      <c r="W292" s="800">
        <v>5352.7427170661031</v>
      </c>
      <c r="X292" s="818"/>
      <c r="Y292" s="819"/>
      <c r="Z292" s="800">
        <v>4279.5511305800865</v>
      </c>
      <c r="AA292" s="818"/>
      <c r="AB292" s="819"/>
      <c r="AC292" s="800">
        <v>2298.6793905906488</v>
      </c>
      <c r="AD292" s="818"/>
      <c r="AE292" s="819"/>
      <c r="AF292" s="800">
        <v>-1250.2023121309794</v>
      </c>
      <c r="AG292" s="818"/>
      <c r="AH292" s="819"/>
      <c r="AI292" s="800">
        <v>4739.7471194154477</v>
      </c>
      <c r="AJ292" s="818"/>
      <c r="AK292" s="819"/>
      <c r="AL292" s="800">
        <v>3679.0128982002407</v>
      </c>
      <c r="AM292" s="818"/>
      <c r="AN292" s="819"/>
      <c r="AO292" s="800">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3865</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71">
        <v>2024</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21">
        <v>1453900.5079473404</v>
      </c>
      <c r="D298" s="815">
        <v>0.34199999999999997</v>
      </c>
      <c r="E298" s="760">
        <v>497233.97371799039</v>
      </c>
      <c r="F298" s="822">
        <v>68102.943029233269</v>
      </c>
      <c r="G298" s="815">
        <v>0.34200000000000003</v>
      </c>
      <c r="H298" s="773">
        <v>23291.206515997779</v>
      </c>
      <c r="I298" s="822">
        <v>68675.867624883031</v>
      </c>
      <c r="J298" s="815">
        <v>0.34200000000000003</v>
      </c>
      <c r="K298" s="773">
        <v>23487.146727709998</v>
      </c>
      <c r="L298" s="822">
        <v>97068.693605354172</v>
      </c>
      <c r="M298" s="815">
        <v>0.34200000000000003</v>
      </c>
      <c r="N298" s="773">
        <v>33197.493213031128</v>
      </c>
      <c r="O298" s="822">
        <v>179994.55319999999</v>
      </c>
      <c r="P298" s="815">
        <v>0.34200000000000003</v>
      </c>
      <c r="Q298" s="773">
        <v>61558.137194400006</v>
      </c>
      <c r="R298" s="822">
        <v>194533.69320000001</v>
      </c>
      <c r="S298" s="815">
        <v>0.34200000000000008</v>
      </c>
      <c r="T298" s="773">
        <v>66530.523074400015</v>
      </c>
      <c r="U298" s="822">
        <v>101173.85646693091</v>
      </c>
      <c r="V298" s="815">
        <v>0.34200000000000003</v>
      </c>
      <c r="W298" s="773">
        <v>34601.458911690373</v>
      </c>
      <c r="X298" s="822">
        <v>107008.0704</v>
      </c>
      <c r="Y298" s="815">
        <v>0.34200000000000008</v>
      </c>
      <c r="Z298" s="773">
        <v>36596.760076800005</v>
      </c>
      <c r="AA298" s="822">
        <v>91495.221698814159</v>
      </c>
      <c r="AB298" s="815">
        <v>0.34200000000000003</v>
      </c>
      <c r="AC298" s="773">
        <v>31291.365820994444</v>
      </c>
      <c r="AD298" s="822">
        <v>76440.844943847915</v>
      </c>
      <c r="AE298" s="815">
        <v>0.34200000000000003</v>
      </c>
      <c r="AF298" s="773">
        <v>26142.768970795987</v>
      </c>
      <c r="AG298" s="822">
        <v>166473.15300000002</v>
      </c>
      <c r="AH298" s="815">
        <v>0.34200000000000003</v>
      </c>
      <c r="AI298" s="773">
        <v>56933.818326000008</v>
      </c>
      <c r="AJ298" s="822">
        <v>209218.22459999999</v>
      </c>
      <c r="AK298" s="815">
        <v>0.34200000000000003</v>
      </c>
      <c r="AL298" s="773">
        <v>71552.632813200005</v>
      </c>
      <c r="AM298" s="822">
        <v>93715.386178276894</v>
      </c>
      <c r="AN298" s="815">
        <v>0.34200000000000003</v>
      </c>
      <c r="AO298" s="773">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21">
        <v>710095.99999999988</v>
      </c>
      <c r="D299" s="815">
        <v>0.24800000000000005</v>
      </c>
      <c r="E299" s="760">
        <v>176103.80800000002</v>
      </c>
      <c r="F299" s="822">
        <v>77311.478677311447</v>
      </c>
      <c r="G299" s="815">
        <v>0.248</v>
      </c>
      <c r="H299" s="773">
        <v>19173.246711973239</v>
      </c>
      <c r="I299" s="822">
        <v>62778.957931147255</v>
      </c>
      <c r="J299" s="815">
        <v>0.248</v>
      </c>
      <c r="K299" s="773">
        <v>15569.181566924519</v>
      </c>
      <c r="L299" s="822">
        <v>61315.684533504544</v>
      </c>
      <c r="M299" s="815">
        <v>0.248</v>
      </c>
      <c r="N299" s="773">
        <v>15206.289764309127</v>
      </c>
      <c r="O299" s="822">
        <v>67540.913915572368</v>
      </c>
      <c r="P299" s="815">
        <v>0.248</v>
      </c>
      <c r="Q299" s="773">
        <v>16750.146651061947</v>
      </c>
      <c r="R299" s="822">
        <v>51253.068428494706</v>
      </c>
      <c r="S299" s="815">
        <v>0.248</v>
      </c>
      <c r="T299" s="773">
        <v>12710.760970266687</v>
      </c>
      <c r="U299" s="822">
        <v>66130.940674823782</v>
      </c>
      <c r="V299" s="815">
        <v>0.248</v>
      </c>
      <c r="W299" s="773">
        <v>16400.473287356297</v>
      </c>
      <c r="X299" s="822">
        <v>55923.367985034376</v>
      </c>
      <c r="Y299" s="815">
        <v>0.24800000000000003</v>
      </c>
      <c r="Z299" s="773">
        <v>13868.995260288526</v>
      </c>
      <c r="AA299" s="822">
        <v>57292.53348045599</v>
      </c>
      <c r="AB299" s="815">
        <v>0.248</v>
      </c>
      <c r="AC299" s="773">
        <v>14208.548303153086</v>
      </c>
      <c r="AD299" s="822">
        <v>34326.636867241177</v>
      </c>
      <c r="AE299" s="815">
        <v>0.248</v>
      </c>
      <c r="AF299" s="773">
        <v>8513.005943075812</v>
      </c>
      <c r="AG299" s="822">
        <v>52480.08107250421</v>
      </c>
      <c r="AH299" s="815">
        <v>0.248</v>
      </c>
      <c r="AI299" s="773">
        <v>13015.060105981043</v>
      </c>
      <c r="AJ299" s="822">
        <v>74393.158025585159</v>
      </c>
      <c r="AK299" s="815">
        <v>0.248</v>
      </c>
      <c r="AL299" s="773">
        <v>18449.50319034512</v>
      </c>
      <c r="AM299" s="822">
        <v>49349.178408324966</v>
      </c>
      <c r="AN299" s="815">
        <v>0.248</v>
      </c>
      <c r="AO299" s="773">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21">
        <v>539994.9889000064</v>
      </c>
      <c r="D300" s="815">
        <v>0.24299999999999999</v>
      </c>
      <c r="E300" s="760">
        <v>131218.78230270155</v>
      </c>
      <c r="F300" s="822">
        <v>25294.198443502137</v>
      </c>
      <c r="G300" s="815">
        <v>0.24299999999999997</v>
      </c>
      <c r="H300" s="773">
        <v>6146.4902217710187</v>
      </c>
      <c r="I300" s="822">
        <v>25506.989077371039</v>
      </c>
      <c r="J300" s="815">
        <v>0.24299999999999999</v>
      </c>
      <c r="K300" s="773">
        <v>6198.1983458011628</v>
      </c>
      <c r="L300" s="822">
        <v>36052.40375076604</v>
      </c>
      <c r="M300" s="815">
        <v>0.24300000000000002</v>
      </c>
      <c r="N300" s="773">
        <v>8760.7341114361479</v>
      </c>
      <c r="O300" s="822">
        <v>66852</v>
      </c>
      <c r="P300" s="815">
        <v>0.24299999999999999</v>
      </c>
      <c r="Q300" s="773">
        <v>16245.036</v>
      </c>
      <c r="R300" s="822">
        <v>72252</v>
      </c>
      <c r="S300" s="815">
        <v>0.24300000000000002</v>
      </c>
      <c r="T300" s="773">
        <v>17557.236000000001</v>
      </c>
      <c r="U300" s="822">
        <v>37577.107375087311</v>
      </c>
      <c r="V300" s="815">
        <v>0.24300000000000002</v>
      </c>
      <c r="W300" s="773">
        <v>9131.237092146217</v>
      </c>
      <c r="X300" s="822">
        <v>39744</v>
      </c>
      <c r="Y300" s="815">
        <v>0.24299999999999999</v>
      </c>
      <c r="Z300" s="773">
        <v>9657.7919999999995</v>
      </c>
      <c r="AA300" s="822">
        <v>33982.35364496088</v>
      </c>
      <c r="AB300" s="815">
        <v>0.24300000000000002</v>
      </c>
      <c r="AC300" s="773">
        <v>8257.7119357254942</v>
      </c>
      <c r="AD300" s="822">
        <v>28390.98892346994</v>
      </c>
      <c r="AE300" s="815">
        <v>0.24299999999999999</v>
      </c>
      <c r="AF300" s="773">
        <v>6899.0103084031953</v>
      </c>
      <c r="AG300" s="822">
        <v>61830</v>
      </c>
      <c r="AH300" s="815">
        <v>0.24300000000000002</v>
      </c>
      <c r="AI300" s="773">
        <v>15024.69</v>
      </c>
      <c r="AJ300" s="822">
        <v>77706</v>
      </c>
      <c r="AK300" s="815">
        <v>0.24300000000000002</v>
      </c>
      <c r="AL300" s="773">
        <v>18882.558000000001</v>
      </c>
      <c r="AM300" s="822">
        <v>34806.947684848987</v>
      </c>
      <c r="AN300" s="815">
        <v>0.24300000000000002</v>
      </c>
      <c r="AO300" s="773">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21">
        <v>583538.00000000012</v>
      </c>
      <c r="D301" s="815">
        <v>0.31599999999999995</v>
      </c>
      <c r="E301" s="760">
        <v>184398.008</v>
      </c>
      <c r="F301" s="822">
        <v>25630.360314305966</v>
      </c>
      <c r="G301" s="815">
        <v>0.316</v>
      </c>
      <c r="H301" s="773">
        <v>8099.1938593206851</v>
      </c>
      <c r="I301" s="822">
        <v>32024.893327266007</v>
      </c>
      <c r="J301" s="815">
        <v>0.316</v>
      </c>
      <c r="K301" s="773">
        <v>10119.866291416058</v>
      </c>
      <c r="L301" s="822">
        <v>44126.52917235552</v>
      </c>
      <c r="M301" s="815">
        <v>0.316</v>
      </c>
      <c r="N301" s="773">
        <v>13943.983218464344</v>
      </c>
      <c r="O301" s="822">
        <v>46178.307044285575</v>
      </c>
      <c r="P301" s="815">
        <v>0.316</v>
      </c>
      <c r="Q301" s="773">
        <v>14592.345025994242</v>
      </c>
      <c r="R301" s="822">
        <v>50992.242773818311</v>
      </c>
      <c r="S301" s="815">
        <v>0.316</v>
      </c>
      <c r="T301" s="773">
        <v>16113.548716526586</v>
      </c>
      <c r="U301" s="822">
        <v>60882.99990752634</v>
      </c>
      <c r="V301" s="815">
        <v>0.316</v>
      </c>
      <c r="W301" s="773">
        <v>19239.027970778323</v>
      </c>
      <c r="X301" s="822">
        <v>53464.490283295439</v>
      </c>
      <c r="Y301" s="815">
        <v>0.316</v>
      </c>
      <c r="Z301" s="773">
        <v>16894.778929521359</v>
      </c>
      <c r="AA301" s="822">
        <v>52148.583638741169</v>
      </c>
      <c r="AB301" s="815">
        <v>0.31600000000000006</v>
      </c>
      <c r="AC301" s="773">
        <v>16478.952429842211</v>
      </c>
      <c r="AD301" s="822">
        <v>53843.813305220196</v>
      </c>
      <c r="AE301" s="815">
        <v>0.316</v>
      </c>
      <c r="AF301" s="773">
        <v>17014.645004449583</v>
      </c>
      <c r="AG301" s="822">
        <v>72697.863264700442</v>
      </c>
      <c r="AH301" s="815">
        <v>0.316</v>
      </c>
      <c r="AI301" s="773">
        <v>22972.524791645341</v>
      </c>
      <c r="AJ301" s="822">
        <v>56005.685384712364</v>
      </c>
      <c r="AK301" s="815">
        <v>0.316</v>
      </c>
      <c r="AL301" s="773">
        <v>17697.796581569106</v>
      </c>
      <c r="AM301" s="822">
        <v>35542.231583772656</v>
      </c>
      <c r="AN301" s="815">
        <v>0.316</v>
      </c>
      <c r="AO301" s="773">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21">
        <v>254357.82</v>
      </c>
      <c r="D302" s="815">
        <v>0.26500000000000007</v>
      </c>
      <c r="E302" s="760">
        <v>67404.822300000014</v>
      </c>
      <c r="F302" s="822">
        <v>12781.800000000001</v>
      </c>
      <c r="G302" s="815">
        <v>0.26500000000000001</v>
      </c>
      <c r="H302" s="773">
        <v>3387.1770000000006</v>
      </c>
      <c r="I302" s="822">
        <v>12781.800000000001</v>
      </c>
      <c r="J302" s="815">
        <v>0.26500000000000001</v>
      </c>
      <c r="K302" s="773">
        <v>3387.1770000000006</v>
      </c>
      <c r="L302" s="822">
        <v>17894.52</v>
      </c>
      <c r="M302" s="815">
        <v>0.26500000000000001</v>
      </c>
      <c r="N302" s="773">
        <v>4742.0478000000003</v>
      </c>
      <c r="O302" s="822">
        <v>25563.600000000002</v>
      </c>
      <c r="P302" s="815">
        <v>0.26500000000000001</v>
      </c>
      <c r="Q302" s="773">
        <v>6774.3540000000012</v>
      </c>
      <c r="R302" s="822">
        <v>29398.140000000003</v>
      </c>
      <c r="S302" s="815">
        <v>0.26500000000000001</v>
      </c>
      <c r="T302" s="773">
        <v>7790.5071000000016</v>
      </c>
      <c r="U302" s="822">
        <v>23007.239999999998</v>
      </c>
      <c r="V302" s="815">
        <v>0.26500000000000001</v>
      </c>
      <c r="W302" s="773">
        <v>6096.9186</v>
      </c>
      <c r="X302" s="822">
        <v>20450.88</v>
      </c>
      <c r="Y302" s="815">
        <v>0.26500000000000001</v>
      </c>
      <c r="Z302" s="773">
        <v>5419.4832000000006</v>
      </c>
      <c r="AA302" s="822">
        <v>23007.239999999998</v>
      </c>
      <c r="AB302" s="815">
        <v>0.26500000000000001</v>
      </c>
      <c r="AC302" s="773">
        <v>6096.9186</v>
      </c>
      <c r="AD302" s="822">
        <v>20450.88</v>
      </c>
      <c r="AE302" s="815">
        <v>0.26500000000000001</v>
      </c>
      <c r="AF302" s="773">
        <v>5419.4832000000006</v>
      </c>
      <c r="AG302" s="822">
        <v>30676.32</v>
      </c>
      <c r="AH302" s="815">
        <v>0.26500000000000001</v>
      </c>
      <c r="AI302" s="773">
        <v>8129.2248</v>
      </c>
      <c r="AJ302" s="822">
        <v>25563.600000000002</v>
      </c>
      <c r="AK302" s="815">
        <v>0.26500000000000001</v>
      </c>
      <c r="AL302" s="773">
        <v>6774.3540000000012</v>
      </c>
      <c r="AM302" s="822">
        <v>12781.800000000001</v>
      </c>
      <c r="AN302" s="815">
        <v>0.26500000000000001</v>
      </c>
      <c r="AO302" s="773">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21">
        <v>1580494.9999999998</v>
      </c>
      <c r="D303" s="815">
        <v>0.14499999999999999</v>
      </c>
      <c r="E303" s="760">
        <v>229171.77499999994</v>
      </c>
      <c r="F303" s="822">
        <v>131369.88800037501</v>
      </c>
      <c r="G303" s="815">
        <v>0.14499999999999999</v>
      </c>
      <c r="H303" s="773">
        <v>19048.633760054374</v>
      </c>
      <c r="I303" s="822">
        <v>97822.4535252481</v>
      </c>
      <c r="J303" s="815">
        <v>0.14499999999999999</v>
      </c>
      <c r="K303" s="773">
        <v>14184.255761160974</v>
      </c>
      <c r="L303" s="822">
        <v>131294.05183072784</v>
      </c>
      <c r="M303" s="815">
        <v>0.14499999999999999</v>
      </c>
      <c r="N303" s="773">
        <v>19037.637515455535</v>
      </c>
      <c r="O303" s="822">
        <v>114574.82119492393</v>
      </c>
      <c r="P303" s="815">
        <v>0.14499999999999999</v>
      </c>
      <c r="Q303" s="773">
        <v>16613.349073263969</v>
      </c>
      <c r="R303" s="822">
        <v>117872.10027457221</v>
      </c>
      <c r="S303" s="815">
        <v>0.14499999999999999</v>
      </c>
      <c r="T303" s="773">
        <v>17091.45453981297</v>
      </c>
      <c r="U303" s="822">
        <v>134183.48159425892</v>
      </c>
      <c r="V303" s="815">
        <v>0.14499999999999999</v>
      </c>
      <c r="W303" s="773">
        <v>19456.60483116754</v>
      </c>
      <c r="X303" s="822">
        <v>143141.73013459198</v>
      </c>
      <c r="Y303" s="815">
        <v>0.14499999999999999</v>
      </c>
      <c r="Z303" s="773">
        <v>20755.550869515835</v>
      </c>
      <c r="AA303" s="822">
        <v>124847.8658281988</v>
      </c>
      <c r="AB303" s="815">
        <v>0.14499999999999999</v>
      </c>
      <c r="AC303" s="773">
        <v>18102.940545088826</v>
      </c>
      <c r="AD303" s="822">
        <v>149444.83181509384</v>
      </c>
      <c r="AE303" s="815">
        <v>0.14499999999999999</v>
      </c>
      <c r="AF303" s="773">
        <v>21669.500613188608</v>
      </c>
      <c r="AG303" s="822">
        <v>150310.40872804238</v>
      </c>
      <c r="AH303" s="815">
        <v>0.14499999999999999</v>
      </c>
      <c r="AI303" s="773">
        <v>21795.009265566143</v>
      </c>
      <c r="AJ303" s="822">
        <v>140837.08896621366</v>
      </c>
      <c r="AK303" s="815">
        <v>0.14499999999999999</v>
      </c>
      <c r="AL303" s="773">
        <v>20421.377900100979</v>
      </c>
      <c r="AM303" s="822">
        <v>144796.27810775323</v>
      </c>
      <c r="AN303" s="815">
        <v>0.14499999999999999</v>
      </c>
      <c r="AO303" s="773">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21">
        <v>0</v>
      </c>
      <c r="D305" s="815">
        <v>0</v>
      </c>
      <c r="E305" s="760">
        <v>93727</v>
      </c>
      <c r="F305" s="822">
        <v>0</v>
      </c>
      <c r="G305" s="815">
        <v>0</v>
      </c>
      <c r="H305" s="773">
        <v>6230.1419357614495</v>
      </c>
      <c r="I305" s="822">
        <v>0</v>
      </c>
      <c r="J305" s="815">
        <v>0</v>
      </c>
      <c r="K305" s="773">
        <v>5481.7778741030306</v>
      </c>
      <c r="L305" s="822">
        <v>0</v>
      </c>
      <c r="M305" s="815">
        <v>0</v>
      </c>
      <c r="N305" s="773">
        <v>7094.9059402213134</v>
      </c>
      <c r="O305" s="822">
        <v>0</v>
      </c>
      <c r="P305" s="815">
        <v>0</v>
      </c>
      <c r="Q305" s="773">
        <v>9161.6554983934057</v>
      </c>
      <c r="R305" s="822">
        <v>0</v>
      </c>
      <c r="S305" s="815">
        <v>0</v>
      </c>
      <c r="T305" s="773">
        <v>9447.0431464423928</v>
      </c>
      <c r="U305" s="822">
        <v>0</v>
      </c>
      <c r="V305" s="815">
        <v>0</v>
      </c>
      <c r="W305" s="773">
        <v>7739.0478702586215</v>
      </c>
      <c r="X305" s="822">
        <v>0</v>
      </c>
      <c r="Y305" s="815">
        <v>0</v>
      </c>
      <c r="Z305" s="773">
        <v>7680.0733000722348</v>
      </c>
      <c r="AA305" s="822">
        <v>0</v>
      </c>
      <c r="AB305" s="815">
        <v>0</v>
      </c>
      <c r="AC305" s="773">
        <v>7003.8192335704462</v>
      </c>
      <c r="AD305" s="822">
        <v>0</v>
      </c>
      <c r="AE305" s="815">
        <v>0</v>
      </c>
      <c r="AF305" s="773">
        <v>6640.1409253700067</v>
      </c>
      <c r="AG305" s="822">
        <v>0</v>
      </c>
      <c r="AH305" s="815">
        <v>0</v>
      </c>
      <c r="AI305" s="773">
        <v>9779.4469125937139</v>
      </c>
      <c r="AJ305" s="822">
        <v>0</v>
      </c>
      <c r="AK305" s="815">
        <v>0</v>
      </c>
      <c r="AL305" s="773">
        <v>10680.709323510635</v>
      </c>
      <c r="AM305" s="822">
        <v>0</v>
      </c>
      <c r="AN305" s="815">
        <v>0</v>
      </c>
      <c r="AO305" s="773">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5">
        <v>5122382.3168473458</v>
      </c>
      <c r="D307" s="856">
        <v>0.26926107502447783</v>
      </c>
      <c r="E307" s="857">
        <v>1379258.1693206918</v>
      </c>
      <c r="F307" s="855">
        <v>340490.66846472782</v>
      </c>
      <c r="G307" s="856">
        <v>0.25074428732464032</v>
      </c>
      <c r="H307" s="857">
        <v>85376.090004878555</v>
      </c>
      <c r="I307" s="855">
        <v>299590.96148591547</v>
      </c>
      <c r="J307" s="856">
        <v>0.26178227533343934</v>
      </c>
      <c r="K307" s="857">
        <v>78427.603567115744</v>
      </c>
      <c r="L307" s="855">
        <v>387751.88289270806</v>
      </c>
      <c r="M307" s="856">
        <v>0.26301120913224957</v>
      </c>
      <c r="N307" s="857">
        <v>101983.09156291759</v>
      </c>
      <c r="O307" s="855">
        <v>500704.19535478187</v>
      </c>
      <c r="P307" s="856">
        <v>0.28299148430884091</v>
      </c>
      <c r="Q307" s="857">
        <v>141695.02344311358</v>
      </c>
      <c r="R307" s="855">
        <v>516301.24467688525</v>
      </c>
      <c r="S307" s="856">
        <v>0.28518442491765816</v>
      </c>
      <c r="T307" s="857">
        <v>147241.07354744864</v>
      </c>
      <c r="U307" s="855">
        <v>422955.62601862726</v>
      </c>
      <c r="V307" s="856">
        <v>0.26637491413445707</v>
      </c>
      <c r="W307" s="857">
        <v>112664.76856339737</v>
      </c>
      <c r="X307" s="855">
        <v>419732.53880292183</v>
      </c>
      <c r="Y307" s="856">
        <v>0.26415258143295073</v>
      </c>
      <c r="Z307" s="857">
        <v>110873.43363619797</v>
      </c>
      <c r="AA307" s="855">
        <v>382773.79829117097</v>
      </c>
      <c r="AB307" s="856">
        <v>0.2650135858860701</v>
      </c>
      <c r="AC307" s="857">
        <v>101440.25686837452</v>
      </c>
      <c r="AD307" s="855">
        <v>362897.99585487309</v>
      </c>
      <c r="AE307" s="856">
        <v>0.25433746126885309</v>
      </c>
      <c r="AF307" s="857">
        <v>92298.554965283198</v>
      </c>
      <c r="AG307" s="855">
        <v>534467.82606524706</v>
      </c>
      <c r="AH307" s="856">
        <v>0.27625568275790163</v>
      </c>
      <c r="AI307" s="857">
        <v>147649.77420178623</v>
      </c>
      <c r="AJ307" s="855">
        <v>583723.7569765111</v>
      </c>
      <c r="AK307" s="856">
        <v>0.28174102877115492</v>
      </c>
      <c r="AL307" s="857">
        <v>164458.93180872584</v>
      </c>
      <c r="AM307" s="855">
        <v>370991.82196297671</v>
      </c>
      <c r="AN307" s="856">
        <v>0.25647348949095761</v>
      </c>
      <c r="AO307" s="857">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21">
        <v>562303.35499999998</v>
      </c>
      <c r="D310" s="815">
        <v>0.18000000000000005</v>
      </c>
      <c r="E310" s="760">
        <v>101214.60390000002</v>
      </c>
      <c r="F310" s="822">
        <v>28256.45</v>
      </c>
      <c r="G310" s="815">
        <v>0.18</v>
      </c>
      <c r="H310" s="773">
        <v>5086.1610000000001</v>
      </c>
      <c r="I310" s="822">
        <v>28256.45</v>
      </c>
      <c r="J310" s="815">
        <v>0.18</v>
      </c>
      <c r="K310" s="773">
        <v>5086.1610000000001</v>
      </c>
      <c r="L310" s="822">
        <v>39559.030000000006</v>
      </c>
      <c r="M310" s="815">
        <v>0.18</v>
      </c>
      <c r="N310" s="773">
        <v>7120.6254000000008</v>
      </c>
      <c r="O310" s="822">
        <v>56512.9</v>
      </c>
      <c r="P310" s="815">
        <v>0.18</v>
      </c>
      <c r="Q310" s="773">
        <v>10172.322</v>
      </c>
      <c r="R310" s="822">
        <v>64989.835000000006</v>
      </c>
      <c r="S310" s="815">
        <v>0.18</v>
      </c>
      <c r="T310" s="773">
        <v>11698.170300000002</v>
      </c>
      <c r="U310" s="822">
        <v>50861.61</v>
      </c>
      <c r="V310" s="815">
        <v>0.18</v>
      </c>
      <c r="W310" s="773">
        <v>9155.0897999999997</v>
      </c>
      <c r="X310" s="822">
        <v>45210.32</v>
      </c>
      <c r="Y310" s="815">
        <v>0.18</v>
      </c>
      <c r="Z310" s="773">
        <v>8137.8575999999994</v>
      </c>
      <c r="AA310" s="822">
        <v>50861.61</v>
      </c>
      <c r="AB310" s="815">
        <v>0.18</v>
      </c>
      <c r="AC310" s="773">
        <v>9155.0897999999997</v>
      </c>
      <c r="AD310" s="822">
        <v>45210.32</v>
      </c>
      <c r="AE310" s="815">
        <v>0.18</v>
      </c>
      <c r="AF310" s="773">
        <v>8137.8575999999994</v>
      </c>
      <c r="AG310" s="822">
        <v>67815.48</v>
      </c>
      <c r="AH310" s="815">
        <v>0.18</v>
      </c>
      <c r="AI310" s="773">
        <v>12206.786399999999</v>
      </c>
      <c r="AJ310" s="822">
        <v>56512.9</v>
      </c>
      <c r="AK310" s="815">
        <v>0.18</v>
      </c>
      <c r="AL310" s="773">
        <v>10172.322</v>
      </c>
      <c r="AM310" s="822">
        <v>28256.45</v>
      </c>
      <c r="AN310" s="815">
        <v>0.18</v>
      </c>
      <c r="AO310" s="773">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21">
        <v>281372.3888921098</v>
      </c>
      <c r="D311" s="815">
        <v>0.26</v>
      </c>
      <c r="E311" s="760">
        <v>73156.82111194855</v>
      </c>
      <c r="F311" s="822">
        <v>13179.916827852619</v>
      </c>
      <c r="G311" s="815">
        <v>0.26</v>
      </c>
      <c r="H311" s="773">
        <v>3426.7783752416813</v>
      </c>
      <c r="I311" s="822">
        <v>13290.794540083845</v>
      </c>
      <c r="J311" s="815">
        <v>0.26</v>
      </c>
      <c r="K311" s="773">
        <v>3455.6065804217997</v>
      </c>
      <c r="L311" s="822">
        <v>18785.639084021841</v>
      </c>
      <c r="M311" s="815">
        <v>0.26</v>
      </c>
      <c r="N311" s="773">
        <v>4884.2661618456787</v>
      </c>
      <c r="O311" s="822">
        <v>34834.224999999999</v>
      </c>
      <c r="P311" s="815">
        <v>0.26</v>
      </c>
      <c r="Q311" s="773">
        <v>9056.8984999999993</v>
      </c>
      <c r="R311" s="822">
        <v>37647.974999999999</v>
      </c>
      <c r="S311" s="815">
        <v>0.26</v>
      </c>
      <c r="T311" s="773">
        <v>9788.4735000000001</v>
      </c>
      <c r="U311" s="822">
        <v>19580.108495676282</v>
      </c>
      <c r="V311" s="815">
        <v>0.26</v>
      </c>
      <c r="W311" s="773">
        <v>5090.8282088758333</v>
      </c>
      <c r="X311" s="822">
        <v>20709.2</v>
      </c>
      <c r="Y311" s="815">
        <v>0.26</v>
      </c>
      <c r="Z311" s="773">
        <v>5384.3920000000007</v>
      </c>
      <c r="AA311" s="822">
        <v>17707.008808983086</v>
      </c>
      <c r="AB311" s="815">
        <v>0.26</v>
      </c>
      <c r="AC311" s="773">
        <v>4603.8222903356027</v>
      </c>
      <c r="AD311" s="822">
        <v>14793.545385817324</v>
      </c>
      <c r="AE311" s="815">
        <v>0.26</v>
      </c>
      <c r="AF311" s="773">
        <v>3846.3218003125044</v>
      </c>
      <c r="AG311" s="822">
        <v>32217.4375</v>
      </c>
      <c r="AH311" s="815">
        <v>0.26</v>
      </c>
      <c r="AI311" s="773">
        <v>8376.5337500000005</v>
      </c>
      <c r="AJ311" s="822">
        <v>40489.862500000003</v>
      </c>
      <c r="AK311" s="815">
        <v>0.26</v>
      </c>
      <c r="AL311" s="773">
        <v>10527.364250000001</v>
      </c>
      <c r="AM311" s="822">
        <v>18136.675749674781</v>
      </c>
      <c r="AN311" s="815">
        <v>0.26</v>
      </c>
      <c r="AO311" s="773">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5">
        <v>5966058.0607394548</v>
      </c>
      <c r="D312" s="856">
        <v>0.2604114104347281</v>
      </c>
      <c r="E312" s="857">
        <v>1553629.5943326403</v>
      </c>
      <c r="F312" s="855">
        <v>381927.03529258043</v>
      </c>
      <c r="G312" s="856">
        <v>0.24582975464985155</v>
      </c>
      <c r="H312" s="857">
        <v>93889.029380120235</v>
      </c>
      <c r="I312" s="855">
        <v>341138.20602599933</v>
      </c>
      <c r="J312" s="856">
        <v>0.25493881837705773</v>
      </c>
      <c r="K312" s="857">
        <v>86969.371147537546</v>
      </c>
      <c r="L312" s="855">
        <v>446096.55197672994</v>
      </c>
      <c r="M312" s="856">
        <v>0.25552312076760753</v>
      </c>
      <c r="N312" s="857">
        <v>113987.98312476327</v>
      </c>
      <c r="O312" s="855">
        <v>592051.32035478181</v>
      </c>
      <c r="P312" s="856">
        <v>0.27180793017517652</v>
      </c>
      <c r="Q312" s="857">
        <v>160924.2439431136</v>
      </c>
      <c r="R312" s="855">
        <v>618939.05467688525</v>
      </c>
      <c r="S312" s="856">
        <v>0.272607966927426</v>
      </c>
      <c r="T312" s="857">
        <v>168727.71734744863</v>
      </c>
      <c r="U312" s="855">
        <v>493397.34451430355</v>
      </c>
      <c r="V312" s="856">
        <v>0.2572180170470984</v>
      </c>
      <c r="W312" s="857">
        <v>126910.6865722732</v>
      </c>
      <c r="X312" s="855">
        <v>485652.05880292185</v>
      </c>
      <c r="Y312" s="856">
        <v>0.25614157498440232</v>
      </c>
      <c r="Z312" s="857">
        <v>124395.68323619798</v>
      </c>
      <c r="AA312" s="855">
        <v>451342.41710015404</v>
      </c>
      <c r="AB312" s="856">
        <v>0.25523674397557705</v>
      </c>
      <c r="AC312" s="857">
        <v>115199.16895871013</v>
      </c>
      <c r="AD312" s="855">
        <v>422901.8612406904</v>
      </c>
      <c r="AE312" s="856">
        <v>0.2465884970561627</v>
      </c>
      <c r="AF312" s="857">
        <v>104282.73436559571</v>
      </c>
      <c r="AG312" s="855">
        <v>634500.74356524704</v>
      </c>
      <c r="AH312" s="856">
        <v>0.26514246997803004</v>
      </c>
      <c r="AI312" s="857">
        <v>168233.09435178625</v>
      </c>
      <c r="AJ312" s="855">
        <v>680726.51947651117</v>
      </c>
      <c r="AK312" s="856">
        <v>0.27200147601288638</v>
      </c>
      <c r="AL312" s="857">
        <v>185158.61805872587</v>
      </c>
      <c r="AM312" s="855">
        <v>417384.94771265151</v>
      </c>
      <c r="AN312" s="856">
        <v>0.2514495657342723</v>
      </c>
      <c r="AO312" s="857">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3868</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61">
        <v>5966058.0607394548</v>
      </c>
      <c r="D317" s="863">
        <v>0.2604114104347281</v>
      </c>
      <c r="E317" s="763">
        <v>1553629.5943326403</v>
      </c>
      <c r="F317" s="761">
        <v>381927.03529258043</v>
      </c>
      <c r="G317" s="863">
        <v>0.24582975464985155</v>
      </c>
      <c r="H317" s="763">
        <v>93889.029380120235</v>
      </c>
      <c r="I317" s="761">
        <v>341138.20602599933</v>
      </c>
      <c r="J317" s="863">
        <v>0.25493881837705773</v>
      </c>
      <c r="K317" s="763">
        <v>86969.371147537546</v>
      </c>
      <c r="L317" s="761">
        <v>446096.55197672994</v>
      </c>
      <c r="M317" s="863">
        <v>0.25552312076760753</v>
      </c>
      <c r="N317" s="763">
        <v>113987.98312476327</v>
      </c>
      <c r="O317" s="761">
        <v>592051.32035478181</v>
      </c>
      <c r="P317" s="863">
        <v>0.27180793017517652</v>
      </c>
      <c r="Q317" s="763">
        <v>160924.2439431136</v>
      </c>
      <c r="R317" s="761">
        <v>618939.05467688525</v>
      </c>
      <c r="S317" s="863">
        <v>0.272607966927426</v>
      </c>
      <c r="T317" s="763">
        <v>168727.71734744863</v>
      </c>
      <c r="U317" s="761">
        <v>493397.34451430355</v>
      </c>
      <c r="V317" s="863">
        <v>0.2572180170470984</v>
      </c>
      <c r="W317" s="763">
        <v>126910.6865722732</v>
      </c>
      <c r="X317" s="761">
        <v>485652.05880292185</v>
      </c>
      <c r="Y317" s="863">
        <v>0.25614157498440232</v>
      </c>
      <c r="Z317" s="763">
        <v>124395.68323619798</v>
      </c>
      <c r="AA317" s="761">
        <v>451342.41710015404</v>
      </c>
      <c r="AB317" s="863">
        <v>0.25523674397557705</v>
      </c>
      <c r="AC317" s="763">
        <v>115199.16895871013</v>
      </c>
      <c r="AD317" s="761">
        <v>422901.8612406904</v>
      </c>
      <c r="AE317" s="863">
        <v>0.2465884970561627</v>
      </c>
      <c r="AF317" s="763">
        <v>104282.73436559571</v>
      </c>
      <c r="AG317" s="761">
        <v>634500.74356524704</v>
      </c>
      <c r="AH317" s="863">
        <v>0.26514246997803004</v>
      </c>
      <c r="AI317" s="763">
        <v>168233.09435178625</v>
      </c>
      <c r="AJ317" s="761">
        <v>680726.51947651117</v>
      </c>
      <c r="AK317" s="863">
        <v>0.27200147601288638</v>
      </c>
      <c r="AL317" s="763">
        <v>185158.61805872587</v>
      </c>
      <c r="AM317" s="761">
        <v>417384.94771265151</v>
      </c>
      <c r="AN317" s="863">
        <v>0.2514495657342723</v>
      </c>
      <c r="AO317" s="763">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9"/>
      <c r="D321" s="759"/>
      <c r="E321" s="760">
        <v>83588.600000000006</v>
      </c>
      <c r="F321" s="749"/>
      <c r="G321" s="759"/>
      <c r="H321" s="773">
        <v>6564.9358974358984</v>
      </c>
      <c r="I321" s="749"/>
      <c r="J321" s="759"/>
      <c r="K321" s="773">
        <v>6564.9358974358984</v>
      </c>
      <c r="L321" s="749"/>
      <c r="M321" s="759"/>
      <c r="N321" s="773">
        <v>7767.2782051282065</v>
      </c>
      <c r="O321" s="749"/>
      <c r="P321" s="759"/>
      <c r="Q321" s="773">
        <v>6564.9358974358984</v>
      </c>
      <c r="R321" s="749"/>
      <c r="S321" s="759"/>
      <c r="T321" s="773">
        <v>7767.2782051282065</v>
      </c>
      <c r="U321" s="749"/>
      <c r="V321" s="759"/>
      <c r="W321" s="773">
        <v>6564.9358974358984</v>
      </c>
      <c r="X321" s="749"/>
      <c r="Y321" s="759"/>
      <c r="Z321" s="773">
        <v>6564.9358974358984</v>
      </c>
      <c r="AA321" s="749"/>
      <c r="AB321" s="759"/>
      <c r="AC321" s="773">
        <v>7767.2782051282065</v>
      </c>
      <c r="AD321" s="749"/>
      <c r="AE321" s="759"/>
      <c r="AF321" s="773">
        <v>6564.9358974358984</v>
      </c>
      <c r="AG321" s="749"/>
      <c r="AH321" s="759"/>
      <c r="AI321" s="773">
        <v>6564.9358974358984</v>
      </c>
      <c r="AJ321" s="749"/>
      <c r="AK321" s="759"/>
      <c r="AL321" s="773">
        <v>7767.2782051282065</v>
      </c>
      <c r="AM321" s="749"/>
      <c r="AN321" s="759"/>
      <c r="AO321" s="773">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9"/>
      <c r="D322" s="759"/>
      <c r="E322" s="760">
        <v>344059.10399999999</v>
      </c>
      <c r="F322" s="749"/>
      <c r="G322" s="759"/>
      <c r="H322" s="773">
        <v>26566.084923076924</v>
      </c>
      <c r="I322" s="749"/>
      <c r="J322" s="759"/>
      <c r="K322" s="773">
        <v>26566.084923076924</v>
      </c>
      <c r="L322" s="749"/>
      <c r="M322" s="759"/>
      <c r="N322" s="773">
        <v>32882.606153846158</v>
      </c>
      <c r="O322" s="749"/>
      <c r="P322" s="759"/>
      <c r="Q322" s="773">
        <v>26566.084923076924</v>
      </c>
      <c r="R322" s="749"/>
      <c r="S322" s="759"/>
      <c r="T322" s="773">
        <v>32882.606153846158</v>
      </c>
      <c r="U322" s="749"/>
      <c r="V322" s="759"/>
      <c r="W322" s="773">
        <v>26566.084923076924</v>
      </c>
      <c r="X322" s="749"/>
      <c r="Y322" s="759"/>
      <c r="Z322" s="773">
        <v>26566.084923076924</v>
      </c>
      <c r="AA322" s="749"/>
      <c r="AB322" s="759"/>
      <c r="AC322" s="773">
        <v>32882.606153846158</v>
      </c>
      <c r="AD322" s="749"/>
      <c r="AE322" s="759"/>
      <c r="AF322" s="773">
        <v>26566.084923076924</v>
      </c>
      <c r="AG322" s="749"/>
      <c r="AH322" s="759"/>
      <c r="AI322" s="773">
        <v>26566.084923076924</v>
      </c>
      <c r="AJ322" s="749"/>
      <c r="AK322" s="759"/>
      <c r="AL322" s="773">
        <v>32882.606153846158</v>
      </c>
      <c r="AM322" s="749"/>
      <c r="AN322" s="759"/>
      <c r="AO322" s="773">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2"/>
      <c r="D323" s="783"/>
      <c r="E323" s="784">
        <v>1823.2000000000005</v>
      </c>
      <c r="F323" s="782"/>
      <c r="G323" s="783"/>
      <c r="H323" s="785">
        <v>140.24615384615385</v>
      </c>
      <c r="I323" s="782"/>
      <c r="J323" s="783"/>
      <c r="K323" s="785">
        <v>140.24615384615385</v>
      </c>
      <c r="L323" s="782"/>
      <c r="M323" s="783"/>
      <c r="N323" s="785">
        <v>175.30769230769232</v>
      </c>
      <c r="O323" s="782"/>
      <c r="P323" s="783"/>
      <c r="Q323" s="785">
        <v>140.24615384615385</v>
      </c>
      <c r="R323" s="782"/>
      <c r="S323" s="783"/>
      <c r="T323" s="785">
        <v>175.30769230769232</v>
      </c>
      <c r="U323" s="782"/>
      <c r="V323" s="783"/>
      <c r="W323" s="785">
        <v>140.24615384615385</v>
      </c>
      <c r="X323" s="782"/>
      <c r="Y323" s="783"/>
      <c r="Z323" s="785">
        <v>140.24615384615385</v>
      </c>
      <c r="AA323" s="782"/>
      <c r="AB323" s="783"/>
      <c r="AC323" s="785">
        <v>175.30769230769232</v>
      </c>
      <c r="AD323" s="782"/>
      <c r="AE323" s="783"/>
      <c r="AF323" s="785">
        <v>140.24615384615385</v>
      </c>
      <c r="AG323" s="782"/>
      <c r="AH323" s="783"/>
      <c r="AI323" s="785">
        <v>140.24615384615385</v>
      </c>
      <c r="AJ323" s="782"/>
      <c r="AK323" s="783"/>
      <c r="AL323" s="785">
        <v>175.30769230769232</v>
      </c>
      <c r="AM323" s="782"/>
      <c r="AN323" s="783"/>
      <c r="AO323" s="785">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9"/>
      <c r="D328" s="759"/>
      <c r="E328" s="760">
        <v>52678.040404000007</v>
      </c>
      <c r="F328" s="749"/>
      <c r="G328" s="759"/>
      <c r="H328" s="773">
        <v>4086.0378682564101</v>
      </c>
      <c r="I328" s="749"/>
      <c r="J328" s="759"/>
      <c r="K328" s="773">
        <v>4086.0378682564101</v>
      </c>
      <c r="L328" s="749"/>
      <c r="M328" s="759"/>
      <c r="N328" s="773">
        <v>4997.4343644871806</v>
      </c>
      <c r="O328" s="749"/>
      <c r="P328" s="759"/>
      <c r="Q328" s="773">
        <v>4086.0378682564101</v>
      </c>
      <c r="R328" s="749"/>
      <c r="S328" s="759"/>
      <c r="T328" s="773">
        <v>4997.4343644871806</v>
      </c>
      <c r="U328" s="749"/>
      <c r="V328" s="759"/>
      <c r="W328" s="773">
        <v>4086.0378682564101</v>
      </c>
      <c r="X328" s="749"/>
      <c r="Y328" s="759"/>
      <c r="Z328" s="773">
        <v>4086.0378682564101</v>
      </c>
      <c r="AA328" s="749"/>
      <c r="AB328" s="759"/>
      <c r="AC328" s="773">
        <v>4997.4343644871806</v>
      </c>
      <c r="AD328" s="749"/>
      <c r="AE328" s="759"/>
      <c r="AF328" s="773">
        <v>4086.0378682564101</v>
      </c>
      <c r="AG328" s="749"/>
      <c r="AH328" s="759"/>
      <c r="AI328" s="773">
        <v>4086.0378682564101</v>
      </c>
      <c r="AJ328" s="749"/>
      <c r="AK328" s="759"/>
      <c r="AL328" s="773">
        <v>4997.4343644871806</v>
      </c>
      <c r="AM328" s="749"/>
      <c r="AN328" s="759"/>
      <c r="AO328" s="773">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2"/>
      <c r="D329" s="783"/>
      <c r="E329" s="784">
        <v>64049.071151999997</v>
      </c>
      <c r="F329" s="782"/>
      <c r="G329" s="783"/>
      <c r="H329" s="785">
        <v>4968.0460424615385</v>
      </c>
      <c r="I329" s="782"/>
      <c r="J329" s="783"/>
      <c r="K329" s="785">
        <v>4968.0460424615385</v>
      </c>
      <c r="L329" s="782"/>
      <c r="M329" s="783"/>
      <c r="N329" s="785">
        <v>6076.175703076924</v>
      </c>
      <c r="O329" s="782"/>
      <c r="P329" s="783"/>
      <c r="Q329" s="785">
        <v>4968.0460424615385</v>
      </c>
      <c r="R329" s="782"/>
      <c r="S329" s="783"/>
      <c r="T329" s="785">
        <v>6076.175703076924</v>
      </c>
      <c r="U329" s="782"/>
      <c r="V329" s="783"/>
      <c r="W329" s="785">
        <v>4968.0460424615385</v>
      </c>
      <c r="X329" s="782"/>
      <c r="Y329" s="783"/>
      <c r="Z329" s="785">
        <v>4968.0460424615385</v>
      </c>
      <c r="AA329" s="782"/>
      <c r="AB329" s="783"/>
      <c r="AC329" s="785">
        <v>6076.175703076924</v>
      </c>
      <c r="AD329" s="782"/>
      <c r="AE329" s="783"/>
      <c r="AF329" s="785">
        <v>4968.0460424615385</v>
      </c>
      <c r="AG329" s="782"/>
      <c r="AH329" s="783"/>
      <c r="AI329" s="785">
        <v>4968.0460424615385</v>
      </c>
      <c r="AJ329" s="782"/>
      <c r="AK329" s="783"/>
      <c r="AL329" s="785">
        <v>6076.175703076924</v>
      </c>
      <c r="AM329" s="782"/>
      <c r="AN329" s="783"/>
      <c r="AO329" s="785">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9"/>
      <c r="D330" s="759"/>
      <c r="E330" s="760">
        <v>32999.195354399999</v>
      </c>
      <c r="F330" s="749"/>
      <c r="G330" s="759"/>
      <c r="H330" s="773">
        <v>2559.6237218769229</v>
      </c>
      <c r="I330" s="749"/>
      <c r="J330" s="759"/>
      <c r="K330" s="773">
        <v>2559.6237218769229</v>
      </c>
      <c r="L330" s="749"/>
      <c r="M330" s="759"/>
      <c r="N330" s="773">
        <v>3130.5513948461539</v>
      </c>
      <c r="O330" s="749"/>
      <c r="P330" s="759"/>
      <c r="Q330" s="773">
        <v>2559.6237218769229</v>
      </c>
      <c r="R330" s="749"/>
      <c r="S330" s="759"/>
      <c r="T330" s="773">
        <v>3130.5513948461539</v>
      </c>
      <c r="U330" s="749"/>
      <c r="V330" s="759"/>
      <c r="W330" s="773">
        <v>2559.6237218769229</v>
      </c>
      <c r="X330" s="749"/>
      <c r="Y330" s="759"/>
      <c r="Z330" s="773">
        <v>2559.6237218769229</v>
      </c>
      <c r="AA330" s="749"/>
      <c r="AB330" s="759"/>
      <c r="AC330" s="773">
        <v>3130.5513948461539</v>
      </c>
      <c r="AD330" s="749"/>
      <c r="AE330" s="759"/>
      <c r="AF330" s="773">
        <v>2559.6237218769229</v>
      </c>
      <c r="AG330" s="749"/>
      <c r="AH330" s="759"/>
      <c r="AI330" s="773">
        <v>2559.6237218769229</v>
      </c>
      <c r="AJ330" s="749"/>
      <c r="AK330" s="759"/>
      <c r="AL330" s="773">
        <v>3130.5513948461539</v>
      </c>
      <c r="AM330" s="749"/>
      <c r="AN330" s="759"/>
      <c r="AO330" s="773">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9"/>
      <c r="D331" s="759"/>
      <c r="E331" s="760">
        <v>14387.834824000001</v>
      </c>
      <c r="F331" s="749"/>
      <c r="G331" s="759"/>
      <c r="H331" s="773">
        <v>1116.0103428717948</v>
      </c>
      <c r="I331" s="749"/>
      <c r="J331" s="759"/>
      <c r="K331" s="773">
        <v>1116.0103428717948</v>
      </c>
      <c r="L331" s="749"/>
      <c r="M331" s="759"/>
      <c r="N331" s="773">
        <v>1364.9380202564105</v>
      </c>
      <c r="O331" s="749"/>
      <c r="P331" s="759"/>
      <c r="Q331" s="773">
        <v>1116.0103428717948</v>
      </c>
      <c r="R331" s="749"/>
      <c r="S331" s="759"/>
      <c r="T331" s="773">
        <v>1364.9380202564105</v>
      </c>
      <c r="U331" s="749"/>
      <c r="V331" s="759"/>
      <c r="W331" s="773">
        <v>1116.0103428717948</v>
      </c>
      <c r="X331" s="749"/>
      <c r="Y331" s="759"/>
      <c r="Z331" s="773">
        <v>1116.0103428717948</v>
      </c>
      <c r="AA331" s="749"/>
      <c r="AB331" s="759"/>
      <c r="AC331" s="773">
        <v>1364.9380202564105</v>
      </c>
      <c r="AD331" s="749"/>
      <c r="AE331" s="759"/>
      <c r="AF331" s="773">
        <v>1116.0103428717948</v>
      </c>
      <c r="AG331" s="749"/>
      <c r="AH331" s="759"/>
      <c r="AI331" s="773">
        <v>1116.0103428717948</v>
      </c>
      <c r="AJ331" s="749"/>
      <c r="AK331" s="759"/>
      <c r="AL331" s="773">
        <v>1364.9380202564105</v>
      </c>
      <c r="AM331" s="749"/>
      <c r="AN331" s="759"/>
      <c r="AO331" s="773">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8"/>
      <c r="D332" s="786"/>
      <c r="E332" s="776">
        <v>0</v>
      </c>
      <c r="F332" s="778"/>
      <c r="G332" s="786"/>
      <c r="H332" s="776">
        <v>0</v>
      </c>
      <c r="I332" s="778"/>
      <c r="J332" s="786"/>
      <c r="K332" s="776">
        <v>0</v>
      </c>
      <c r="L332" s="778"/>
      <c r="M332" s="786"/>
      <c r="N332" s="776">
        <v>0</v>
      </c>
      <c r="O332" s="778"/>
      <c r="P332" s="786"/>
      <c r="Q332" s="776">
        <v>0</v>
      </c>
      <c r="R332" s="778"/>
      <c r="S332" s="786"/>
      <c r="T332" s="776">
        <v>0</v>
      </c>
      <c r="U332" s="778"/>
      <c r="V332" s="786"/>
      <c r="W332" s="776">
        <v>0</v>
      </c>
      <c r="X332" s="778"/>
      <c r="Y332" s="786"/>
      <c r="Z332" s="776">
        <v>0</v>
      </c>
      <c r="AA332" s="778"/>
      <c r="AB332" s="786"/>
      <c r="AC332" s="776">
        <v>0</v>
      </c>
      <c r="AD332" s="778"/>
      <c r="AE332" s="786"/>
      <c r="AF332" s="776">
        <v>0</v>
      </c>
      <c r="AG332" s="778"/>
      <c r="AH332" s="786"/>
      <c r="AI332" s="776">
        <v>0</v>
      </c>
      <c r="AJ332" s="778"/>
      <c r="AK332" s="786"/>
      <c r="AL332" s="776">
        <v>0</v>
      </c>
      <c r="AM332" s="778"/>
      <c r="AN332" s="786"/>
      <c r="AO332" s="776">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9" t="s">
        <v>119</v>
      </c>
      <c r="D333" s="780">
        <v>0.3820634261214455</v>
      </c>
      <c r="E333" s="781">
        <v>593585.04573440005</v>
      </c>
      <c r="F333" s="779" t="s">
        <v>119</v>
      </c>
      <c r="G333" s="780">
        <v>0.48995058585157492</v>
      </c>
      <c r="H333" s="781">
        <v>46000.984949825637</v>
      </c>
      <c r="I333" s="779" t="s">
        <v>119</v>
      </c>
      <c r="J333" s="780">
        <v>0.5289331674226796</v>
      </c>
      <c r="K333" s="781">
        <v>46000.984949825637</v>
      </c>
      <c r="L333" s="779" t="s">
        <v>119</v>
      </c>
      <c r="M333" s="780">
        <v>0.4947389188579947</v>
      </c>
      <c r="N333" s="781">
        <v>56394.291533948723</v>
      </c>
      <c r="O333" s="779" t="s">
        <v>119</v>
      </c>
      <c r="P333" s="780">
        <v>0.28585490801551872</v>
      </c>
      <c r="Q333" s="781">
        <v>46000.984949825637</v>
      </c>
      <c r="R333" s="779" t="s">
        <v>119</v>
      </c>
      <c r="S333" s="780">
        <v>0.33423252812589227</v>
      </c>
      <c r="T333" s="781">
        <v>56394.291533948723</v>
      </c>
      <c r="U333" s="779" t="s">
        <v>119</v>
      </c>
      <c r="V333" s="780">
        <v>0.36246738704410802</v>
      </c>
      <c r="W333" s="781">
        <v>46000.984949825637</v>
      </c>
      <c r="X333" s="779" t="s">
        <v>119</v>
      </c>
      <c r="Y333" s="780">
        <v>0.36979566937608799</v>
      </c>
      <c r="Z333" s="781">
        <v>46000.984949825637</v>
      </c>
      <c r="AA333" s="779" t="s">
        <v>119</v>
      </c>
      <c r="AB333" s="780">
        <v>0.48953731214989626</v>
      </c>
      <c r="AC333" s="781">
        <v>56394.291533948723</v>
      </c>
      <c r="AD333" s="779" t="s">
        <v>119</v>
      </c>
      <c r="AE333" s="780">
        <v>0.4411179398936243</v>
      </c>
      <c r="AF333" s="781">
        <v>46000.984949825637</v>
      </c>
      <c r="AG333" s="779" t="s">
        <v>119</v>
      </c>
      <c r="AH333" s="780">
        <v>0.27343600334447044</v>
      </c>
      <c r="AI333" s="781">
        <v>46000.984949825637</v>
      </c>
      <c r="AJ333" s="779" t="s">
        <v>119</v>
      </c>
      <c r="AK333" s="780">
        <v>0.30457286906333692</v>
      </c>
      <c r="AL333" s="781">
        <v>56394.291533948723</v>
      </c>
      <c r="AM333" s="779" t="s">
        <v>119</v>
      </c>
      <c r="AN333" s="780">
        <v>0.43830806094115943</v>
      </c>
      <c r="AO333" s="781">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9"/>
      <c r="D334" s="759"/>
      <c r="E334" s="760">
        <v>53418.817641249982</v>
      </c>
      <c r="F334" s="749"/>
      <c r="G334" s="759"/>
      <c r="H334" s="773">
        <v>4451.5681367708321</v>
      </c>
      <c r="I334" s="749"/>
      <c r="J334" s="759"/>
      <c r="K334" s="773">
        <v>4451.5681367708321</v>
      </c>
      <c r="L334" s="749"/>
      <c r="M334" s="759"/>
      <c r="N334" s="773">
        <v>4451.5681367708321</v>
      </c>
      <c r="O334" s="749"/>
      <c r="P334" s="759"/>
      <c r="Q334" s="773">
        <v>4451.5681367708321</v>
      </c>
      <c r="R334" s="749"/>
      <c r="S334" s="759"/>
      <c r="T334" s="773">
        <v>4451.5681367708321</v>
      </c>
      <c r="U334" s="749"/>
      <c r="V334" s="759"/>
      <c r="W334" s="773">
        <v>4451.5681367708321</v>
      </c>
      <c r="X334" s="749"/>
      <c r="Y334" s="759"/>
      <c r="Z334" s="773">
        <v>4451.5681367708321</v>
      </c>
      <c r="AA334" s="749"/>
      <c r="AB334" s="759"/>
      <c r="AC334" s="773">
        <v>4451.5681367708321</v>
      </c>
      <c r="AD334" s="749"/>
      <c r="AE334" s="759"/>
      <c r="AF334" s="773">
        <v>4451.5681367708321</v>
      </c>
      <c r="AG334" s="749"/>
      <c r="AH334" s="759"/>
      <c r="AI334" s="773">
        <v>4451.5681367708321</v>
      </c>
      <c r="AJ334" s="749"/>
      <c r="AK334" s="759"/>
      <c r="AL334" s="773">
        <v>4451.5681367708321</v>
      </c>
      <c r="AM334" s="749"/>
      <c r="AN334" s="759"/>
      <c r="AO334" s="773">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9"/>
      <c r="D335" s="759"/>
      <c r="E335" s="760">
        <v>17817.196877697435</v>
      </c>
      <c r="F335" s="749"/>
      <c r="G335" s="759"/>
      <c r="H335" s="773">
        <v>1484.7664064747862</v>
      </c>
      <c r="I335" s="749"/>
      <c r="J335" s="759"/>
      <c r="K335" s="773">
        <v>1484.7664064747862</v>
      </c>
      <c r="L335" s="749"/>
      <c r="M335" s="759"/>
      <c r="N335" s="773">
        <v>1484.7664064747862</v>
      </c>
      <c r="O335" s="749"/>
      <c r="P335" s="759"/>
      <c r="Q335" s="773">
        <v>1484.7664064747862</v>
      </c>
      <c r="R335" s="749"/>
      <c r="S335" s="759"/>
      <c r="T335" s="773">
        <v>1484.7664064747862</v>
      </c>
      <c r="U335" s="749"/>
      <c r="V335" s="759"/>
      <c r="W335" s="773">
        <v>1484.7664064747862</v>
      </c>
      <c r="X335" s="749"/>
      <c r="Y335" s="759"/>
      <c r="Z335" s="773">
        <v>1484.7664064747862</v>
      </c>
      <c r="AA335" s="749"/>
      <c r="AB335" s="759"/>
      <c r="AC335" s="773">
        <v>1484.7664064747862</v>
      </c>
      <c r="AD335" s="749"/>
      <c r="AE335" s="759"/>
      <c r="AF335" s="773">
        <v>1484.7664064747862</v>
      </c>
      <c r="AG335" s="749"/>
      <c r="AH335" s="759"/>
      <c r="AI335" s="773">
        <v>1484.7664064747862</v>
      </c>
      <c r="AJ335" s="749"/>
      <c r="AK335" s="759"/>
      <c r="AL335" s="773">
        <v>1484.7664064747862</v>
      </c>
      <c r="AM335" s="749"/>
      <c r="AN335" s="759"/>
      <c r="AO335" s="773">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8"/>
      <c r="D336" s="786"/>
      <c r="E336" s="776">
        <v>13000.000000000002</v>
      </c>
      <c r="F336" s="778"/>
      <c r="G336" s="786"/>
      <c r="H336" s="777">
        <v>1083.3333333333333</v>
      </c>
      <c r="I336" s="778"/>
      <c r="J336" s="786"/>
      <c r="K336" s="777">
        <v>1083.3333333333333</v>
      </c>
      <c r="L336" s="778"/>
      <c r="M336" s="786"/>
      <c r="N336" s="777">
        <v>1083.3333333333333</v>
      </c>
      <c r="O336" s="778"/>
      <c r="P336" s="786"/>
      <c r="Q336" s="777">
        <v>1083.3333333333333</v>
      </c>
      <c r="R336" s="778"/>
      <c r="S336" s="786"/>
      <c r="T336" s="777">
        <v>1083.3333333333333</v>
      </c>
      <c r="U336" s="778"/>
      <c r="V336" s="786"/>
      <c r="W336" s="777">
        <v>1083.3333333333333</v>
      </c>
      <c r="X336" s="778"/>
      <c r="Y336" s="786"/>
      <c r="Z336" s="777">
        <v>1083.3333333333333</v>
      </c>
      <c r="AA336" s="778"/>
      <c r="AB336" s="786"/>
      <c r="AC336" s="777">
        <v>1083.3333333333333</v>
      </c>
      <c r="AD336" s="778"/>
      <c r="AE336" s="786"/>
      <c r="AF336" s="777">
        <v>1083.3333333333333</v>
      </c>
      <c r="AG336" s="778"/>
      <c r="AH336" s="786"/>
      <c r="AI336" s="777">
        <v>1083.3333333333333</v>
      </c>
      <c r="AJ336" s="778"/>
      <c r="AK336" s="786"/>
      <c r="AL336" s="777">
        <v>1083.3333333333333</v>
      </c>
      <c r="AM336" s="778"/>
      <c r="AN336" s="786"/>
      <c r="AO336" s="777">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9"/>
      <c r="D337" s="759"/>
      <c r="E337" s="760">
        <v>45707.228433333337</v>
      </c>
      <c r="F337" s="749"/>
      <c r="G337" s="759"/>
      <c r="H337" s="773">
        <v>3808.9357027777774</v>
      </c>
      <c r="I337" s="749"/>
      <c r="J337" s="759"/>
      <c r="K337" s="773">
        <v>3808.9357027777774</v>
      </c>
      <c r="L337" s="749"/>
      <c r="M337" s="759"/>
      <c r="N337" s="773">
        <v>3808.9357027777774</v>
      </c>
      <c r="O337" s="749"/>
      <c r="P337" s="759"/>
      <c r="Q337" s="773">
        <v>3808.9357027777774</v>
      </c>
      <c r="R337" s="749"/>
      <c r="S337" s="759"/>
      <c r="T337" s="773">
        <v>3808.9357027777774</v>
      </c>
      <c r="U337" s="749"/>
      <c r="V337" s="759"/>
      <c r="W337" s="773">
        <v>3808.9357027777774</v>
      </c>
      <c r="X337" s="749"/>
      <c r="Y337" s="759"/>
      <c r="Z337" s="773">
        <v>3808.9357027777774</v>
      </c>
      <c r="AA337" s="749"/>
      <c r="AB337" s="759"/>
      <c r="AC337" s="773">
        <v>3808.9357027777774</v>
      </c>
      <c r="AD337" s="749"/>
      <c r="AE337" s="759"/>
      <c r="AF337" s="773">
        <v>3808.9357027777774</v>
      </c>
      <c r="AG337" s="749"/>
      <c r="AH337" s="759"/>
      <c r="AI337" s="773">
        <v>3808.9357027777774</v>
      </c>
      <c r="AJ337" s="749"/>
      <c r="AK337" s="759"/>
      <c r="AL337" s="773">
        <v>3808.9357027777774</v>
      </c>
      <c r="AM337" s="749"/>
      <c r="AN337" s="759"/>
      <c r="AO337" s="773">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9"/>
      <c r="D338" s="759"/>
      <c r="E338" s="760">
        <v>8227.4459603579617</v>
      </c>
      <c r="F338" s="749"/>
      <c r="G338" s="759"/>
      <c r="H338" s="773">
        <v>685.62049669649684</v>
      </c>
      <c r="I338" s="749"/>
      <c r="J338" s="759"/>
      <c r="K338" s="773">
        <v>685.62049669649684</v>
      </c>
      <c r="L338" s="749"/>
      <c r="M338" s="759"/>
      <c r="N338" s="773">
        <v>685.62049669649684</v>
      </c>
      <c r="O338" s="749"/>
      <c r="P338" s="759"/>
      <c r="Q338" s="773">
        <v>685.62049669649684</v>
      </c>
      <c r="R338" s="749"/>
      <c r="S338" s="759"/>
      <c r="T338" s="773">
        <v>685.62049669649684</v>
      </c>
      <c r="U338" s="749"/>
      <c r="V338" s="759"/>
      <c r="W338" s="773">
        <v>685.62049669649684</v>
      </c>
      <c r="X338" s="749"/>
      <c r="Y338" s="759"/>
      <c r="Z338" s="773">
        <v>685.62049669649684</v>
      </c>
      <c r="AA338" s="749"/>
      <c r="AB338" s="759"/>
      <c r="AC338" s="773">
        <v>685.62049669649684</v>
      </c>
      <c r="AD338" s="749"/>
      <c r="AE338" s="759"/>
      <c r="AF338" s="773">
        <v>685.62049669649684</v>
      </c>
      <c r="AG338" s="749"/>
      <c r="AH338" s="759"/>
      <c r="AI338" s="773">
        <v>685.62049669649684</v>
      </c>
      <c r="AJ338" s="749"/>
      <c r="AK338" s="759"/>
      <c r="AL338" s="773">
        <v>685.62049669649684</v>
      </c>
      <c r="AM338" s="749"/>
      <c r="AN338" s="759"/>
      <c r="AO338" s="773">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8"/>
      <c r="D339" s="786"/>
      <c r="E339" s="776">
        <v>149001.93300638889</v>
      </c>
      <c r="F339" s="778"/>
      <c r="G339" s="786"/>
      <c r="H339" s="777">
        <v>12416.827750532408</v>
      </c>
      <c r="I339" s="778"/>
      <c r="J339" s="786"/>
      <c r="K339" s="777">
        <v>12416.827750532408</v>
      </c>
      <c r="L339" s="778"/>
      <c r="M339" s="786"/>
      <c r="N339" s="777">
        <v>12416.827750532408</v>
      </c>
      <c r="O339" s="778"/>
      <c r="P339" s="786"/>
      <c r="Q339" s="777">
        <v>12416.827750532408</v>
      </c>
      <c r="R339" s="778"/>
      <c r="S339" s="786"/>
      <c r="T339" s="777">
        <v>12416.827750532408</v>
      </c>
      <c r="U339" s="778"/>
      <c r="V339" s="786"/>
      <c r="W339" s="777">
        <v>12416.827750532408</v>
      </c>
      <c r="X339" s="778"/>
      <c r="Y339" s="786"/>
      <c r="Z339" s="777">
        <v>12416.827750532408</v>
      </c>
      <c r="AA339" s="778"/>
      <c r="AB339" s="786"/>
      <c r="AC339" s="777">
        <v>12416.827750532408</v>
      </c>
      <c r="AD339" s="778"/>
      <c r="AE339" s="786"/>
      <c r="AF339" s="777">
        <v>12416.827750532408</v>
      </c>
      <c r="AG339" s="778"/>
      <c r="AH339" s="786"/>
      <c r="AI339" s="777">
        <v>12416.827750532408</v>
      </c>
      <c r="AJ339" s="778"/>
      <c r="AK339" s="786"/>
      <c r="AL339" s="777">
        <v>12416.827750532408</v>
      </c>
      <c r="AM339" s="778"/>
      <c r="AN339" s="786"/>
      <c r="AO339" s="777">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9"/>
      <c r="D341" s="759"/>
      <c r="E341" s="760">
        <v>1500</v>
      </c>
      <c r="F341" s="749"/>
      <c r="G341" s="759"/>
      <c r="H341" s="773">
        <v>125</v>
      </c>
      <c r="I341" s="749"/>
      <c r="J341" s="759"/>
      <c r="K341" s="773">
        <v>125</v>
      </c>
      <c r="L341" s="749"/>
      <c r="M341" s="759"/>
      <c r="N341" s="773">
        <v>125</v>
      </c>
      <c r="O341" s="749"/>
      <c r="P341" s="759"/>
      <c r="Q341" s="773">
        <v>125</v>
      </c>
      <c r="R341" s="749"/>
      <c r="S341" s="759"/>
      <c r="T341" s="773">
        <v>125</v>
      </c>
      <c r="U341" s="749"/>
      <c r="V341" s="759"/>
      <c r="W341" s="773">
        <v>125</v>
      </c>
      <c r="X341" s="749"/>
      <c r="Y341" s="759"/>
      <c r="Z341" s="773">
        <v>125</v>
      </c>
      <c r="AA341" s="749"/>
      <c r="AB341" s="759"/>
      <c r="AC341" s="773">
        <v>125</v>
      </c>
      <c r="AD341" s="749"/>
      <c r="AE341" s="759"/>
      <c r="AF341" s="773">
        <v>125</v>
      </c>
      <c r="AG341" s="749"/>
      <c r="AH341" s="759"/>
      <c r="AI341" s="773">
        <v>125</v>
      </c>
      <c r="AJ341" s="749"/>
      <c r="AK341" s="759"/>
      <c r="AL341" s="773">
        <v>125</v>
      </c>
      <c r="AM341" s="749"/>
      <c r="AN341" s="759"/>
      <c r="AO341" s="773">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9"/>
      <c r="D342" s="759"/>
      <c r="E342" s="760">
        <v>1000.0000000000001</v>
      </c>
      <c r="F342" s="749"/>
      <c r="G342" s="759"/>
      <c r="H342" s="773">
        <v>83.333333333333329</v>
      </c>
      <c r="I342" s="749"/>
      <c r="J342" s="759"/>
      <c r="K342" s="773">
        <v>83.333333333333329</v>
      </c>
      <c r="L342" s="749"/>
      <c r="M342" s="759"/>
      <c r="N342" s="773">
        <v>83.333333333333329</v>
      </c>
      <c r="O342" s="749"/>
      <c r="P342" s="759"/>
      <c r="Q342" s="773">
        <v>83.333333333333329</v>
      </c>
      <c r="R342" s="749"/>
      <c r="S342" s="759"/>
      <c r="T342" s="773">
        <v>83.333333333333329</v>
      </c>
      <c r="U342" s="749"/>
      <c r="V342" s="759"/>
      <c r="W342" s="773">
        <v>83.333333333333329</v>
      </c>
      <c r="X342" s="749"/>
      <c r="Y342" s="759"/>
      <c r="Z342" s="773">
        <v>83.333333333333329</v>
      </c>
      <c r="AA342" s="749"/>
      <c r="AB342" s="759"/>
      <c r="AC342" s="773">
        <v>83.333333333333329</v>
      </c>
      <c r="AD342" s="749"/>
      <c r="AE342" s="759"/>
      <c r="AF342" s="773">
        <v>83.333333333333329</v>
      </c>
      <c r="AG342" s="749"/>
      <c r="AH342" s="759"/>
      <c r="AI342" s="773">
        <v>83.333333333333329</v>
      </c>
      <c r="AJ342" s="749"/>
      <c r="AK342" s="759"/>
      <c r="AL342" s="773">
        <v>83.333333333333329</v>
      </c>
      <c r="AM342" s="749"/>
      <c r="AN342" s="759"/>
      <c r="AO342" s="773">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9"/>
      <c r="D343" s="759"/>
      <c r="E343" s="760">
        <v>7415.4351746999992</v>
      </c>
      <c r="F343" s="749"/>
      <c r="G343" s="759"/>
      <c r="H343" s="773">
        <v>617.95293122500004</v>
      </c>
      <c r="I343" s="749"/>
      <c r="J343" s="759"/>
      <c r="K343" s="773">
        <v>617.95293122500004</v>
      </c>
      <c r="L343" s="749"/>
      <c r="M343" s="759"/>
      <c r="N343" s="773">
        <v>617.95293122500004</v>
      </c>
      <c r="O343" s="749"/>
      <c r="P343" s="759"/>
      <c r="Q343" s="773">
        <v>617.95293122500004</v>
      </c>
      <c r="R343" s="749"/>
      <c r="S343" s="759"/>
      <c r="T343" s="773">
        <v>617.95293122500004</v>
      </c>
      <c r="U343" s="749"/>
      <c r="V343" s="759"/>
      <c r="W343" s="773">
        <v>617.95293122500004</v>
      </c>
      <c r="X343" s="749"/>
      <c r="Y343" s="759"/>
      <c r="Z343" s="773">
        <v>617.95293122500004</v>
      </c>
      <c r="AA343" s="749"/>
      <c r="AB343" s="759"/>
      <c r="AC343" s="773">
        <v>617.95293122500004</v>
      </c>
      <c r="AD343" s="749"/>
      <c r="AE343" s="759"/>
      <c r="AF343" s="773">
        <v>617.95293122500004</v>
      </c>
      <c r="AG343" s="749"/>
      <c r="AH343" s="759"/>
      <c r="AI343" s="773">
        <v>617.95293122500004</v>
      </c>
      <c r="AJ343" s="749"/>
      <c r="AK343" s="759"/>
      <c r="AL343" s="773">
        <v>617.95293122500004</v>
      </c>
      <c r="AM343" s="749"/>
      <c r="AN343" s="759"/>
      <c r="AO343" s="773">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9"/>
      <c r="D344" s="759"/>
      <c r="E344" s="760">
        <v>1576.2985973708335</v>
      </c>
      <c r="F344" s="749"/>
      <c r="G344" s="759"/>
      <c r="H344" s="773">
        <v>131.35821644756945</v>
      </c>
      <c r="I344" s="749"/>
      <c r="J344" s="759"/>
      <c r="K344" s="773">
        <v>131.35821644756945</v>
      </c>
      <c r="L344" s="749"/>
      <c r="M344" s="759"/>
      <c r="N344" s="773">
        <v>131.35821644756945</v>
      </c>
      <c r="O344" s="749"/>
      <c r="P344" s="759"/>
      <c r="Q344" s="773">
        <v>131.35821644756945</v>
      </c>
      <c r="R344" s="749"/>
      <c r="S344" s="759"/>
      <c r="T344" s="773">
        <v>131.35821644756945</v>
      </c>
      <c r="U344" s="749"/>
      <c r="V344" s="759"/>
      <c r="W344" s="773">
        <v>131.35821644756945</v>
      </c>
      <c r="X344" s="749"/>
      <c r="Y344" s="759"/>
      <c r="Z344" s="773">
        <v>131.35821644756945</v>
      </c>
      <c r="AA344" s="749"/>
      <c r="AB344" s="759"/>
      <c r="AC344" s="773">
        <v>131.35821644756945</v>
      </c>
      <c r="AD344" s="749"/>
      <c r="AE344" s="759"/>
      <c r="AF344" s="773">
        <v>131.35821644756945</v>
      </c>
      <c r="AG344" s="749"/>
      <c r="AH344" s="759"/>
      <c r="AI344" s="773">
        <v>131.35821644756945</v>
      </c>
      <c r="AJ344" s="749"/>
      <c r="AK344" s="759"/>
      <c r="AL344" s="773">
        <v>131.35821644756945</v>
      </c>
      <c r="AM344" s="749"/>
      <c r="AN344" s="759"/>
      <c r="AO344" s="773">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9"/>
      <c r="D345" s="759"/>
      <c r="E345" s="760">
        <v>1923.5577366291664</v>
      </c>
      <c r="F345" s="749"/>
      <c r="G345" s="759"/>
      <c r="H345" s="773">
        <v>160.29647805243053</v>
      </c>
      <c r="I345" s="749"/>
      <c r="J345" s="759"/>
      <c r="K345" s="773">
        <v>160.29647805243053</v>
      </c>
      <c r="L345" s="749"/>
      <c r="M345" s="759"/>
      <c r="N345" s="773">
        <v>160.29647805243053</v>
      </c>
      <c r="O345" s="749"/>
      <c r="P345" s="759"/>
      <c r="Q345" s="773">
        <v>160.29647805243053</v>
      </c>
      <c r="R345" s="749"/>
      <c r="S345" s="759"/>
      <c r="T345" s="773">
        <v>160.29647805243053</v>
      </c>
      <c r="U345" s="749"/>
      <c r="V345" s="759"/>
      <c r="W345" s="773">
        <v>160.29647805243053</v>
      </c>
      <c r="X345" s="749"/>
      <c r="Y345" s="759"/>
      <c r="Z345" s="773">
        <v>160.29647805243053</v>
      </c>
      <c r="AA345" s="749"/>
      <c r="AB345" s="759"/>
      <c r="AC345" s="773">
        <v>160.29647805243053</v>
      </c>
      <c r="AD345" s="749"/>
      <c r="AE345" s="759"/>
      <c r="AF345" s="773">
        <v>160.29647805243053</v>
      </c>
      <c r="AG345" s="749"/>
      <c r="AH345" s="759"/>
      <c r="AI345" s="773">
        <v>160.29647805243053</v>
      </c>
      <c r="AJ345" s="749"/>
      <c r="AK345" s="759"/>
      <c r="AL345" s="773">
        <v>160.29647805243053</v>
      </c>
      <c r="AM345" s="749"/>
      <c r="AN345" s="759"/>
      <c r="AO345" s="773">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9"/>
      <c r="D346" s="759"/>
      <c r="E346" s="760">
        <v>2625.1738822041675</v>
      </c>
      <c r="F346" s="749"/>
      <c r="G346" s="759"/>
      <c r="H346" s="773">
        <v>218.76449018368055</v>
      </c>
      <c r="I346" s="749"/>
      <c r="J346" s="759"/>
      <c r="K346" s="773">
        <v>218.76449018368055</v>
      </c>
      <c r="L346" s="749"/>
      <c r="M346" s="759"/>
      <c r="N346" s="773">
        <v>218.76449018368055</v>
      </c>
      <c r="O346" s="749"/>
      <c r="P346" s="759"/>
      <c r="Q346" s="773">
        <v>218.76449018368055</v>
      </c>
      <c r="R346" s="749"/>
      <c r="S346" s="759"/>
      <c r="T346" s="773">
        <v>218.76449018368055</v>
      </c>
      <c r="U346" s="749"/>
      <c r="V346" s="759"/>
      <c r="W346" s="773">
        <v>218.76449018368055</v>
      </c>
      <c r="X346" s="749"/>
      <c r="Y346" s="759"/>
      <c r="Z346" s="773">
        <v>218.76449018368055</v>
      </c>
      <c r="AA346" s="749"/>
      <c r="AB346" s="759"/>
      <c r="AC346" s="773">
        <v>218.76449018368055</v>
      </c>
      <c r="AD346" s="749"/>
      <c r="AE346" s="759"/>
      <c r="AF346" s="773">
        <v>218.76449018368055</v>
      </c>
      <c r="AG346" s="749"/>
      <c r="AH346" s="759"/>
      <c r="AI346" s="773">
        <v>218.76449018368055</v>
      </c>
      <c r="AJ346" s="749"/>
      <c r="AK346" s="759"/>
      <c r="AL346" s="773">
        <v>218.76449018368055</v>
      </c>
      <c r="AM346" s="749"/>
      <c r="AN346" s="759"/>
      <c r="AO346" s="773">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9"/>
      <c r="D347" s="759"/>
      <c r="E347" s="760">
        <v>9867.1083957992942</v>
      </c>
      <c r="F347" s="749"/>
      <c r="G347" s="759"/>
      <c r="H347" s="773">
        <v>822.25903298327421</v>
      </c>
      <c r="I347" s="749"/>
      <c r="J347" s="759"/>
      <c r="K347" s="773">
        <v>822.25903298327421</v>
      </c>
      <c r="L347" s="749"/>
      <c r="M347" s="759"/>
      <c r="N347" s="773">
        <v>822.25903298327421</v>
      </c>
      <c r="O347" s="749"/>
      <c r="P347" s="759"/>
      <c r="Q347" s="773">
        <v>822.25903298327421</v>
      </c>
      <c r="R347" s="749"/>
      <c r="S347" s="759"/>
      <c r="T347" s="773">
        <v>822.25903298327421</v>
      </c>
      <c r="U347" s="749"/>
      <c r="V347" s="759"/>
      <c r="W347" s="773">
        <v>822.25903298327421</v>
      </c>
      <c r="X347" s="749"/>
      <c r="Y347" s="759"/>
      <c r="Z347" s="773">
        <v>822.25903298327421</v>
      </c>
      <c r="AA347" s="749"/>
      <c r="AB347" s="759"/>
      <c r="AC347" s="773">
        <v>822.25903298327421</v>
      </c>
      <c r="AD347" s="749"/>
      <c r="AE347" s="759"/>
      <c r="AF347" s="773">
        <v>822.25903298327421</v>
      </c>
      <c r="AG347" s="749"/>
      <c r="AH347" s="759"/>
      <c r="AI347" s="773">
        <v>822.25903298327421</v>
      </c>
      <c r="AJ347" s="749"/>
      <c r="AK347" s="759"/>
      <c r="AL347" s="773">
        <v>822.25903298327421</v>
      </c>
      <c r="AM347" s="749"/>
      <c r="AN347" s="759"/>
      <c r="AO347" s="773">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9"/>
      <c r="D348" s="759"/>
      <c r="E348" s="760">
        <v>17755.930187755745</v>
      </c>
      <c r="F348" s="749"/>
      <c r="G348" s="759"/>
      <c r="H348" s="773">
        <v>1479.6608489796454</v>
      </c>
      <c r="I348" s="749"/>
      <c r="J348" s="759"/>
      <c r="K348" s="773">
        <v>1479.6608489796454</v>
      </c>
      <c r="L348" s="749"/>
      <c r="M348" s="759"/>
      <c r="N348" s="773">
        <v>1479.6608489796454</v>
      </c>
      <c r="O348" s="749"/>
      <c r="P348" s="759"/>
      <c r="Q348" s="773">
        <v>1479.6608489796454</v>
      </c>
      <c r="R348" s="749"/>
      <c r="S348" s="759"/>
      <c r="T348" s="773">
        <v>1479.6608489796454</v>
      </c>
      <c r="U348" s="749"/>
      <c r="V348" s="759"/>
      <c r="W348" s="773">
        <v>1479.6608489796454</v>
      </c>
      <c r="X348" s="749"/>
      <c r="Y348" s="759"/>
      <c r="Z348" s="773">
        <v>1479.6608489796454</v>
      </c>
      <c r="AA348" s="749"/>
      <c r="AB348" s="759"/>
      <c r="AC348" s="773">
        <v>1479.6608489796454</v>
      </c>
      <c r="AD348" s="749"/>
      <c r="AE348" s="759"/>
      <c r="AF348" s="773">
        <v>1479.6608489796454</v>
      </c>
      <c r="AG348" s="749"/>
      <c r="AH348" s="759"/>
      <c r="AI348" s="773">
        <v>1479.6608489796454</v>
      </c>
      <c r="AJ348" s="749"/>
      <c r="AK348" s="759"/>
      <c r="AL348" s="773">
        <v>1479.6608489796454</v>
      </c>
      <c r="AM348" s="749"/>
      <c r="AN348" s="759"/>
      <c r="AO348" s="773">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9" t="s">
        <v>119</v>
      </c>
      <c r="D352" s="780">
        <v>0.21294401645045716</v>
      </c>
      <c r="E352" s="781">
        <v>330836.12589348684</v>
      </c>
      <c r="F352" s="779" t="s">
        <v>119</v>
      </c>
      <c r="G352" s="780">
        <v>0.29364109246642273</v>
      </c>
      <c r="H352" s="781">
        <v>27569.677157790564</v>
      </c>
      <c r="I352" s="779" t="s">
        <v>119</v>
      </c>
      <c r="J352" s="780">
        <v>0.31700444413954088</v>
      </c>
      <c r="K352" s="781">
        <v>27569.677157790564</v>
      </c>
      <c r="L352" s="779" t="s">
        <v>119</v>
      </c>
      <c r="M352" s="780">
        <v>0.24186476856612793</v>
      </c>
      <c r="N352" s="781">
        <v>27569.677157790564</v>
      </c>
      <c r="O352" s="779" t="s">
        <v>119</v>
      </c>
      <c r="P352" s="780">
        <v>0.17132084316354712</v>
      </c>
      <c r="Q352" s="781">
        <v>27569.677157790564</v>
      </c>
      <c r="R352" s="779" t="s">
        <v>119</v>
      </c>
      <c r="S352" s="780">
        <v>0.16339744051072738</v>
      </c>
      <c r="T352" s="781">
        <v>27569.677157790564</v>
      </c>
      <c r="U352" s="779" t="s">
        <v>119</v>
      </c>
      <c r="V352" s="780">
        <v>0.21723684507915858</v>
      </c>
      <c r="W352" s="781">
        <v>27569.677157790564</v>
      </c>
      <c r="X352" s="779" t="s">
        <v>119</v>
      </c>
      <c r="Y352" s="780">
        <v>0.22162888968938149</v>
      </c>
      <c r="Z352" s="781">
        <v>27569.677157790564</v>
      </c>
      <c r="AA352" s="779" t="s">
        <v>119</v>
      </c>
      <c r="AB352" s="780">
        <v>0.23932184066077883</v>
      </c>
      <c r="AC352" s="781">
        <v>27569.677157790564</v>
      </c>
      <c r="AD352" s="779" t="s">
        <v>119</v>
      </c>
      <c r="AE352" s="780">
        <v>0.26437432165075808</v>
      </c>
      <c r="AF352" s="781">
        <v>27569.677157790564</v>
      </c>
      <c r="AG352" s="779" t="s">
        <v>119</v>
      </c>
      <c r="AH352" s="780">
        <v>0.16387784617538206</v>
      </c>
      <c r="AI352" s="781">
        <v>27569.677157790564</v>
      </c>
      <c r="AJ352" s="779" t="s">
        <v>119</v>
      </c>
      <c r="AK352" s="780">
        <v>0.14889761787402422</v>
      </c>
      <c r="AL352" s="781">
        <v>27569.677157790564</v>
      </c>
      <c r="AM352" s="779" t="s">
        <v>119</v>
      </c>
      <c r="AN352" s="780">
        <v>0.26269028258819405</v>
      </c>
      <c r="AO352" s="781">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9" t="s">
        <v>119</v>
      </c>
      <c r="D354" s="817">
        <v>0.59500744257190263</v>
      </c>
      <c r="E354" s="791">
        <v>924421.17162788683</v>
      </c>
      <c r="F354" s="779" t="s">
        <v>119</v>
      </c>
      <c r="G354" s="817">
        <v>0.78359167831799759</v>
      </c>
      <c r="H354" s="791">
        <v>73570.662107616197</v>
      </c>
      <c r="I354" s="779" t="s">
        <v>119</v>
      </c>
      <c r="J354" s="817">
        <v>0.84593761156222047</v>
      </c>
      <c r="K354" s="791">
        <v>73570.662107616197</v>
      </c>
      <c r="L354" s="779" t="s">
        <v>119</v>
      </c>
      <c r="M354" s="817">
        <v>0.73660368742412263</v>
      </c>
      <c r="N354" s="791">
        <v>83963.968691739283</v>
      </c>
      <c r="O354" s="779" t="s">
        <v>119</v>
      </c>
      <c r="P354" s="817">
        <v>0.45717575117906584</v>
      </c>
      <c r="Q354" s="791">
        <v>73570.662107616197</v>
      </c>
      <c r="R354" s="779" t="s">
        <v>119</v>
      </c>
      <c r="S354" s="817">
        <v>0.49762996863661962</v>
      </c>
      <c r="T354" s="791">
        <v>83963.968691739283</v>
      </c>
      <c r="U354" s="779" t="s">
        <v>119</v>
      </c>
      <c r="V354" s="817">
        <v>0.57970423212326661</v>
      </c>
      <c r="W354" s="791">
        <v>73570.662107616197</v>
      </c>
      <c r="X354" s="779" t="s">
        <v>119</v>
      </c>
      <c r="Y354" s="817">
        <v>0.59142455906546942</v>
      </c>
      <c r="Z354" s="791">
        <v>73570.662107616197</v>
      </c>
      <c r="AA354" s="779" t="s">
        <v>119</v>
      </c>
      <c r="AB354" s="817">
        <v>0.72885915281067504</v>
      </c>
      <c r="AC354" s="791">
        <v>83963.968691739283</v>
      </c>
      <c r="AD354" s="779" t="s">
        <v>119</v>
      </c>
      <c r="AE354" s="817">
        <v>0.70549226154438238</v>
      </c>
      <c r="AF354" s="791">
        <v>73570.662107616197</v>
      </c>
      <c r="AG354" s="779" t="s">
        <v>119</v>
      </c>
      <c r="AH354" s="817">
        <v>0.43731384951985247</v>
      </c>
      <c r="AI354" s="791">
        <v>73570.662107616197</v>
      </c>
      <c r="AJ354" s="779" t="s">
        <v>119</v>
      </c>
      <c r="AK354" s="817">
        <v>0.45347048693736108</v>
      </c>
      <c r="AL354" s="791">
        <v>83963.968691739283</v>
      </c>
      <c r="AM354" s="779" t="s">
        <v>119</v>
      </c>
      <c r="AN354" s="817">
        <v>0.70099834352935342</v>
      </c>
      <c r="AO354" s="791">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8"/>
      <c r="D356" s="819"/>
      <c r="E356" s="800">
        <v>629208.42270475347</v>
      </c>
      <c r="F356" s="818"/>
      <c r="G356" s="819"/>
      <c r="H356" s="800">
        <v>20318.367272504038</v>
      </c>
      <c r="I356" s="818"/>
      <c r="J356" s="819"/>
      <c r="K356" s="800">
        <v>13398.709039921348</v>
      </c>
      <c r="L356" s="818"/>
      <c r="M356" s="819"/>
      <c r="N356" s="800">
        <v>30024.014433023985</v>
      </c>
      <c r="O356" s="818"/>
      <c r="P356" s="819"/>
      <c r="Q356" s="800">
        <v>87353.581835497404</v>
      </c>
      <c r="R356" s="818"/>
      <c r="S356" s="819"/>
      <c r="T356" s="800">
        <v>84763.748655709351</v>
      </c>
      <c r="U356" s="818"/>
      <c r="V356" s="819"/>
      <c r="W356" s="800">
        <v>53340.024464657006</v>
      </c>
      <c r="X356" s="818"/>
      <c r="Y356" s="819"/>
      <c r="Z356" s="800">
        <v>50825.021128581779</v>
      </c>
      <c r="AA356" s="818"/>
      <c r="AB356" s="819"/>
      <c r="AC356" s="800">
        <v>31235.200266970845</v>
      </c>
      <c r="AD356" s="818"/>
      <c r="AE356" s="819"/>
      <c r="AF356" s="800">
        <v>30712.072257979511</v>
      </c>
      <c r="AG356" s="818"/>
      <c r="AH356" s="819"/>
      <c r="AI356" s="800">
        <v>94662.43224417005</v>
      </c>
      <c r="AJ356" s="818"/>
      <c r="AK356" s="819"/>
      <c r="AL356" s="800">
        <v>101194.64936698659</v>
      </c>
      <c r="AM356" s="818"/>
      <c r="AN356" s="819"/>
      <c r="AO356" s="800">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3865</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71">
        <v>2024</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8"/>
      <c r="D379" s="786"/>
      <c r="E379" s="776">
        <v>0</v>
      </c>
      <c r="F379" s="778"/>
      <c r="G379" s="786"/>
      <c r="H379" s="776">
        <v>0</v>
      </c>
      <c r="I379" s="778"/>
      <c r="J379" s="786"/>
      <c r="K379" s="776">
        <v>0</v>
      </c>
      <c r="L379" s="778"/>
      <c r="M379" s="786"/>
      <c r="N379" s="776">
        <v>0</v>
      </c>
      <c r="O379" s="778"/>
      <c r="P379" s="786"/>
      <c r="Q379" s="776">
        <v>0</v>
      </c>
      <c r="R379" s="778"/>
      <c r="S379" s="786"/>
      <c r="T379" s="776">
        <v>0</v>
      </c>
      <c r="U379" s="778"/>
      <c r="V379" s="786"/>
      <c r="W379" s="776">
        <v>0</v>
      </c>
      <c r="X379" s="778"/>
      <c r="Y379" s="786"/>
      <c r="Z379" s="776">
        <v>0</v>
      </c>
      <c r="AA379" s="778"/>
      <c r="AB379" s="786"/>
      <c r="AC379" s="776">
        <v>0</v>
      </c>
      <c r="AD379" s="778"/>
      <c r="AE379" s="786"/>
      <c r="AF379" s="776">
        <v>0</v>
      </c>
      <c r="AG379" s="778"/>
      <c r="AH379" s="786"/>
      <c r="AI379" s="776">
        <v>0</v>
      </c>
      <c r="AJ379" s="778"/>
      <c r="AK379" s="786"/>
      <c r="AL379" s="776">
        <v>0</v>
      </c>
      <c r="AM379" s="778"/>
      <c r="AN379" s="786"/>
      <c r="AO379" s="776">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v>0</v>
      </c>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3865</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4"/>
      <c r="D406" s="874"/>
      <c r="E406" s="874"/>
      <c r="F406" s="875"/>
      <c r="G406" s="875"/>
      <c r="H406" s="876">
        <v>3512757.1735477895</v>
      </c>
      <c r="I406" s="875"/>
      <c r="J406" s="875"/>
      <c r="K406" s="876">
        <v>3478384.1040415713</v>
      </c>
      <c r="L406" s="875"/>
      <c r="M406" s="875"/>
      <c r="N406" s="876">
        <v>4977253.97332469</v>
      </c>
      <c r="O406" s="875"/>
      <c r="P406" s="875"/>
      <c r="Q406" s="876">
        <v>6476054.4469894199</v>
      </c>
      <c r="R406" s="875"/>
      <c r="S406" s="875"/>
      <c r="T406" s="876">
        <v>7055316.1389505528</v>
      </c>
      <c r="U406" s="875"/>
      <c r="V406" s="875"/>
      <c r="W406" s="876">
        <v>5732896.1504884632</v>
      </c>
      <c r="X406" s="875"/>
      <c r="Y406" s="875"/>
      <c r="Z406" s="876">
        <v>5263274.4628970586</v>
      </c>
      <c r="AA406" s="875"/>
      <c r="AB406" s="875"/>
      <c r="AC406" s="876">
        <v>5650734.5732088359</v>
      </c>
      <c r="AD406" s="875"/>
      <c r="AE406" s="875"/>
      <c r="AF406" s="876">
        <v>5208958.6432293998</v>
      </c>
      <c r="AG406" s="875"/>
      <c r="AH406" s="875"/>
      <c r="AI406" s="876">
        <v>6932516.5700065428</v>
      </c>
      <c r="AJ406" s="875"/>
      <c r="AK406" s="875"/>
      <c r="AL406" s="876">
        <v>6329043.3217466474</v>
      </c>
      <c r="AM406" s="875"/>
      <c r="AN406" s="875"/>
      <c r="AO406" s="876">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71">
        <v>2024</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80"/>
      <c r="D409" s="881"/>
      <c r="E409" s="882">
        <v>64247633.028998926</v>
      </c>
      <c r="F409" s="880"/>
      <c r="G409" s="881"/>
      <c r="H409" s="882">
        <v>3512757.1735477895</v>
      </c>
      <c r="I409" s="880"/>
      <c r="J409" s="881"/>
      <c r="K409" s="882">
        <v>3478384.1040415713</v>
      </c>
      <c r="L409" s="880"/>
      <c r="M409" s="881"/>
      <c r="N409" s="882">
        <v>4977253.97332469</v>
      </c>
      <c r="O409" s="880"/>
      <c r="P409" s="881"/>
      <c r="Q409" s="882">
        <v>6476054.4469894199</v>
      </c>
      <c r="R409" s="880"/>
      <c r="S409" s="881"/>
      <c r="T409" s="882">
        <v>7055316.1389505528</v>
      </c>
      <c r="U409" s="880"/>
      <c r="V409" s="881"/>
      <c r="W409" s="882">
        <v>5732896.1504884632</v>
      </c>
      <c r="X409" s="880"/>
      <c r="Y409" s="881"/>
      <c r="Z409" s="882">
        <v>5263274.4628970586</v>
      </c>
      <c r="AA409" s="880"/>
      <c r="AB409" s="881"/>
      <c r="AC409" s="882">
        <v>5650734.5732088359</v>
      </c>
      <c r="AD409" s="880"/>
      <c r="AE409" s="881"/>
      <c r="AF409" s="882">
        <v>5208958.6432293998</v>
      </c>
      <c r="AG409" s="880"/>
      <c r="AH409" s="881"/>
      <c r="AI409" s="882">
        <v>6932516.5700065428</v>
      </c>
      <c r="AJ409" s="880"/>
      <c r="AK409" s="881"/>
      <c r="AL409" s="882">
        <v>6329043.3217466474</v>
      </c>
      <c r="AM409" s="880"/>
      <c r="AN409" s="881"/>
      <c r="AO409" s="882">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3"/>
      <c r="D410" s="884"/>
      <c r="E410" s="885">
        <v>9094384.0683882013</v>
      </c>
      <c r="F410" s="883"/>
      <c r="G410" s="884"/>
      <c r="H410" s="885">
        <v>494635.89750190306</v>
      </c>
      <c r="I410" s="883"/>
      <c r="J410" s="884"/>
      <c r="K410" s="885">
        <v>482090.33269498794</v>
      </c>
      <c r="L410" s="883"/>
      <c r="M410" s="884"/>
      <c r="N410" s="885">
        <v>682170.02586529509</v>
      </c>
      <c r="O410" s="883"/>
      <c r="P410" s="884"/>
      <c r="Q410" s="885">
        <v>955621.60366614698</v>
      </c>
      <c r="R410" s="883"/>
      <c r="S410" s="884"/>
      <c r="T410" s="885">
        <v>1040197.8013297881</v>
      </c>
      <c r="U410" s="883"/>
      <c r="V410" s="884"/>
      <c r="W410" s="885">
        <v>771523.3204545835</v>
      </c>
      <c r="X410" s="883"/>
      <c r="Y410" s="884"/>
      <c r="Z410" s="885">
        <v>729027.70097501553</v>
      </c>
      <c r="AA410" s="883"/>
      <c r="AB410" s="884"/>
      <c r="AC410" s="885">
        <v>746481.51309570845</v>
      </c>
      <c r="AD410" s="883"/>
      <c r="AE410" s="884"/>
      <c r="AF410" s="885">
        <v>677022.55359348422</v>
      </c>
      <c r="AG410" s="883"/>
      <c r="AH410" s="884"/>
      <c r="AI410" s="885">
        <v>1000096.1020510965</v>
      </c>
      <c r="AJ410" s="883"/>
      <c r="AK410" s="884"/>
      <c r="AL410" s="885">
        <v>985811.70672880381</v>
      </c>
      <c r="AM410" s="883"/>
      <c r="AN410" s="884"/>
      <c r="AO410" s="885">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9">
        <v>0.32206599440179107</v>
      </c>
      <c r="D412" s="890">
        <v>763.00690810619631</v>
      </c>
      <c r="E412" s="888">
        <v>865804.92131807387</v>
      </c>
      <c r="F412" s="891"/>
      <c r="G412" s="890">
        <v>818.35588384707296</v>
      </c>
      <c r="H412" s="888">
        <v>45263.263935581606</v>
      </c>
      <c r="I412" s="891"/>
      <c r="J412" s="890">
        <v>815.12752591583023</v>
      </c>
      <c r="K412" s="888">
        <v>45742.918935581605</v>
      </c>
      <c r="L412" s="891"/>
      <c r="M412" s="890">
        <v>807.99653262481763</v>
      </c>
      <c r="N412" s="888">
        <v>65595.178509814257</v>
      </c>
      <c r="O412" s="891"/>
      <c r="P412" s="890">
        <v>832.07614630114836</v>
      </c>
      <c r="Q412" s="888">
        <v>86739.777871163213</v>
      </c>
      <c r="R412" s="891"/>
      <c r="S412" s="890">
        <v>845.60390225197466</v>
      </c>
      <c r="T412" s="888">
        <v>96441.125051837691</v>
      </c>
      <c r="U412" s="891"/>
      <c r="V412" s="890">
        <v>831.30092390094819</v>
      </c>
      <c r="W412" s="888">
        <v>78580.798084046881</v>
      </c>
      <c r="X412" s="891"/>
      <c r="Y412" s="890">
        <v>825.37860735264621</v>
      </c>
      <c r="Z412" s="888">
        <v>70825.738296930576</v>
      </c>
      <c r="AA412" s="891"/>
      <c r="AB412" s="890">
        <v>828.88342408337962</v>
      </c>
      <c r="AC412" s="888">
        <v>78404.083084046884</v>
      </c>
      <c r="AD412" s="891"/>
      <c r="AE412" s="890">
        <v>820.33415938819087</v>
      </c>
      <c r="AF412" s="888">
        <v>71961.763296930571</v>
      </c>
      <c r="AG412" s="891"/>
      <c r="AH412" s="890">
        <v>863.47808599951463</v>
      </c>
      <c r="AI412" s="888">
        <v>96342.567445395835</v>
      </c>
      <c r="AJ412" s="891"/>
      <c r="AK412" s="890">
        <v>847.22584215849508</v>
      </c>
      <c r="AL412" s="888">
        <v>83432.682871163212</v>
      </c>
      <c r="AM412" s="891"/>
      <c r="AN412" s="890">
        <v>810.37530837980125</v>
      </c>
      <c r="AO412" s="888">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2">
        <v>0.3</v>
      </c>
      <c r="D413" s="893">
        <v>518.58024943381452</v>
      </c>
      <c r="E413" s="882">
        <v>539820</v>
      </c>
      <c r="F413" s="894"/>
      <c r="G413" s="893">
        <v>525.94648345687938</v>
      </c>
      <c r="H413" s="882">
        <v>29090.1</v>
      </c>
      <c r="I413" s="894"/>
      <c r="J413" s="893">
        <v>527.87543992515702</v>
      </c>
      <c r="K413" s="882">
        <v>29623.05</v>
      </c>
      <c r="L413" s="894"/>
      <c r="M413" s="893">
        <v>532.13623625781429</v>
      </c>
      <c r="N413" s="882">
        <v>43200.150000000009</v>
      </c>
      <c r="O413" s="894"/>
      <c r="P413" s="893">
        <v>518.12269173581467</v>
      </c>
      <c r="Q413" s="882">
        <v>54011.7</v>
      </c>
      <c r="R413" s="894"/>
      <c r="S413" s="893">
        <v>511.09031126698818</v>
      </c>
      <c r="T413" s="882">
        <v>58289.849999999991</v>
      </c>
      <c r="U413" s="894"/>
      <c r="V413" s="893">
        <v>519.26952474147731</v>
      </c>
      <c r="W413" s="882">
        <v>49085.25</v>
      </c>
      <c r="X413" s="894"/>
      <c r="Y413" s="893">
        <v>521.75037874373606</v>
      </c>
      <c r="Z413" s="882">
        <v>44771.399999999994</v>
      </c>
      <c r="AA413" s="894"/>
      <c r="AB413" s="893">
        <v>518.33491912464308</v>
      </c>
      <c r="AC413" s="882">
        <v>49029.299999999988</v>
      </c>
      <c r="AD413" s="894"/>
      <c r="AE413" s="893">
        <v>525.12012311550632</v>
      </c>
      <c r="AF413" s="882">
        <v>46064.85</v>
      </c>
      <c r="AG413" s="894"/>
      <c r="AH413" s="893">
        <v>501.67421017252963</v>
      </c>
      <c r="AI413" s="882">
        <v>55974.299999999988</v>
      </c>
      <c r="AJ413" s="894"/>
      <c r="AK413" s="893">
        <v>510.20334594196635</v>
      </c>
      <c r="AL413" s="882">
        <v>50243.55</v>
      </c>
      <c r="AM413" s="894"/>
      <c r="AN413" s="893">
        <v>530.71490845684389</v>
      </c>
      <c r="AO413" s="882">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91"/>
      <c r="D414" s="890">
        <v>77.547834565772376</v>
      </c>
      <c r="E414" s="888">
        <v>80724</v>
      </c>
      <c r="F414" s="891"/>
      <c r="G414" s="890">
        <v>73.944133068161278</v>
      </c>
      <c r="H414" s="888">
        <v>4089.8500000000004</v>
      </c>
      <c r="I414" s="891"/>
      <c r="J414" s="890">
        <v>73.024012117432179</v>
      </c>
      <c r="K414" s="888">
        <v>4097.9250000000002</v>
      </c>
      <c r="L414" s="891"/>
      <c r="M414" s="890">
        <v>70.991593015736157</v>
      </c>
      <c r="N414" s="888">
        <v>5763.2750000000005</v>
      </c>
      <c r="O414" s="891"/>
      <c r="P414" s="890">
        <v>77.964890402417382</v>
      </c>
      <c r="Q414" s="888">
        <v>8127.45</v>
      </c>
      <c r="R414" s="891"/>
      <c r="S414" s="890">
        <v>81.084831214379676</v>
      </c>
      <c r="T414" s="888">
        <v>9247.7250000000004</v>
      </c>
      <c r="U414" s="891"/>
      <c r="V414" s="890">
        <v>77.169342254899362</v>
      </c>
      <c r="W414" s="888">
        <v>7294.625</v>
      </c>
      <c r="X414" s="891"/>
      <c r="Y414" s="890">
        <v>75.945693975061189</v>
      </c>
      <c r="Z414" s="888">
        <v>6516.9000000000005</v>
      </c>
      <c r="AA414" s="891"/>
      <c r="AB414" s="890">
        <v>77.524579765302875</v>
      </c>
      <c r="AC414" s="888">
        <v>7333.0499999999993</v>
      </c>
      <c r="AD414" s="891"/>
      <c r="AE414" s="890">
        <v>74.61284163128046</v>
      </c>
      <c r="AF414" s="888">
        <v>6545.2250000000004</v>
      </c>
      <c r="AG414" s="891"/>
      <c r="AH414" s="890">
        <v>85.624467846739847</v>
      </c>
      <c r="AI414" s="888">
        <v>9553.5499999999975</v>
      </c>
      <c r="AJ414" s="891"/>
      <c r="AK414" s="890">
        <v>81.685410372927819</v>
      </c>
      <c r="AL414" s="888">
        <v>8044.1750000000011</v>
      </c>
      <c r="AM414" s="891"/>
      <c r="AN414" s="890">
        <v>71.66957279860506</v>
      </c>
      <c r="AO414" s="888">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91"/>
      <c r="D415" s="890">
        <v>4.7741502414844028</v>
      </c>
      <c r="E415" s="888">
        <v>4969.6875</v>
      </c>
      <c r="F415" s="891"/>
      <c r="G415" s="890">
        <v>4.8909781233050085</v>
      </c>
      <c r="H415" s="888">
        <v>270.52000000000004</v>
      </c>
      <c r="I415" s="891"/>
      <c r="J415" s="890">
        <v>4.9213257896378142</v>
      </c>
      <c r="K415" s="888">
        <v>276.17250000000001</v>
      </c>
      <c r="L415" s="891"/>
      <c r="M415" s="890">
        <v>4.9883595602500543</v>
      </c>
      <c r="N415" s="888">
        <v>404.96750000000003</v>
      </c>
      <c r="O415" s="891"/>
      <c r="P415" s="890">
        <v>4.7648808096311566</v>
      </c>
      <c r="Q415" s="888">
        <v>496.71499999999997</v>
      </c>
      <c r="R415" s="891"/>
      <c r="S415" s="890">
        <v>4.6566856641823762</v>
      </c>
      <c r="T415" s="888">
        <v>531.09499999999991</v>
      </c>
      <c r="U415" s="891"/>
      <c r="V415" s="890">
        <v>4.7855121525482005</v>
      </c>
      <c r="W415" s="888">
        <v>452.36250000000001</v>
      </c>
      <c r="X415" s="891"/>
      <c r="Y415" s="890">
        <v>4.8249621256263833</v>
      </c>
      <c r="Z415" s="888">
        <v>414.03</v>
      </c>
      <c r="AA415" s="891"/>
      <c r="AB415" s="890">
        <v>4.7717517708002957</v>
      </c>
      <c r="AC415" s="888">
        <v>451.36</v>
      </c>
      <c r="AD415" s="891"/>
      <c r="AE415" s="890">
        <v>4.8751175582091255</v>
      </c>
      <c r="AF415" s="888">
        <v>427.65750000000003</v>
      </c>
      <c r="AG415" s="891"/>
      <c r="AH415" s="890">
        <v>4.5080439166479955</v>
      </c>
      <c r="AI415" s="888">
        <v>502.98500000000001</v>
      </c>
      <c r="AJ415" s="891"/>
      <c r="AK415" s="890">
        <v>4.6408824350740012</v>
      </c>
      <c r="AL415" s="888">
        <v>457.02250000000009</v>
      </c>
      <c r="AM415" s="891"/>
      <c r="AN415" s="890">
        <v>4.9659982563208374</v>
      </c>
      <c r="AO415" s="888">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4"/>
      <c r="D416" s="893">
        <v>120.46691603643762</v>
      </c>
      <c r="E416" s="882">
        <v>125400.93975000002</v>
      </c>
      <c r="F416" s="894"/>
      <c r="G416" s="893">
        <v>122.63862773458686</v>
      </c>
      <c r="H416" s="882">
        <v>6783.1424999999999</v>
      </c>
      <c r="I416" s="894"/>
      <c r="J416" s="893">
        <v>123.2050162605248</v>
      </c>
      <c r="K416" s="882">
        <v>6913.9575000000004</v>
      </c>
      <c r="L416" s="894"/>
      <c r="M416" s="893">
        <v>124.45608967449881</v>
      </c>
      <c r="N416" s="882">
        <v>10103.656500000001</v>
      </c>
      <c r="O416" s="894"/>
      <c r="P416" s="893">
        <v>120.31310854237611</v>
      </c>
      <c r="Q416" s="882">
        <v>12542.039999999999</v>
      </c>
      <c r="R416" s="894"/>
      <c r="S416" s="893">
        <v>118.27118588338449</v>
      </c>
      <c r="T416" s="882">
        <v>13488.828749999999</v>
      </c>
      <c r="U416" s="894"/>
      <c r="V416" s="893">
        <v>120.67416889265029</v>
      </c>
      <c r="W416" s="882">
        <v>11407.0275</v>
      </c>
      <c r="X416" s="894"/>
      <c r="Y416" s="893">
        <v>121.40654935322225</v>
      </c>
      <c r="Z416" s="882">
        <v>10417.896000000001</v>
      </c>
      <c r="AA416" s="894"/>
      <c r="AB416" s="893">
        <v>120.40861084681255</v>
      </c>
      <c r="AC416" s="882">
        <v>11389.450499999999</v>
      </c>
      <c r="AD416" s="894"/>
      <c r="AE416" s="893">
        <v>122.36911852717378</v>
      </c>
      <c r="AF416" s="882">
        <v>10734.525000000001</v>
      </c>
      <c r="AG416" s="894"/>
      <c r="AH416" s="893">
        <v>115.50168048397938</v>
      </c>
      <c r="AI416" s="882">
        <v>12887.099999999999</v>
      </c>
      <c r="AJ416" s="894"/>
      <c r="AK416" s="893">
        <v>117.99337919829401</v>
      </c>
      <c r="AL416" s="882">
        <v>11619.693000000001</v>
      </c>
      <c r="AM416" s="894"/>
      <c r="AN416" s="893">
        <v>124.03875326939841</v>
      </c>
      <c r="AO416" s="882">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91"/>
      <c r="D417" s="890">
        <v>208.13601900173637</v>
      </c>
      <c r="E417" s="888">
        <v>216660.75</v>
      </c>
      <c r="F417" s="891"/>
      <c r="G417" s="890">
        <v>345.5433013921533</v>
      </c>
      <c r="H417" s="888">
        <v>19112</v>
      </c>
      <c r="I417" s="891"/>
      <c r="J417" s="890">
        <v>339.13217801933445</v>
      </c>
      <c r="K417" s="888">
        <v>19031.25</v>
      </c>
      <c r="L417" s="891"/>
      <c r="M417" s="890">
        <v>257.77415083299968</v>
      </c>
      <c r="N417" s="888">
        <v>20926.75</v>
      </c>
      <c r="O417" s="891"/>
      <c r="P417" s="890">
        <v>177.11640846083745</v>
      </c>
      <c r="Q417" s="888">
        <v>18463.5</v>
      </c>
      <c r="R417" s="891"/>
      <c r="S417" s="890">
        <v>113.27926348092943</v>
      </c>
      <c r="T417" s="888">
        <v>12919.5</v>
      </c>
      <c r="U417" s="891"/>
      <c r="V417" s="890">
        <v>206.2283462484462</v>
      </c>
      <c r="W417" s="888">
        <v>19494.25</v>
      </c>
      <c r="X417" s="891"/>
      <c r="Y417" s="890">
        <v>237.90933457638968</v>
      </c>
      <c r="Z417" s="888">
        <v>20415</v>
      </c>
      <c r="AA417" s="891"/>
      <c r="AB417" s="890">
        <v>158.45226768157309</v>
      </c>
      <c r="AC417" s="888">
        <v>14988</v>
      </c>
      <c r="AD417" s="891"/>
      <c r="AE417" s="890">
        <v>179.15301091510162</v>
      </c>
      <c r="AF417" s="888">
        <v>15715.75</v>
      </c>
      <c r="AG417" s="891"/>
      <c r="AH417" s="890">
        <v>158.12233923369934</v>
      </c>
      <c r="AI417" s="888">
        <v>17642.5</v>
      </c>
      <c r="AJ417" s="891"/>
      <c r="AK417" s="890">
        <v>193.38681424690915</v>
      </c>
      <c r="AL417" s="888">
        <v>19044.25</v>
      </c>
      <c r="AM417" s="891"/>
      <c r="AN417" s="890">
        <v>329.69485614646902</v>
      </c>
      <c r="AO417" s="888">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91"/>
      <c r="D418" s="890">
        <v>284.13795776004224</v>
      </c>
      <c r="E418" s="888">
        <v>295775.53816499916</v>
      </c>
      <c r="F418" s="891"/>
      <c r="G418" s="890">
        <v>341.28766690924488</v>
      </c>
      <c r="H418" s="888">
        <v>18876.620856750334</v>
      </c>
      <c r="I418" s="891"/>
      <c r="J418" s="890">
        <v>414.65181557209047</v>
      </c>
      <c r="K418" s="888">
        <v>23269.223260366787</v>
      </c>
      <c r="L418" s="891"/>
      <c r="M418" s="890">
        <v>344.08729154802961</v>
      </c>
      <c r="N418" s="888">
        <v>27933.866546097917</v>
      </c>
      <c r="O418" s="891"/>
      <c r="P418" s="890">
        <v>287.71319915393713</v>
      </c>
      <c r="Q418" s="888">
        <v>29992.662445802176</v>
      </c>
      <c r="R418" s="891"/>
      <c r="S418" s="890">
        <v>228.72546741387214</v>
      </c>
      <c r="T418" s="888">
        <v>26086.139558552113</v>
      </c>
      <c r="U418" s="891"/>
      <c r="V418" s="890">
        <v>258.21814822848836</v>
      </c>
      <c r="W418" s="888">
        <v>24408.716006668434</v>
      </c>
      <c r="X418" s="891"/>
      <c r="Y418" s="890">
        <v>304.32840240034227</v>
      </c>
      <c r="Z418" s="888">
        <v>26114.42020997337</v>
      </c>
      <c r="AA418" s="891"/>
      <c r="AB418" s="890">
        <v>260.910438348772</v>
      </c>
      <c r="AC418" s="888">
        <v>24679.518363410345</v>
      </c>
      <c r="AD418" s="891"/>
      <c r="AE418" s="890">
        <v>340.96190867362793</v>
      </c>
      <c r="AF418" s="888">
        <v>29910.031033622323</v>
      </c>
      <c r="AG418" s="891"/>
      <c r="AH418" s="890">
        <v>243.28197660256748</v>
      </c>
      <c r="AI418" s="888">
        <v>27144.186539431463</v>
      </c>
      <c r="AJ418" s="891"/>
      <c r="AK418" s="890">
        <v>193.35779307511993</v>
      </c>
      <c r="AL418" s="888">
        <v>19041.392067555127</v>
      </c>
      <c r="AM418" s="891"/>
      <c r="AN418" s="890">
        <v>319.42042330895822</v>
      </c>
      <c r="AO418" s="888">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5">
        <v>0.23411765114846569</v>
      </c>
      <c r="D422" s="896">
        <v>1976.6500351454838</v>
      </c>
      <c r="E422" s="897">
        <v>2129155.836733073</v>
      </c>
      <c r="F422" s="895">
        <v>0.24964928327276703</v>
      </c>
      <c r="G422" s="898"/>
      <c r="H422" s="897">
        <v>123485.49729233196</v>
      </c>
      <c r="I422" s="895">
        <v>0.26749031965661957</v>
      </c>
      <c r="J422" s="898"/>
      <c r="K422" s="897">
        <v>128954.49719594841</v>
      </c>
      <c r="L422" s="895">
        <v>0.25496260090773454</v>
      </c>
      <c r="M422" s="898"/>
      <c r="N422" s="897">
        <v>173927.84405591217</v>
      </c>
      <c r="O422" s="895">
        <v>0.22014345899034424</v>
      </c>
      <c r="P422" s="898"/>
      <c r="Q422" s="897">
        <v>210373.84531696542</v>
      </c>
      <c r="R422" s="895">
        <v>0.20861826768233091</v>
      </c>
      <c r="S422" s="898"/>
      <c r="T422" s="897">
        <v>217004.2633603898</v>
      </c>
      <c r="U422" s="895">
        <v>0.24720319403740224</v>
      </c>
      <c r="V422" s="898"/>
      <c r="W422" s="897">
        <v>190723.02909071528</v>
      </c>
      <c r="X422" s="895">
        <v>0.2461845884139521</v>
      </c>
      <c r="Y422" s="898"/>
      <c r="Z422" s="897">
        <v>179475.38450690394</v>
      </c>
      <c r="AA422" s="895">
        <v>0.24953700618112215</v>
      </c>
      <c r="AB422" s="898"/>
      <c r="AC422" s="897">
        <v>186274.76194745721</v>
      </c>
      <c r="AD422" s="895">
        <v>0.26787852320123701</v>
      </c>
      <c r="AE422" s="898"/>
      <c r="AF422" s="897">
        <v>181359.8018305529</v>
      </c>
      <c r="AG422" s="895">
        <v>0.22002604403070125</v>
      </c>
      <c r="AH422" s="898"/>
      <c r="AI422" s="897">
        <v>220047.18898482725</v>
      </c>
      <c r="AJ422" s="895">
        <v>0.19464443780591578</v>
      </c>
      <c r="AK422" s="898"/>
      <c r="AL422" s="897">
        <v>191882.76543871834</v>
      </c>
      <c r="AM422" s="895">
        <v>0.23720153035603589</v>
      </c>
      <c r="AN422" s="898"/>
      <c r="AO422" s="897">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91"/>
      <c r="D423" s="890"/>
      <c r="E423" s="888">
        <v>172026.39999999997</v>
      </c>
      <c r="F423" s="891"/>
      <c r="G423" s="890"/>
      <c r="H423" s="899">
        <v>13542.199999999997</v>
      </c>
      <c r="I423" s="891"/>
      <c r="J423" s="890"/>
      <c r="K423" s="899">
        <v>13542.199999999997</v>
      </c>
      <c r="L423" s="891"/>
      <c r="M423" s="890"/>
      <c r="N423" s="899">
        <v>15922.199999999997</v>
      </c>
      <c r="O423" s="891"/>
      <c r="P423" s="890"/>
      <c r="Q423" s="899">
        <v>13542.199999999997</v>
      </c>
      <c r="R423" s="891"/>
      <c r="S423" s="890"/>
      <c r="T423" s="899">
        <v>15922.199999999997</v>
      </c>
      <c r="U423" s="891"/>
      <c r="V423" s="890"/>
      <c r="W423" s="899">
        <v>13542.199999999997</v>
      </c>
      <c r="X423" s="891"/>
      <c r="Y423" s="890"/>
      <c r="Z423" s="899">
        <v>13542.199999999997</v>
      </c>
      <c r="AA423" s="891"/>
      <c r="AB423" s="890"/>
      <c r="AC423" s="899">
        <v>15922.199999999997</v>
      </c>
      <c r="AD423" s="891"/>
      <c r="AE423" s="890"/>
      <c r="AF423" s="899">
        <v>13542.199999999997</v>
      </c>
      <c r="AG423" s="891"/>
      <c r="AH423" s="890"/>
      <c r="AI423" s="899">
        <v>13542.199999999997</v>
      </c>
      <c r="AJ423" s="891"/>
      <c r="AK423" s="890"/>
      <c r="AL423" s="899">
        <v>15922.199999999997</v>
      </c>
      <c r="AM423" s="891"/>
      <c r="AN423" s="890"/>
      <c r="AO423" s="899">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91"/>
      <c r="D424" s="890"/>
      <c r="E424" s="888">
        <v>675636</v>
      </c>
      <c r="F424" s="891"/>
      <c r="G424" s="890"/>
      <c r="H424" s="888">
        <v>53378.839743589742</v>
      </c>
      <c r="I424" s="891"/>
      <c r="J424" s="890"/>
      <c r="K424" s="888">
        <v>53378.839743589742</v>
      </c>
      <c r="L424" s="891"/>
      <c r="M424" s="890"/>
      <c r="N424" s="888">
        <v>62151.320512820515</v>
      </c>
      <c r="O424" s="891"/>
      <c r="P424" s="890"/>
      <c r="Q424" s="888">
        <v>53378.839743589742</v>
      </c>
      <c r="R424" s="891"/>
      <c r="S424" s="890"/>
      <c r="T424" s="888">
        <v>62151.320512820515</v>
      </c>
      <c r="U424" s="891"/>
      <c r="V424" s="890"/>
      <c r="W424" s="888">
        <v>53378.839743589742</v>
      </c>
      <c r="X424" s="891"/>
      <c r="Y424" s="890"/>
      <c r="Z424" s="888">
        <v>53378.839743589742</v>
      </c>
      <c r="AA424" s="891"/>
      <c r="AB424" s="890"/>
      <c r="AC424" s="888">
        <v>62151.320512820515</v>
      </c>
      <c r="AD424" s="891"/>
      <c r="AE424" s="890"/>
      <c r="AF424" s="888">
        <v>53378.839743589742</v>
      </c>
      <c r="AG424" s="891"/>
      <c r="AH424" s="890"/>
      <c r="AI424" s="888">
        <v>53378.839743589742</v>
      </c>
      <c r="AJ424" s="891"/>
      <c r="AK424" s="890"/>
      <c r="AL424" s="888">
        <v>62151.320512820515</v>
      </c>
      <c r="AM424" s="891"/>
      <c r="AN424" s="890"/>
      <c r="AO424" s="888">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4"/>
      <c r="D425" s="893"/>
      <c r="E425" s="882">
        <v>715492.96000000008</v>
      </c>
      <c r="F425" s="894"/>
      <c r="G425" s="893"/>
      <c r="H425" s="882">
        <v>55333.304615384615</v>
      </c>
      <c r="I425" s="894"/>
      <c r="J425" s="893"/>
      <c r="K425" s="882">
        <v>55333.304615384615</v>
      </c>
      <c r="L425" s="894"/>
      <c r="M425" s="893"/>
      <c r="N425" s="882">
        <v>68206.630769230775</v>
      </c>
      <c r="O425" s="894"/>
      <c r="P425" s="893"/>
      <c r="Q425" s="882">
        <v>55333.304615384615</v>
      </c>
      <c r="R425" s="894"/>
      <c r="S425" s="893"/>
      <c r="T425" s="882">
        <v>68206.630769230775</v>
      </c>
      <c r="U425" s="894"/>
      <c r="V425" s="893"/>
      <c r="W425" s="882">
        <v>55333.304615384615</v>
      </c>
      <c r="X425" s="894"/>
      <c r="Y425" s="893"/>
      <c r="Z425" s="882">
        <v>55333.304615384615</v>
      </c>
      <c r="AA425" s="894"/>
      <c r="AB425" s="893"/>
      <c r="AC425" s="882">
        <v>68206.630769230775</v>
      </c>
      <c r="AD425" s="894"/>
      <c r="AE425" s="893"/>
      <c r="AF425" s="882">
        <v>55333.304615384615</v>
      </c>
      <c r="AG425" s="894"/>
      <c r="AH425" s="893"/>
      <c r="AI425" s="882">
        <v>55333.304615384615</v>
      </c>
      <c r="AJ425" s="894"/>
      <c r="AK425" s="893"/>
      <c r="AL425" s="882">
        <v>68206.630769230775</v>
      </c>
      <c r="AM425" s="894"/>
      <c r="AN425" s="893"/>
      <c r="AO425" s="882">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91"/>
      <c r="D426" s="890"/>
      <c r="E426" s="888">
        <v>336231.2</v>
      </c>
      <c r="F426" s="891"/>
      <c r="G426" s="890"/>
      <c r="H426" s="888">
        <v>25902.400000000001</v>
      </c>
      <c r="I426" s="891"/>
      <c r="J426" s="890"/>
      <c r="K426" s="888">
        <v>25902.400000000001</v>
      </c>
      <c r="L426" s="891"/>
      <c r="M426" s="890"/>
      <c r="N426" s="888">
        <v>32252.999999999996</v>
      </c>
      <c r="O426" s="891"/>
      <c r="P426" s="890"/>
      <c r="Q426" s="888">
        <v>25902.400000000001</v>
      </c>
      <c r="R426" s="891"/>
      <c r="S426" s="890"/>
      <c r="T426" s="888">
        <v>32252.999999999996</v>
      </c>
      <c r="U426" s="891"/>
      <c r="V426" s="890"/>
      <c r="W426" s="888">
        <v>25902.400000000001</v>
      </c>
      <c r="X426" s="891"/>
      <c r="Y426" s="890"/>
      <c r="Z426" s="888">
        <v>25902.400000000001</v>
      </c>
      <c r="AA426" s="891"/>
      <c r="AB426" s="890"/>
      <c r="AC426" s="888">
        <v>32252.999999999996</v>
      </c>
      <c r="AD426" s="891"/>
      <c r="AE426" s="890"/>
      <c r="AF426" s="888">
        <v>25902.400000000001</v>
      </c>
      <c r="AG426" s="891"/>
      <c r="AH426" s="890"/>
      <c r="AI426" s="888">
        <v>25902.400000000001</v>
      </c>
      <c r="AJ426" s="891"/>
      <c r="AK426" s="890"/>
      <c r="AL426" s="888">
        <v>32252.999999999996</v>
      </c>
      <c r="AM426" s="891"/>
      <c r="AN426" s="890"/>
      <c r="AO426" s="888">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91"/>
      <c r="D427" s="890"/>
      <c r="E427" s="888">
        <v>365799.26791981579</v>
      </c>
      <c r="F427" s="891"/>
      <c r="G427" s="890"/>
      <c r="H427" s="888">
        <v>22290.336382194619</v>
      </c>
      <c r="I427" s="891"/>
      <c r="J427" s="890"/>
      <c r="K427" s="888">
        <v>22366.944585270074</v>
      </c>
      <c r="L427" s="891"/>
      <c r="M427" s="890"/>
      <c r="N427" s="888">
        <v>29459.471030658788</v>
      </c>
      <c r="O427" s="891"/>
      <c r="P427" s="890"/>
      <c r="Q427" s="888">
        <v>37251.8431136</v>
      </c>
      <c r="R427" s="891"/>
      <c r="S427" s="890"/>
      <c r="T427" s="888">
        <v>42491.9338336</v>
      </c>
      <c r="U427" s="891"/>
      <c r="V427" s="890"/>
      <c r="W427" s="888">
        <v>26712.389950435332</v>
      </c>
      <c r="X427" s="891"/>
      <c r="Y427" s="890"/>
      <c r="Z427" s="888">
        <v>27492.507699199999</v>
      </c>
      <c r="AA427" s="891"/>
      <c r="AB427" s="890"/>
      <c r="AC427" s="888">
        <v>28714.218215727149</v>
      </c>
      <c r="AD427" s="891"/>
      <c r="AE427" s="890"/>
      <c r="AF427" s="888">
        <v>23405.232981063091</v>
      </c>
      <c r="AG427" s="891"/>
      <c r="AH427" s="890"/>
      <c r="AI427" s="888">
        <v>35443.838744000001</v>
      </c>
      <c r="AJ427" s="891"/>
      <c r="AK427" s="890"/>
      <c r="AL427" s="888">
        <v>44455.465460799998</v>
      </c>
      <c r="AM427" s="891"/>
      <c r="AN427" s="890"/>
      <c r="AO427" s="888">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4"/>
      <c r="D431" s="900">
        <v>0.10693290433687554</v>
      </c>
      <c r="E431" s="882">
        <v>507421.00753431476</v>
      </c>
      <c r="F431" s="894"/>
      <c r="G431" s="900">
        <v>0.11711641376646761</v>
      </c>
      <c r="H431" s="882">
        <v>34984.320724729194</v>
      </c>
      <c r="I431" s="894"/>
      <c r="J431" s="900">
        <v>0.11261216959113989</v>
      </c>
      <c r="K431" s="882">
        <v>33542.896222312993</v>
      </c>
      <c r="L431" s="894"/>
      <c r="M431" s="900">
        <v>0.11116773991338116</v>
      </c>
      <c r="N431" s="882">
        <v>43426.169981145358</v>
      </c>
      <c r="O431" s="894"/>
      <c r="P431" s="900">
        <v>0.10663128509549781</v>
      </c>
      <c r="Q431" s="882">
        <v>48113.663406611187</v>
      </c>
      <c r="R431" s="894"/>
      <c r="S431" s="900">
        <v>0.10475550256431473</v>
      </c>
      <c r="T431" s="882">
        <v>53870.769262356829</v>
      </c>
      <c r="U431" s="894"/>
      <c r="V431" s="900">
        <v>0.10327728596937698</v>
      </c>
      <c r="W431" s="882">
        <v>39545.835860183834</v>
      </c>
      <c r="X431" s="894"/>
      <c r="Y431" s="900">
        <v>0.10573735022331973</v>
      </c>
      <c r="Z431" s="882">
        <v>39396.993701035637</v>
      </c>
      <c r="AA431" s="894"/>
      <c r="AB431" s="900">
        <v>0.10523452603547778</v>
      </c>
      <c r="AC431" s="882">
        <v>43180.297610855181</v>
      </c>
      <c r="AD431" s="894"/>
      <c r="AE431" s="900">
        <v>0.10703193137940083</v>
      </c>
      <c r="AF431" s="882">
        <v>38093.290912720571</v>
      </c>
      <c r="AG431" s="894"/>
      <c r="AH431" s="900">
        <v>0.10070209621393515</v>
      </c>
      <c r="AI431" s="882">
        <v>46387.614666163012</v>
      </c>
      <c r="AJ431" s="894"/>
      <c r="AK431" s="900">
        <v>0.10583616161587948</v>
      </c>
      <c r="AL431" s="882">
        <v>52421.977623800558</v>
      </c>
      <c r="AM431" s="894"/>
      <c r="AN431" s="900">
        <v>0.10943630574862238</v>
      </c>
      <c r="AO431" s="882">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91"/>
      <c r="D432" s="901">
        <v>0.13001533743161964</v>
      </c>
      <c r="E432" s="888">
        <v>616952.4144470084</v>
      </c>
      <c r="F432" s="891"/>
      <c r="G432" s="901">
        <v>0.14239704933720293</v>
      </c>
      <c r="H432" s="888">
        <v>42536.002290860168</v>
      </c>
      <c r="I432" s="891"/>
      <c r="J432" s="901">
        <v>0.13692052337953572</v>
      </c>
      <c r="K432" s="888">
        <v>40783.433292327696</v>
      </c>
      <c r="L432" s="891"/>
      <c r="M432" s="901">
        <v>0.13516430051142383</v>
      </c>
      <c r="N432" s="888">
        <v>52800.100946238417</v>
      </c>
      <c r="O432" s="891"/>
      <c r="P432" s="901">
        <v>0.12964861095311628</v>
      </c>
      <c r="Q432" s="888">
        <v>58499.432159580123</v>
      </c>
      <c r="R432" s="891"/>
      <c r="S432" s="901">
        <v>0.12736792382269105</v>
      </c>
      <c r="T432" s="888">
        <v>65499.26130577307</v>
      </c>
      <c r="U432" s="891"/>
      <c r="V432" s="901">
        <v>0.12557062082620285</v>
      </c>
      <c r="W432" s="888">
        <v>48082.161662602375</v>
      </c>
      <c r="X432" s="891"/>
      <c r="Y432" s="901">
        <v>0.12856171216579845</v>
      </c>
      <c r="Z432" s="888">
        <v>47901.19057923276</v>
      </c>
      <c r="AA432" s="891"/>
      <c r="AB432" s="901">
        <v>0.12795034883608755</v>
      </c>
      <c r="AC432" s="888">
        <v>52501.154804387807</v>
      </c>
      <c r="AD432" s="891"/>
      <c r="AE432" s="901">
        <v>0.13013574035557107</v>
      </c>
      <c r="AF432" s="888">
        <v>46316.071770532508</v>
      </c>
      <c r="AG432" s="891"/>
      <c r="AH432" s="901">
        <v>0.12243955310592998</v>
      </c>
      <c r="AI432" s="888">
        <v>56400.800210841378</v>
      </c>
      <c r="AJ432" s="891"/>
      <c r="AK432" s="901">
        <v>0.12868185288979178</v>
      </c>
      <c r="AL432" s="888">
        <v>63737.734908233273</v>
      </c>
      <c r="AM432" s="891"/>
      <c r="AN432" s="901">
        <v>0.13305912064590211</v>
      </c>
      <c r="AO432" s="888">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91"/>
      <c r="D433" s="901">
        <v>6.6986162981073558E-2</v>
      </c>
      <c r="E433" s="888">
        <v>317864.61353030638</v>
      </c>
      <c r="F433" s="891"/>
      <c r="G433" s="901">
        <v>7.3365436288950203E-2</v>
      </c>
      <c r="H433" s="888">
        <v>21915.288136812738</v>
      </c>
      <c r="I433" s="891"/>
      <c r="J433" s="901">
        <v>7.0543834871630351E-2</v>
      </c>
      <c r="K433" s="888">
        <v>21012.334109307962</v>
      </c>
      <c r="L433" s="891"/>
      <c r="M433" s="901">
        <v>6.9638998306972691E-2</v>
      </c>
      <c r="N433" s="888">
        <v>27203.530270127179</v>
      </c>
      <c r="O433" s="891"/>
      <c r="P433" s="901">
        <v>6.6797219121496859E-2</v>
      </c>
      <c r="Q433" s="888">
        <v>30139.92483004454</v>
      </c>
      <c r="R433" s="891"/>
      <c r="S433" s="901">
        <v>6.5622169447777781E-2</v>
      </c>
      <c r="T433" s="888">
        <v>33746.35854232221</v>
      </c>
      <c r="U433" s="891"/>
      <c r="V433" s="901">
        <v>6.469616768654364E-2</v>
      </c>
      <c r="W433" s="888">
        <v>24772.765900079918</v>
      </c>
      <c r="X433" s="891"/>
      <c r="Y433" s="901">
        <v>6.6237229963683114E-2</v>
      </c>
      <c r="Z433" s="888">
        <v>24679.526450604706</v>
      </c>
      <c r="AA433" s="891"/>
      <c r="AB433" s="901">
        <v>6.5922244943810299E-2</v>
      </c>
      <c r="AC433" s="888">
        <v>27049.508018782406</v>
      </c>
      <c r="AD433" s="891"/>
      <c r="AE433" s="901">
        <v>6.7048196661457268E-2</v>
      </c>
      <c r="AF433" s="888">
        <v>23862.845673078704</v>
      </c>
      <c r="AG433" s="891"/>
      <c r="AH433" s="901">
        <v>6.30829871437074E-2</v>
      </c>
      <c r="AI433" s="888">
        <v>29058.673152107407</v>
      </c>
      <c r="AJ433" s="891"/>
      <c r="AK433" s="901">
        <v>6.6299128554088385E-2</v>
      </c>
      <c r="AL433" s="888">
        <v>32838.789507068017</v>
      </c>
      <c r="AM433" s="891"/>
      <c r="AN433" s="901">
        <v>6.8554373028432175E-2</v>
      </c>
      <c r="AO433" s="888">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91"/>
      <c r="D434" s="901">
        <v>2.9206343915798603E-2</v>
      </c>
      <c r="E434" s="888">
        <v>138590.75976708156</v>
      </c>
      <c r="F434" s="891"/>
      <c r="G434" s="901">
        <v>3.1987742967052833E-2</v>
      </c>
      <c r="H434" s="888">
        <v>9555.1889204106192</v>
      </c>
      <c r="I434" s="891"/>
      <c r="J434" s="901">
        <v>3.0757508875113092E-2</v>
      </c>
      <c r="K434" s="888">
        <v>9161.4958845083929</v>
      </c>
      <c r="L434" s="891"/>
      <c r="M434" s="901">
        <v>3.0362995042421289E-2</v>
      </c>
      <c r="N434" s="888">
        <v>11860.892241546309</v>
      </c>
      <c r="O434" s="891"/>
      <c r="P434" s="901">
        <v>2.912396333004786E-2</v>
      </c>
      <c r="Q434" s="888">
        <v>13141.176789470897</v>
      </c>
      <c r="R434" s="891"/>
      <c r="S434" s="901">
        <v>2.8611635061619001E-2</v>
      </c>
      <c r="T434" s="888">
        <v>14713.602177383804</v>
      </c>
      <c r="U434" s="891"/>
      <c r="V434" s="901">
        <v>2.820789308414702E-2</v>
      </c>
      <c r="W434" s="888">
        <v>10801.065301019375</v>
      </c>
      <c r="X434" s="891"/>
      <c r="Y434" s="901">
        <v>2.8879804906809792E-2</v>
      </c>
      <c r="Z434" s="888">
        <v>10760.412376494314</v>
      </c>
      <c r="AA434" s="891"/>
      <c r="AB434" s="901">
        <v>2.8742469666077627E-2</v>
      </c>
      <c r="AC434" s="888">
        <v>11793.737673449432</v>
      </c>
      <c r="AD434" s="891"/>
      <c r="AE434" s="901">
        <v>2.9233390949439879E-2</v>
      </c>
      <c r="AF434" s="888">
        <v>10404.334962945708</v>
      </c>
      <c r="AG434" s="891"/>
      <c r="AH434" s="901">
        <v>2.7504537291911806E-2</v>
      </c>
      <c r="AI434" s="888">
        <v>12669.744974899149</v>
      </c>
      <c r="AJ434" s="891"/>
      <c r="AK434" s="901">
        <v>2.8906793040460475E-2</v>
      </c>
      <c r="AL434" s="888">
        <v>14317.896972139359</v>
      </c>
      <c r="AM434" s="891"/>
      <c r="AN434" s="901">
        <v>2.9890092319006994E-2</v>
      </c>
      <c r="AO434" s="888">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5">
        <v>0.42289995609127123</v>
      </c>
      <c r="D436" s="902"/>
      <c r="E436" s="897">
        <v>3846014.6231985269</v>
      </c>
      <c r="F436" s="895">
        <v>0.56493651638558362</v>
      </c>
      <c r="G436" s="902"/>
      <c r="H436" s="897">
        <v>279437.8808139817</v>
      </c>
      <c r="I436" s="895">
        <v>0.57048198190421995</v>
      </c>
      <c r="J436" s="902"/>
      <c r="K436" s="897">
        <v>275023.84845270147</v>
      </c>
      <c r="L436" s="895">
        <v>0.50322251452829714</v>
      </c>
      <c r="M436" s="902"/>
      <c r="N436" s="897">
        <v>343283.31575176731</v>
      </c>
      <c r="O436" s="895">
        <v>0.35087401056226164</v>
      </c>
      <c r="P436" s="902"/>
      <c r="Q436" s="897">
        <v>335302.78465828107</v>
      </c>
      <c r="R436" s="895">
        <v>0.37382801223611045</v>
      </c>
      <c r="S436" s="902"/>
      <c r="T436" s="897">
        <v>388855.07640348718</v>
      </c>
      <c r="U436" s="895">
        <v>0.3863408339461093</v>
      </c>
      <c r="V436" s="902"/>
      <c r="W436" s="897">
        <v>298070.96303329512</v>
      </c>
      <c r="X436" s="895">
        <v>0.40929497571419138</v>
      </c>
      <c r="Y436" s="902"/>
      <c r="Z436" s="897">
        <v>298387.37516554177</v>
      </c>
      <c r="AA436" s="895">
        <v>0.45784398087489375</v>
      </c>
      <c r="AB436" s="902"/>
      <c r="AC436" s="897">
        <v>341772.06760525331</v>
      </c>
      <c r="AD436" s="895">
        <v>0.42869845194786171</v>
      </c>
      <c r="AE436" s="902"/>
      <c r="AF436" s="897">
        <v>290238.52065931493</v>
      </c>
      <c r="AG436" s="895">
        <v>0.32808588638036834</v>
      </c>
      <c r="AH436" s="902"/>
      <c r="AI436" s="897">
        <v>328117.4161069853</v>
      </c>
      <c r="AJ436" s="895">
        <v>0.39186491002014928</v>
      </c>
      <c r="AK436" s="902"/>
      <c r="AL436" s="897">
        <v>386305.01575409248</v>
      </c>
      <c r="AM436" s="895">
        <v>0.53089943988840393</v>
      </c>
      <c r="AN436" s="902"/>
      <c r="AO436" s="897">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3"/>
      <c r="D437" s="904"/>
      <c r="E437" s="905">
        <v>178062.72547083328</v>
      </c>
      <c r="F437" s="903"/>
      <c r="G437" s="904"/>
      <c r="H437" s="905">
        <v>14838.560455902774</v>
      </c>
      <c r="I437" s="903"/>
      <c r="J437" s="904"/>
      <c r="K437" s="905">
        <v>14838.560455902774</v>
      </c>
      <c r="L437" s="903"/>
      <c r="M437" s="904"/>
      <c r="N437" s="905">
        <v>14838.560455902774</v>
      </c>
      <c r="O437" s="903"/>
      <c r="P437" s="904"/>
      <c r="Q437" s="905">
        <v>14838.560455902774</v>
      </c>
      <c r="R437" s="903"/>
      <c r="S437" s="904"/>
      <c r="T437" s="905">
        <v>14838.560455902774</v>
      </c>
      <c r="U437" s="903"/>
      <c r="V437" s="904"/>
      <c r="W437" s="905">
        <v>14838.560455902774</v>
      </c>
      <c r="X437" s="903"/>
      <c r="Y437" s="904"/>
      <c r="Z437" s="905">
        <v>14838.560455902774</v>
      </c>
      <c r="AA437" s="903"/>
      <c r="AB437" s="904"/>
      <c r="AC437" s="905">
        <v>14838.560455902774</v>
      </c>
      <c r="AD437" s="903"/>
      <c r="AE437" s="904"/>
      <c r="AF437" s="905">
        <v>14838.560455902774</v>
      </c>
      <c r="AG437" s="903"/>
      <c r="AH437" s="904"/>
      <c r="AI437" s="905">
        <v>14838.560455902774</v>
      </c>
      <c r="AJ437" s="903"/>
      <c r="AK437" s="904"/>
      <c r="AL437" s="905">
        <v>14838.560455902774</v>
      </c>
      <c r="AM437" s="903"/>
      <c r="AN437" s="904"/>
      <c r="AO437" s="905">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91"/>
      <c r="D438" s="890"/>
      <c r="E438" s="888">
        <v>71268.787510789742</v>
      </c>
      <c r="F438" s="891"/>
      <c r="G438" s="890"/>
      <c r="H438" s="888">
        <v>5939.0656258991448</v>
      </c>
      <c r="I438" s="891"/>
      <c r="J438" s="890"/>
      <c r="K438" s="888">
        <v>5939.0656258991448</v>
      </c>
      <c r="L438" s="891"/>
      <c r="M438" s="890"/>
      <c r="N438" s="888">
        <v>5939.0656258991448</v>
      </c>
      <c r="O438" s="891"/>
      <c r="P438" s="890"/>
      <c r="Q438" s="888">
        <v>5939.0656258991448</v>
      </c>
      <c r="R438" s="891"/>
      <c r="S438" s="890"/>
      <c r="T438" s="888">
        <v>5939.0656258991448</v>
      </c>
      <c r="U438" s="891"/>
      <c r="V438" s="890"/>
      <c r="W438" s="888">
        <v>5939.0656258991448</v>
      </c>
      <c r="X438" s="891"/>
      <c r="Y438" s="890"/>
      <c r="Z438" s="888">
        <v>5939.0656258991448</v>
      </c>
      <c r="AA438" s="891"/>
      <c r="AB438" s="890"/>
      <c r="AC438" s="888">
        <v>5939.0656258991448</v>
      </c>
      <c r="AD438" s="891"/>
      <c r="AE438" s="890"/>
      <c r="AF438" s="888">
        <v>5939.0656258991448</v>
      </c>
      <c r="AG438" s="891"/>
      <c r="AH438" s="890"/>
      <c r="AI438" s="888">
        <v>5939.0656258991448</v>
      </c>
      <c r="AJ438" s="891"/>
      <c r="AK438" s="890"/>
      <c r="AL438" s="888">
        <v>5939.0656258991448</v>
      </c>
      <c r="AM438" s="891"/>
      <c r="AN438" s="890"/>
      <c r="AO438" s="888">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4"/>
      <c r="D439" s="893"/>
      <c r="E439" s="882">
        <v>312900</v>
      </c>
      <c r="F439" s="894"/>
      <c r="G439" s="893"/>
      <c r="H439" s="882">
        <v>26075</v>
      </c>
      <c r="I439" s="894"/>
      <c r="J439" s="893"/>
      <c r="K439" s="882">
        <v>26075</v>
      </c>
      <c r="L439" s="894"/>
      <c r="M439" s="893"/>
      <c r="N439" s="882">
        <v>26075</v>
      </c>
      <c r="O439" s="894"/>
      <c r="P439" s="893"/>
      <c r="Q439" s="882">
        <v>26075</v>
      </c>
      <c r="R439" s="894"/>
      <c r="S439" s="893"/>
      <c r="T439" s="882">
        <v>26075</v>
      </c>
      <c r="U439" s="894"/>
      <c r="V439" s="893"/>
      <c r="W439" s="882">
        <v>26075</v>
      </c>
      <c r="X439" s="894"/>
      <c r="Y439" s="893"/>
      <c r="Z439" s="882">
        <v>26075</v>
      </c>
      <c r="AA439" s="894"/>
      <c r="AB439" s="893"/>
      <c r="AC439" s="882">
        <v>26075</v>
      </c>
      <c r="AD439" s="894"/>
      <c r="AE439" s="893"/>
      <c r="AF439" s="882">
        <v>26075</v>
      </c>
      <c r="AG439" s="894"/>
      <c r="AH439" s="893"/>
      <c r="AI439" s="882">
        <v>26075</v>
      </c>
      <c r="AJ439" s="894"/>
      <c r="AK439" s="893"/>
      <c r="AL439" s="882">
        <v>26075</v>
      </c>
      <c r="AM439" s="894"/>
      <c r="AN439" s="893"/>
      <c r="AO439" s="882">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91"/>
      <c r="D440" s="890"/>
      <c r="E440" s="888">
        <v>267248.26213333331</v>
      </c>
      <c r="F440" s="891"/>
      <c r="G440" s="890"/>
      <c r="H440" s="888">
        <v>22270.688511111108</v>
      </c>
      <c r="I440" s="891"/>
      <c r="J440" s="890"/>
      <c r="K440" s="888">
        <v>22270.688511111108</v>
      </c>
      <c r="L440" s="891"/>
      <c r="M440" s="890"/>
      <c r="N440" s="888">
        <v>22270.688511111108</v>
      </c>
      <c r="O440" s="891"/>
      <c r="P440" s="890"/>
      <c r="Q440" s="888">
        <v>22270.688511111108</v>
      </c>
      <c r="R440" s="891"/>
      <c r="S440" s="890"/>
      <c r="T440" s="888">
        <v>22270.688511111108</v>
      </c>
      <c r="U440" s="891"/>
      <c r="V440" s="890"/>
      <c r="W440" s="888">
        <v>22270.688511111108</v>
      </c>
      <c r="X440" s="891"/>
      <c r="Y440" s="890"/>
      <c r="Z440" s="888">
        <v>22270.688511111108</v>
      </c>
      <c r="AA440" s="891"/>
      <c r="AB440" s="890"/>
      <c r="AC440" s="888">
        <v>22270.688511111108</v>
      </c>
      <c r="AD440" s="891"/>
      <c r="AE440" s="890"/>
      <c r="AF440" s="888">
        <v>22270.688511111108</v>
      </c>
      <c r="AG440" s="891"/>
      <c r="AH440" s="890"/>
      <c r="AI440" s="888">
        <v>22270.688511111108</v>
      </c>
      <c r="AJ440" s="891"/>
      <c r="AK440" s="890"/>
      <c r="AL440" s="888">
        <v>22270.688511111108</v>
      </c>
      <c r="AM440" s="891"/>
      <c r="AN440" s="890"/>
      <c r="AO440" s="888">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91"/>
      <c r="D441" s="890"/>
      <c r="E441" s="888">
        <v>43077.230558333336</v>
      </c>
      <c r="F441" s="891"/>
      <c r="G441" s="890"/>
      <c r="H441" s="888">
        <v>3589.7692131944445</v>
      </c>
      <c r="I441" s="891"/>
      <c r="J441" s="890"/>
      <c r="K441" s="888">
        <v>3589.7692131944445</v>
      </c>
      <c r="L441" s="891"/>
      <c r="M441" s="890"/>
      <c r="N441" s="888">
        <v>3589.7692131944445</v>
      </c>
      <c r="O441" s="891"/>
      <c r="P441" s="890"/>
      <c r="Q441" s="888">
        <v>3589.7692131944445</v>
      </c>
      <c r="R441" s="891"/>
      <c r="S441" s="890"/>
      <c r="T441" s="888">
        <v>3589.7692131944445</v>
      </c>
      <c r="U441" s="891"/>
      <c r="V441" s="890"/>
      <c r="W441" s="888">
        <v>3589.7692131944445</v>
      </c>
      <c r="X441" s="891"/>
      <c r="Y441" s="890"/>
      <c r="Z441" s="888">
        <v>3589.7692131944445</v>
      </c>
      <c r="AA441" s="891"/>
      <c r="AB441" s="890"/>
      <c r="AC441" s="888">
        <v>3589.7692131944445</v>
      </c>
      <c r="AD441" s="891"/>
      <c r="AE441" s="890"/>
      <c r="AF441" s="888">
        <v>3589.7692131944445</v>
      </c>
      <c r="AG441" s="891"/>
      <c r="AH441" s="890"/>
      <c r="AI441" s="888">
        <v>3589.7692131944445</v>
      </c>
      <c r="AJ441" s="891"/>
      <c r="AK441" s="890"/>
      <c r="AL441" s="888">
        <v>3589.7692131944445</v>
      </c>
      <c r="AM441" s="891"/>
      <c r="AN441" s="890"/>
      <c r="AO441" s="888">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6"/>
      <c r="D442" s="907"/>
      <c r="E442" s="908">
        <v>335233.92781847215</v>
      </c>
      <c r="F442" s="906"/>
      <c r="G442" s="907"/>
      <c r="H442" s="908">
        <v>26936.160651539351</v>
      </c>
      <c r="I442" s="906"/>
      <c r="J442" s="907"/>
      <c r="K442" s="908">
        <v>26936.160651539351</v>
      </c>
      <c r="L442" s="906"/>
      <c r="M442" s="907"/>
      <c r="N442" s="908">
        <v>26436.160651539351</v>
      </c>
      <c r="O442" s="906"/>
      <c r="P442" s="907"/>
      <c r="Q442" s="908">
        <v>26436.160651539351</v>
      </c>
      <c r="R442" s="906"/>
      <c r="S442" s="907"/>
      <c r="T442" s="908">
        <v>31436.160651539354</v>
      </c>
      <c r="U442" s="906"/>
      <c r="V442" s="907"/>
      <c r="W442" s="908">
        <v>26936.160651539351</v>
      </c>
      <c r="X442" s="906"/>
      <c r="Y442" s="907"/>
      <c r="Z442" s="908">
        <v>26936.160651539351</v>
      </c>
      <c r="AA442" s="906"/>
      <c r="AB442" s="907"/>
      <c r="AC442" s="908">
        <v>24936.160651539351</v>
      </c>
      <c r="AD442" s="906"/>
      <c r="AE442" s="907"/>
      <c r="AF442" s="908">
        <v>24936.160651539351</v>
      </c>
      <c r="AG442" s="906"/>
      <c r="AH442" s="907"/>
      <c r="AI442" s="908">
        <v>31436.160651539354</v>
      </c>
      <c r="AJ442" s="906"/>
      <c r="AK442" s="907"/>
      <c r="AL442" s="908">
        <v>36436.160651539351</v>
      </c>
      <c r="AM442" s="906"/>
      <c r="AN442" s="907"/>
      <c r="AO442" s="908">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91"/>
      <c r="D444" s="890"/>
      <c r="E444" s="888">
        <v>73000</v>
      </c>
      <c r="F444" s="891"/>
      <c r="G444" s="890"/>
      <c r="H444" s="888">
        <v>6083.333333333333</v>
      </c>
      <c r="I444" s="891"/>
      <c r="J444" s="890"/>
      <c r="K444" s="888">
        <v>6083.333333333333</v>
      </c>
      <c r="L444" s="891"/>
      <c r="M444" s="890"/>
      <c r="N444" s="888">
        <v>6083.333333333333</v>
      </c>
      <c r="O444" s="891"/>
      <c r="P444" s="890"/>
      <c r="Q444" s="888">
        <v>6083.333333333333</v>
      </c>
      <c r="R444" s="891"/>
      <c r="S444" s="890"/>
      <c r="T444" s="888">
        <v>6083.333333333333</v>
      </c>
      <c r="U444" s="891"/>
      <c r="V444" s="890"/>
      <c r="W444" s="888">
        <v>6083.333333333333</v>
      </c>
      <c r="X444" s="891"/>
      <c r="Y444" s="890"/>
      <c r="Z444" s="888">
        <v>6083.333333333333</v>
      </c>
      <c r="AA444" s="891"/>
      <c r="AB444" s="890"/>
      <c r="AC444" s="888">
        <v>6083.333333333333</v>
      </c>
      <c r="AD444" s="891"/>
      <c r="AE444" s="890"/>
      <c r="AF444" s="888">
        <v>6083.333333333333</v>
      </c>
      <c r="AG444" s="891"/>
      <c r="AH444" s="890"/>
      <c r="AI444" s="888">
        <v>6083.333333333333</v>
      </c>
      <c r="AJ444" s="891"/>
      <c r="AK444" s="890"/>
      <c r="AL444" s="888">
        <v>6083.333333333333</v>
      </c>
      <c r="AM444" s="891"/>
      <c r="AN444" s="890"/>
      <c r="AO444" s="888">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91"/>
      <c r="D445" s="890"/>
      <c r="E445" s="888">
        <v>18663.299651285317</v>
      </c>
      <c r="F445" s="891"/>
      <c r="G445" s="890"/>
      <c r="H445" s="888">
        <v>1555.2749709404429</v>
      </c>
      <c r="I445" s="891"/>
      <c r="J445" s="890"/>
      <c r="K445" s="888">
        <v>1555.2749709404429</v>
      </c>
      <c r="L445" s="891"/>
      <c r="M445" s="890"/>
      <c r="N445" s="888">
        <v>1555.2749709404429</v>
      </c>
      <c r="O445" s="891"/>
      <c r="P445" s="890"/>
      <c r="Q445" s="888">
        <v>1555.2749709404429</v>
      </c>
      <c r="R445" s="891"/>
      <c r="S445" s="890"/>
      <c r="T445" s="888">
        <v>1555.2749709404429</v>
      </c>
      <c r="U445" s="891"/>
      <c r="V445" s="890"/>
      <c r="W445" s="888">
        <v>1555.2749709404429</v>
      </c>
      <c r="X445" s="891"/>
      <c r="Y445" s="890"/>
      <c r="Z445" s="888">
        <v>1555.2749709404429</v>
      </c>
      <c r="AA445" s="891"/>
      <c r="AB445" s="890"/>
      <c r="AC445" s="888">
        <v>1555.2749709404429</v>
      </c>
      <c r="AD445" s="891"/>
      <c r="AE445" s="890"/>
      <c r="AF445" s="888">
        <v>1555.2749709404429</v>
      </c>
      <c r="AG445" s="891"/>
      <c r="AH445" s="890"/>
      <c r="AI445" s="888">
        <v>1555.2749709404429</v>
      </c>
      <c r="AJ445" s="891"/>
      <c r="AK445" s="890"/>
      <c r="AL445" s="888">
        <v>1555.2749709404429</v>
      </c>
      <c r="AM445" s="891"/>
      <c r="AN445" s="890"/>
      <c r="AO445" s="888">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91"/>
      <c r="D446" s="890"/>
      <c r="E446" s="888">
        <v>31049.358898800008</v>
      </c>
      <c r="F446" s="891"/>
      <c r="G446" s="890"/>
      <c r="H446" s="888">
        <v>2587.4465749000001</v>
      </c>
      <c r="I446" s="891"/>
      <c r="J446" s="890"/>
      <c r="K446" s="888">
        <v>2587.4465749000001</v>
      </c>
      <c r="L446" s="891"/>
      <c r="M446" s="890"/>
      <c r="N446" s="888">
        <v>2587.4465749000001</v>
      </c>
      <c r="O446" s="891"/>
      <c r="P446" s="890"/>
      <c r="Q446" s="888">
        <v>2587.4465749000001</v>
      </c>
      <c r="R446" s="891"/>
      <c r="S446" s="890"/>
      <c r="T446" s="888">
        <v>2587.4465749000001</v>
      </c>
      <c r="U446" s="891"/>
      <c r="V446" s="890"/>
      <c r="W446" s="888">
        <v>2587.4465749000001</v>
      </c>
      <c r="X446" s="891"/>
      <c r="Y446" s="890"/>
      <c r="Z446" s="888">
        <v>2587.4465749000001</v>
      </c>
      <c r="AA446" s="891"/>
      <c r="AB446" s="890"/>
      <c r="AC446" s="888">
        <v>2587.4465749000001</v>
      </c>
      <c r="AD446" s="891"/>
      <c r="AE446" s="890"/>
      <c r="AF446" s="888">
        <v>2587.4465749000001</v>
      </c>
      <c r="AG446" s="891"/>
      <c r="AH446" s="890"/>
      <c r="AI446" s="888">
        <v>2587.4465749000001</v>
      </c>
      <c r="AJ446" s="891"/>
      <c r="AK446" s="890"/>
      <c r="AL446" s="888">
        <v>2587.4465749000001</v>
      </c>
      <c r="AM446" s="891"/>
      <c r="AN446" s="890"/>
      <c r="AO446" s="888">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91"/>
      <c r="D447" s="890"/>
      <c r="E447" s="888">
        <v>9337.3891894833341</v>
      </c>
      <c r="F447" s="891"/>
      <c r="G447" s="890"/>
      <c r="H447" s="888">
        <v>778.11576579027781</v>
      </c>
      <c r="I447" s="891"/>
      <c r="J447" s="890"/>
      <c r="K447" s="888">
        <v>778.11576579027781</v>
      </c>
      <c r="L447" s="891"/>
      <c r="M447" s="890"/>
      <c r="N447" s="888">
        <v>778.11576579027781</v>
      </c>
      <c r="O447" s="891"/>
      <c r="P447" s="890"/>
      <c r="Q447" s="888">
        <v>778.11576579027781</v>
      </c>
      <c r="R447" s="891"/>
      <c r="S447" s="890"/>
      <c r="T447" s="888">
        <v>778.11576579027781</v>
      </c>
      <c r="U447" s="891"/>
      <c r="V447" s="890"/>
      <c r="W447" s="888">
        <v>778.11576579027781</v>
      </c>
      <c r="X447" s="891"/>
      <c r="Y447" s="890"/>
      <c r="Z447" s="888">
        <v>778.11576579027781</v>
      </c>
      <c r="AA447" s="891"/>
      <c r="AB447" s="890"/>
      <c r="AC447" s="888">
        <v>778.11576579027781</v>
      </c>
      <c r="AD447" s="891"/>
      <c r="AE447" s="890"/>
      <c r="AF447" s="888">
        <v>778.11576579027781</v>
      </c>
      <c r="AG447" s="891"/>
      <c r="AH447" s="890"/>
      <c r="AI447" s="888">
        <v>778.11576579027781</v>
      </c>
      <c r="AJ447" s="891"/>
      <c r="AK447" s="890"/>
      <c r="AL447" s="888">
        <v>778.11576579027781</v>
      </c>
      <c r="AM447" s="891"/>
      <c r="AN447" s="890"/>
      <c r="AO447" s="888">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91"/>
      <c r="D448" s="890"/>
      <c r="E448" s="888">
        <v>5547.3145465166644</v>
      </c>
      <c r="F448" s="891"/>
      <c r="G448" s="890"/>
      <c r="H448" s="888">
        <v>462.27621220972219</v>
      </c>
      <c r="I448" s="891"/>
      <c r="J448" s="890"/>
      <c r="K448" s="888">
        <v>462.27621220972219</v>
      </c>
      <c r="L448" s="891"/>
      <c r="M448" s="890"/>
      <c r="N448" s="888">
        <v>462.27621220972219</v>
      </c>
      <c r="O448" s="891"/>
      <c r="P448" s="890"/>
      <c r="Q448" s="888">
        <v>462.27621220972219</v>
      </c>
      <c r="R448" s="891"/>
      <c r="S448" s="890"/>
      <c r="T448" s="888">
        <v>462.27621220972219</v>
      </c>
      <c r="U448" s="891"/>
      <c r="V448" s="890"/>
      <c r="W448" s="888">
        <v>462.27621220972219</v>
      </c>
      <c r="X448" s="891"/>
      <c r="Y448" s="890"/>
      <c r="Z448" s="888">
        <v>462.27621220972219</v>
      </c>
      <c r="AA448" s="891"/>
      <c r="AB448" s="890"/>
      <c r="AC448" s="888">
        <v>462.27621220972219</v>
      </c>
      <c r="AD448" s="891"/>
      <c r="AE448" s="890"/>
      <c r="AF448" s="888">
        <v>462.27621220972219</v>
      </c>
      <c r="AG448" s="891"/>
      <c r="AH448" s="890"/>
      <c r="AI448" s="888">
        <v>462.27621220972219</v>
      </c>
      <c r="AJ448" s="891"/>
      <c r="AK448" s="890"/>
      <c r="AL448" s="888">
        <v>462.27621220972219</v>
      </c>
      <c r="AM448" s="891"/>
      <c r="AN448" s="890"/>
      <c r="AO448" s="888">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91"/>
      <c r="D449" s="890"/>
      <c r="E449" s="888">
        <v>13829.75112881667</v>
      </c>
      <c r="F449" s="891"/>
      <c r="G449" s="890"/>
      <c r="H449" s="888">
        <v>1152.4792607347222</v>
      </c>
      <c r="I449" s="891"/>
      <c r="J449" s="890"/>
      <c r="K449" s="888">
        <v>1152.4792607347222</v>
      </c>
      <c r="L449" s="891"/>
      <c r="M449" s="890"/>
      <c r="N449" s="888">
        <v>1152.4792607347222</v>
      </c>
      <c r="O449" s="891"/>
      <c r="P449" s="890"/>
      <c r="Q449" s="888">
        <v>1152.4792607347222</v>
      </c>
      <c r="R449" s="891"/>
      <c r="S449" s="890"/>
      <c r="T449" s="888">
        <v>1152.4792607347222</v>
      </c>
      <c r="U449" s="891"/>
      <c r="V449" s="890"/>
      <c r="W449" s="888">
        <v>1152.4792607347222</v>
      </c>
      <c r="X449" s="891"/>
      <c r="Y449" s="890"/>
      <c r="Z449" s="888">
        <v>1152.4792607347222</v>
      </c>
      <c r="AA449" s="891"/>
      <c r="AB449" s="890"/>
      <c r="AC449" s="888">
        <v>1152.4792607347222</v>
      </c>
      <c r="AD449" s="891"/>
      <c r="AE449" s="890"/>
      <c r="AF449" s="888">
        <v>1152.4792607347222</v>
      </c>
      <c r="AG449" s="891"/>
      <c r="AH449" s="890"/>
      <c r="AI449" s="888">
        <v>1152.4792607347222</v>
      </c>
      <c r="AJ449" s="891"/>
      <c r="AK449" s="890"/>
      <c r="AL449" s="888">
        <v>1152.4792607347222</v>
      </c>
      <c r="AM449" s="891"/>
      <c r="AN449" s="890"/>
      <c r="AO449" s="888">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91"/>
      <c r="D450" s="890"/>
      <c r="E450" s="888">
        <v>91732.542125321212</v>
      </c>
      <c r="F450" s="891"/>
      <c r="G450" s="890"/>
      <c r="H450" s="888">
        <v>7644.3785104434319</v>
      </c>
      <c r="I450" s="891"/>
      <c r="J450" s="890"/>
      <c r="K450" s="888">
        <v>7644.3785104434319</v>
      </c>
      <c r="L450" s="891"/>
      <c r="M450" s="890"/>
      <c r="N450" s="888">
        <v>7644.3785104434319</v>
      </c>
      <c r="O450" s="891"/>
      <c r="P450" s="890"/>
      <c r="Q450" s="888">
        <v>7644.3785104434319</v>
      </c>
      <c r="R450" s="891"/>
      <c r="S450" s="890"/>
      <c r="T450" s="888">
        <v>7644.3785104434319</v>
      </c>
      <c r="U450" s="891"/>
      <c r="V450" s="890"/>
      <c r="W450" s="888">
        <v>7644.3785104434319</v>
      </c>
      <c r="X450" s="891"/>
      <c r="Y450" s="890"/>
      <c r="Z450" s="888">
        <v>7644.3785104434319</v>
      </c>
      <c r="AA450" s="891"/>
      <c r="AB450" s="890"/>
      <c r="AC450" s="888">
        <v>7644.3785104434319</v>
      </c>
      <c r="AD450" s="891"/>
      <c r="AE450" s="890"/>
      <c r="AF450" s="888">
        <v>7644.3785104434319</v>
      </c>
      <c r="AG450" s="891"/>
      <c r="AH450" s="890"/>
      <c r="AI450" s="888">
        <v>7644.3785104434319</v>
      </c>
      <c r="AJ450" s="891"/>
      <c r="AK450" s="890"/>
      <c r="AL450" s="888">
        <v>7644.3785104434319</v>
      </c>
      <c r="AM450" s="891"/>
      <c r="AN450" s="890"/>
      <c r="AO450" s="888">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91"/>
      <c r="D451" s="890"/>
      <c r="E451" s="888">
        <v>93363.315428984744</v>
      </c>
      <c r="F451" s="891"/>
      <c r="G451" s="890"/>
      <c r="H451" s="888">
        <v>7780.2762857487296</v>
      </c>
      <c r="I451" s="891"/>
      <c r="J451" s="890"/>
      <c r="K451" s="888">
        <v>7780.2762857487296</v>
      </c>
      <c r="L451" s="891"/>
      <c r="M451" s="890"/>
      <c r="N451" s="888">
        <v>7780.2762857487296</v>
      </c>
      <c r="O451" s="891"/>
      <c r="P451" s="890"/>
      <c r="Q451" s="888">
        <v>7780.2762857487296</v>
      </c>
      <c r="R451" s="891"/>
      <c r="S451" s="890"/>
      <c r="T451" s="888">
        <v>7780.2762857487296</v>
      </c>
      <c r="U451" s="891"/>
      <c r="V451" s="890"/>
      <c r="W451" s="888">
        <v>7780.2762857487296</v>
      </c>
      <c r="X451" s="891"/>
      <c r="Y451" s="890"/>
      <c r="Z451" s="888">
        <v>7780.2762857487296</v>
      </c>
      <c r="AA451" s="891"/>
      <c r="AB451" s="890"/>
      <c r="AC451" s="888">
        <v>7780.2762857487296</v>
      </c>
      <c r="AD451" s="891"/>
      <c r="AE451" s="890"/>
      <c r="AF451" s="888">
        <v>7780.2762857487296</v>
      </c>
      <c r="AG451" s="891"/>
      <c r="AH451" s="890"/>
      <c r="AI451" s="888">
        <v>7780.2762857487296</v>
      </c>
      <c r="AJ451" s="891"/>
      <c r="AK451" s="890"/>
      <c r="AL451" s="888">
        <v>7780.2762857487296</v>
      </c>
      <c r="AM451" s="891"/>
      <c r="AN451" s="890"/>
      <c r="AO451" s="888">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1"/>
      <c r="D452" s="890"/>
      <c r="E452" s="888">
        <v>0</v>
      </c>
      <c r="F452" s="891"/>
      <c r="G452" s="890"/>
      <c r="H452" s="888">
        <v>0</v>
      </c>
      <c r="I452" s="891"/>
      <c r="J452" s="890"/>
      <c r="K452" s="888">
        <v>0</v>
      </c>
      <c r="L452" s="891"/>
      <c r="M452" s="890"/>
      <c r="N452" s="888">
        <v>0</v>
      </c>
      <c r="O452" s="891"/>
      <c r="P452" s="890"/>
      <c r="Q452" s="888">
        <v>0</v>
      </c>
      <c r="R452" s="891"/>
      <c r="S452" s="890"/>
      <c r="T452" s="888">
        <v>0</v>
      </c>
      <c r="U452" s="891"/>
      <c r="V452" s="890"/>
      <c r="W452" s="888">
        <v>0</v>
      </c>
      <c r="X452" s="891"/>
      <c r="Y452" s="890"/>
      <c r="Z452" s="888">
        <v>0</v>
      </c>
      <c r="AA452" s="891"/>
      <c r="AB452" s="890"/>
      <c r="AC452" s="888">
        <v>0</v>
      </c>
      <c r="AD452" s="891"/>
      <c r="AE452" s="890"/>
      <c r="AF452" s="888">
        <v>0</v>
      </c>
      <c r="AG452" s="891"/>
      <c r="AH452" s="890"/>
      <c r="AI452" s="888">
        <v>0</v>
      </c>
      <c r="AJ452" s="891"/>
      <c r="AK452" s="890"/>
      <c r="AL452" s="888">
        <v>0</v>
      </c>
      <c r="AM452" s="891"/>
      <c r="AN452" s="890"/>
      <c r="AO452" s="888">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1"/>
      <c r="D453" s="890"/>
      <c r="E453" s="888">
        <v>0</v>
      </c>
      <c r="F453" s="891"/>
      <c r="G453" s="890"/>
      <c r="H453" s="888">
        <v>0</v>
      </c>
      <c r="I453" s="891"/>
      <c r="J453" s="890"/>
      <c r="K453" s="888">
        <v>0</v>
      </c>
      <c r="L453" s="891"/>
      <c r="M453" s="890"/>
      <c r="N453" s="888">
        <v>0</v>
      </c>
      <c r="O453" s="891"/>
      <c r="P453" s="890"/>
      <c r="Q453" s="888">
        <v>0</v>
      </c>
      <c r="R453" s="891"/>
      <c r="S453" s="890"/>
      <c r="T453" s="888">
        <v>0</v>
      </c>
      <c r="U453" s="891"/>
      <c r="V453" s="890"/>
      <c r="W453" s="888">
        <v>0</v>
      </c>
      <c r="X453" s="891"/>
      <c r="Y453" s="890"/>
      <c r="Z453" s="888">
        <v>0</v>
      </c>
      <c r="AA453" s="891"/>
      <c r="AB453" s="890"/>
      <c r="AC453" s="888">
        <v>0</v>
      </c>
      <c r="AD453" s="891"/>
      <c r="AE453" s="890"/>
      <c r="AF453" s="888">
        <v>0</v>
      </c>
      <c r="AG453" s="891"/>
      <c r="AH453" s="890"/>
      <c r="AI453" s="888">
        <v>0</v>
      </c>
      <c r="AJ453" s="891"/>
      <c r="AK453" s="890"/>
      <c r="AL453" s="888">
        <v>0</v>
      </c>
      <c r="AM453" s="891"/>
      <c r="AN453" s="890"/>
      <c r="AO453" s="888">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91"/>
      <c r="D454" s="890"/>
      <c r="E454" s="888">
        <v>0</v>
      </c>
      <c r="F454" s="891"/>
      <c r="G454" s="890"/>
      <c r="H454" s="888">
        <v>0</v>
      </c>
      <c r="I454" s="891"/>
      <c r="J454" s="890"/>
      <c r="K454" s="888">
        <v>0</v>
      </c>
      <c r="L454" s="891"/>
      <c r="M454" s="890"/>
      <c r="N454" s="888">
        <v>0</v>
      </c>
      <c r="O454" s="891"/>
      <c r="P454" s="890"/>
      <c r="Q454" s="888">
        <v>0</v>
      </c>
      <c r="R454" s="891"/>
      <c r="S454" s="890"/>
      <c r="T454" s="888">
        <v>0</v>
      </c>
      <c r="U454" s="891"/>
      <c r="V454" s="890"/>
      <c r="W454" s="888">
        <v>0</v>
      </c>
      <c r="X454" s="891"/>
      <c r="Y454" s="890"/>
      <c r="Z454" s="888">
        <v>0</v>
      </c>
      <c r="AA454" s="891"/>
      <c r="AB454" s="890"/>
      <c r="AC454" s="888">
        <v>0</v>
      </c>
      <c r="AD454" s="891"/>
      <c r="AE454" s="890"/>
      <c r="AF454" s="888">
        <v>0</v>
      </c>
      <c r="AG454" s="891"/>
      <c r="AH454" s="890"/>
      <c r="AI454" s="888">
        <v>0</v>
      </c>
      <c r="AJ454" s="891"/>
      <c r="AK454" s="890"/>
      <c r="AL454" s="888">
        <v>0</v>
      </c>
      <c r="AM454" s="891"/>
      <c r="AN454" s="890"/>
      <c r="AO454" s="888">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5">
        <v>0.16980962018406037</v>
      </c>
      <c r="D455" s="898"/>
      <c r="E455" s="897">
        <v>1544313.9044609701</v>
      </c>
      <c r="F455" s="895">
        <v>0.25815519257022018</v>
      </c>
      <c r="G455" s="898"/>
      <c r="H455" s="897">
        <v>127692.82537174747</v>
      </c>
      <c r="I455" s="895">
        <v>0.26487323373177241</v>
      </c>
      <c r="J455" s="898"/>
      <c r="K455" s="897">
        <v>127692.82537174747</v>
      </c>
      <c r="L455" s="895">
        <v>0.18645326025635675</v>
      </c>
      <c r="M455" s="898"/>
      <c r="N455" s="897">
        <v>127192.82537174747</v>
      </c>
      <c r="O455" s="895">
        <v>0.13309957088013172</v>
      </c>
      <c r="P455" s="898"/>
      <c r="Q455" s="897">
        <v>127192.82537174747</v>
      </c>
      <c r="R455" s="895">
        <v>0.12708431531267639</v>
      </c>
      <c r="S455" s="898"/>
      <c r="T455" s="897">
        <v>132192.82537174749</v>
      </c>
      <c r="U455" s="895">
        <v>0.16550740850776946</v>
      </c>
      <c r="V455" s="898"/>
      <c r="W455" s="897">
        <v>127692.82537174747</v>
      </c>
      <c r="X455" s="895">
        <v>0.17515497038174085</v>
      </c>
      <c r="Y455" s="898"/>
      <c r="Z455" s="897">
        <v>127692.82537174747</v>
      </c>
      <c r="AA455" s="895">
        <v>0.16838035928109052</v>
      </c>
      <c r="AB455" s="898"/>
      <c r="AC455" s="897">
        <v>125692.82537174747</v>
      </c>
      <c r="AD455" s="895">
        <v>0.18565530011459452</v>
      </c>
      <c r="AE455" s="898"/>
      <c r="AF455" s="897">
        <v>125692.82537174747</v>
      </c>
      <c r="AG455" s="895">
        <v>0.13218012259085232</v>
      </c>
      <c r="AH455" s="898"/>
      <c r="AI455" s="897">
        <v>132192.82537174749</v>
      </c>
      <c r="AJ455" s="895">
        <v>0.139167372871835</v>
      </c>
      <c r="AK455" s="898"/>
      <c r="AL455" s="897">
        <v>137192.82537174749</v>
      </c>
      <c r="AM455" s="895">
        <v>0.23823204193019826</v>
      </c>
      <c r="AN455" s="898"/>
      <c r="AO455" s="897">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91"/>
      <c r="D456" s="890"/>
      <c r="E456" s="888">
        <v>432000</v>
      </c>
      <c r="F456" s="891"/>
      <c r="G456" s="890"/>
      <c r="H456" s="899">
        <v>36000</v>
      </c>
      <c r="I456" s="891"/>
      <c r="J456" s="890"/>
      <c r="K456" s="899">
        <v>36000</v>
      </c>
      <c r="L456" s="891"/>
      <c r="M456" s="890"/>
      <c r="N456" s="899">
        <v>36000</v>
      </c>
      <c r="O456" s="891"/>
      <c r="P456" s="890"/>
      <c r="Q456" s="899">
        <v>36000</v>
      </c>
      <c r="R456" s="891"/>
      <c r="S456" s="890"/>
      <c r="T456" s="899">
        <v>36000</v>
      </c>
      <c r="U456" s="891"/>
      <c r="V456" s="890"/>
      <c r="W456" s="899">
        <v>36000</v>
      </c>
      <c r="X456" s="891"/>
      <c r="Y456" s="890"/>
      <c r="Z456" s="899">
        <v>36000</v>
      </c>
      <c r="AA456" s="891"/>
      <c r="AB456" s="890"/>
      <c r="AC456" s="899">
        <v>36000</v>
      </c>
      <c r="AD456" s="891"/>
      <c r="AE456" s="890"/>
      <c r="AF456" s="899">
        <v>36000</v>
      </c>
      <c r="AG456" s="891"/>
      <c r="AH456" s="890"/>
      <c r="AI456" s="899">
        <v>36000</v>
      </c>
      <c r="AJ456" s="891"/>
      <c r="AK456" s="890"/>
      <c r="AL456" s="899">
        <v>36000</v>
      </c>
      <c r="AM456" s="891"/>
      <c r="AN456" s="890"/>
      <c r="AO456" s="899">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91"/>
      <c r="D457" s="890"/>
      <c r="E457" s="888">
        <v>62123.039999999986</v>
      </c>
      <c r="F457" s="891"/>
      <c r="G457" s="890"/>
      <c r="H457" s="899">
        <v>5176.92</v>
      </c>
      <c r="I457" s="891"/>
      <c r="J457" s="890"/>
      <c r="K457" s="899">
        <v>5176.92</v>
      </c>
      <c r="L457" s="891"/>
      <c r="M457" s="890"/>
      <c r="N457" s="899">
        <v>5176.92</v>
      </c>
      <c r="O457" s="891"/>
      <c r="P457" s="890"/>
      <c r="Q457" s="899">
        <v>5176.92</v>
      </c>
      <c r="R457" s="891"/>
      <c r="S457" s="890"/>
      <c r="T457" s="899">
        <v>5176.92</v>
      </c>
      <c r="U457" s="891"/>
      <c r="V457" s="890"/>
      <c r="W457" s="899">
        <v>5176.92</v>
      </c>
      <c r="X457" s="891"/>
      <c r="Y457" s="890"/>
      <c r="Z457" s="899">
        <v>5176.92</v>
      </c>
      <c r="AA457" s="891"/>
      <c r="AB457" s="890"/>
      <c r="AC457" s="899">
        <v>5176.92</v>
      </c>
      <c r="AD457" s="891"/>
      <c r="AE457" s="890"/>
      <c r="AF457" s="899">
        <v>5176.92</v>
      </c>
      <c r="AG457" s="891"/>
      <c r="AH457" s="890"/>
      <c r="AI457" s="899">
        <v>5176.92</v>
      </c>
      <c r="AJ457" s="891"/>
      <c r="AK457" s="890"/>
      <c r="AL457" s="899">
        <v>5176.92</v>
      </c>
      <c r="AM457" s="891"/>
      <c r="AN457" s="890"/>
      <c r="AO457" s="899">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4"/>
      <c r="D458" s="893"/>
      <c r="E458" s="882">
        <v>41338.080000000016</v>
      </c>
      <c r="F458" s="894"/>
      <c r="G458" s="893"/>
      <c r="H458" s="911">
        <v>3444.8400000000006</v>
      </c>
      <c r="I458" s="894"/>
      <c r="J458" s="893"/>
      <c r="K458" s="911">
        <v>3444.8400000000006</v>
      </c>
      <c r="L458" s="894"/>
      <c r="M458" s="893"/>
      <c r="N458" s="911">
        <v>3444.8400000000006</v>
      </c>
      <c r="O458" s="894"/>
      <c r="P458" s="893"/>
      <c r="Q458" s="911">
        <v>3444.8400000000006</v>
      </c>
      <c r="R458" s="894"/>
      <c r="S458" s="893"/>
      <c r="T458" s="911">
        <v>3444.8400000000006</v>
      </c>
      <c r="U458" s="894"/>
      <c r="V458" s="893"/>
      <c r="W458" s="911">
        <v>3444.8400000000006</v>
      </c>
      <c r="X458" s="894"/>
      <c r="Y458" s="893"/>
      <c r="Z458" s="911">
        <v>3444.8400000000006</v>
      </c>
      <c r="AA458" s="894"/>
      <c r="AB458" s="893"/>
      <c r="AC458" s="911">
        <v>3444.8400000000006</v>
      </c>
      <c r="AD458" s="894"/>
      <c r="AE458" s="893"/>
      <c r="AF458" s="911">
        <v>3444.8400000000006</v>
      </c>
      <c r="AG458" s="894"/>
      <c r="AH458" s="893"/>
      <c r="AI458" s="911">
        <v>3444.8400000000006</v>
      </c>
      <c r="AJ458" s="894"/>
      <c r="AK458" s="893"/>
      <c r="AL458" s="911">
        <v>3444.8400000000006</v>
      </c>
      <c r="AM458" s="894"/>
      <c r="AN458" s="893"/>
      <c r="AO458" s="911">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4"/>
      <c r="D460" s="893"/>
      <c r="E460" s="882">
        <v>46717</v>
      </c>
      <c r="F460" s="894"/>
      <c r="G460" s="893"/>
      <c r="H460" s="911">
        <v>3893.083333333333</v>
      </c>
      <c r="I460" s="894"/>
      <c r="J460" s="893"/>
      <c r="K460" s="911">
        <v>3893.083333333333</v>
      </c>
      <c r="L460" s="894"/>
      <c r="M460" s="893"/>
      <c r="N460" s="911">
        <v>3893.083333333333</v>
      </c>
      <c r="O460" s="894"/>
      <c r="P460" s="893"/>
      <c r="Q460" s="911">
        <v>3893.083333333333</v>
      </c>
      <c r="R460" s="894"/>
      <c r="S460" s="893"/>
      <c r="T460" s="911">
        <v>3893.083333333333</v>
      </c>
      <c r="U460" s="894"/>
      <c r="V460" s="893"/>
      <c r="W460" s="911">
        <v>3893.083333333333</v>
      </c>
      <c r="X460" s="894"/>
      <c r="Y460" s="893"/>
      <c r="Z460" s="911">
        <v>3893.083333333333</v>
      </c>
      <c r="AA460" s="894"/>
      <c r="AB460" s="893"/>
      <c r="AC460" s="911">
        <v>3893.083333333333</v>
      </c>
      <c r="AD460" s="894"/>
      <c r="AE460" s="893"/>
      <c r="AF460" s="911">
        <v>3893.083333333333</v>
      </c>
      <c r="AG460" s="894"/>
      <c r="AH460" s="893"/>
      <c r="AI460" s="911">
        <v>3893.083333333333</v>
      </c>
      <c r="AJ460" s="894"/>
      <c r="AK460" s="893"/>
      <c r="AL460" s="911">
        <v>3893.083333333333</v>
      </c>
      <c r="AM460" s="894"/>
      <c r="AN460" s="893"/>
      <c r="AO460" s="911">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91"/>
      <c r="D461" s="890"/>
      <c r="E461" s="888">
        <v>41415.000000000007</v>
      </c>
      <c r="F461" s="891"/>
      <c r="G461" s="890"/>
      <c r="H461" s="899">
        <v>3451.2500000000005</v>
      </c>
      <c r="I461" s="891"/>
      <c r="J461" s="890"/>
      <c r="K461" s="899">
        <v>3451.2500000000005</v>
      </c>
      <c r="L461" s="891"/>
      <c r="M461" s="890"/>
      <c r="N461" s="899">
        <v>3451.2500000000005</v>
      </c>
      <c r="O461" s="891"/>
      <c r="P461" s="890"/>
      <c r="Q461" s="899">
        <v>3451.2500000000005</v>
      </c>
      <c r="R461" s="891"/>
      <c r="S461" s="890"/>
      <c r="T461" s="899">
        <v>3451.2500000000005</v>
      </c>
      <c r="U461" s="891"/>
      <c r="V461" s="890"/>
      <c r="W461" s="899">
        <v>3451.2500000000005</v>
      </c>
      <c r="X461" s="891"/>
      <c r="Y461" s="890"/>
      <c r="Z461" s="899">
        <v>3451.2500000000005</v>
      </c>
      <c r="AA461" s="891"/>
      <c r="AB461" s="890"/>
      <c r="AC461" s="899">
        <v>3451.2500000000005</v>
      </c>
      <c r="AD461" s="891"/>
      <c r="AE461" s="890"/>
      <c r="AF461" s="899">
        <v>3451.2500000000005</v>
      </c>
      <c r="AG461" s="891"/>
      <c r="AH461" s="890"/>
      <c r="AI461" s="899">
        <v>3451.2500000000005</v>
      </c>
      <c r="AJ461" s="891"/>
      <c r="AK461" s="890"/>
      <c r="AL461" s="899">
        <v>3451.2500000000005</v>
      </c>
      <c r="AM461" s="891"/>
      <c r="AN461" s="890"/>
      <c r="AO461" s="899">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91"/>
      <c r="D462" s="890"/>
      <c r="E462" s="888">
        <v>81408.60000000002</v>
      </c>
      <c r="F462" s="891"/>
      <c r="G462" s="890"/>
      <c r="H462" s="899">
        <v>6784.05</v>
      </c>
      <c r="I462" s="891"/>
      <c r="J462" s="890"/>
      <c r="K462" s="899">
        <v>6784.05</v>
      </c>
      <c r="L462" s="891"/>
      <c r="M462" s="890"/>
      <c r="N462" s="899">
        <v>6784.05</v>
      </c>
      <c r="O462" s="891"/>
      <c r="P462" s="890"/>
      <c r="Q462" s="899">
        <v>6784.05</v>
      </c>
      <c r="R462" s="891"/>
      <c r="S462" s="890"/>
      <c r="T462" s="899">
        <v>6784.05</v>
      </c>
      <c r="U462" s="891"/>
      <c r="V462" s="890"/>
      <c r="W462" s="899">
        <v>6784.05</v>
      </c>
      <c r="X462" s="891"/>
      <c r="Y462" s="890"/>
      <c r="Z462" s="899">
        <v>6784.05</v>
      </c>
      <c r="AA462" s="891"/>
      <c r="AB462" s="890"/>
      <c r="AC462" s="899">
        <v>6784.05</v>
      </c>
      <c r="AD462" s="891"/>
      <c r="AE462" s="890"/>
      <c r="AF462" s="899">
        <v>6784.05</v>
      </c>
      <c r="AG462" s="891"/>
      <c r="AH462" s="890"/>
      <c r="AI462" s="899">
        <v>6784.05</v>
      </c>
      <c r="AJ462" s="891"/>
      <c r="AK462" s="890"/>
      <c r="AL462" s="899">
        <v>6784.05</v>
      </c>
      <c r="AM462" s="891"/>
      <c r="AN462" s="890"/>
      <c r="AO462" s="899">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4"/>
      <c r="D463" s="893"/>
      <c r="E463" s="882">
        <v>23363.053879566665</v>
      </c>
      <c r="F463" s="894"/>
      <c r="G463" s="893"/>
      <c r="H463" s="911">
        <v>1946.9211566305551</v>
      </c>
      <c r="I463" s="894"/>
      <c r="J463" s="893"/>
      <c r="K463" s="911">
        <v>1946.9211566305551</v>
      </c>
      <c r="L463" s="894"/>
      <c r="M463" s="893"/>
      <c r="N463" s="911">
        <v>1946.9211566305551</v>
      </c>
      <c r="O463" s="894"/>
      <c r="P463" s="893"/>
      <c r="Q463" s="911">
        <v>1946.9211566305551</v>
      </c>
      <c r="R463" s="894"/>
      <c r="S463" s="893"/>
      <c r="T463" s="911">
        <v>1946.9211566305551</v>
      </c>
      <c r="U463" s="894"/>
      <c r="V463" s="893"/>
      <c r="W463" s="911">
        <v>1946.9211566305551</v>
      </c>
      <c r="X463" s="894"/>
      <c r="Y463" s="893"/>
      <c r="Z463" s="911">
        <v>1946.9211566305551</v>
      </c>
      <c r="AA463" s="894"/>
      <c r="AB463" s="893"/>
      <c r="AC463" s="911">
        <v>1946.9211566305551</v>
      </c>
      <c r="AD463" s="894"/>
      <c r="AE463" s="893"/>
      <c r="AF463" s="911">
        <v>1946.9211566305551</v>
      </c>
      <c r="AG463" s="894"/>
      <c r="AH463" s="893"/>
      <c r="AI463" s="911">
        <v>1946.9211566305551</v>
      </c>
      <c r="AJ463" s="894"/>
      <c r="AK463" s="893"/>
      <c r="AL463" s="911">
        <v>1946.9211566305551</v>
      </c>
      <c r="AM463" s="894"/>
      <c r="AN463" s="893"/>
      <c r="AO463" s="911">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91"/>
      <c r="D464" s="890"/>
      <c r="E464" s="888">
        <v>12000</v>
      </c>
      <c r="F464" s="891"/>
      <c r="G464" s="890"/>
      <c r="H464" s="899">
        <v>1000</v>
      </c>
      <c r="I464" s="891"/>
      <c r="J464" s="890"/>
      <c r="K464" s="899">
        <v>1000</v>
      </c>
      <c r="L464" s="891"/>
      <c r="M464" s="890"/>
      <c r="N464" s="899">
        <v>1000</v>
      </c>
      <c r="O464" s="891"/>
      <c r="P464" s="890"/>
      <c r="Q464" s="899">
        <v>1000</v>
      </c>
      <c r="R464" s="891"/>
      <c r="S464" s="890"/>
      <c r="T464" s="899">
        <v>1000</v>
      </c>
      <c r="U464" s="891"/>
      <c r="V464" s="890"/>
      <c r="W464" s="899">
        <v>1000</v>
      </c>
      <c r="X464" s="891"/>
      <c r="Y464" s="890"/>
      <c r="Z464" s="899">
        <v>1000</v>
      </c>
      <c r="AA464" s="891"/>
      <c r="AB464" s="890"/>
      <c r="AC464" s="899">
        <v>1000</v>
      </c>
      <c r="AD464" s="891"/>
      <c r="AE464" s="890"/>
      <c r="AF464" s="899">
        <v>1000</v>
      </c>
      <c r="AG464" s="891"/>
      <c r="AH464" s="890"/>
      <c r="AI464" s="899">
        <v>1000</v>
      </c>
      <c r="AJ464" s="891"/>
      <c r="AK464" s="890"/>
      <c r="AL464" s="899">
        <v>1000</v>
      </c>
      <c r="AM464" s="891"/>
      <c r="AN464" s="890"/>
      <c r="AO464" s="899">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5">
        <v>8.1409006735602016E-2</v>
      </c>
      <c r="D469" s="898"/>
      <c r="E469" s="897">
        <v>740364.7738795667</v>
      </c>
      <c r="F469" s="895">
        <v>0.12473228247597319</v>
      </c>
      <c r="G469" s="898"/>
      <c r="H469" s="897">
        <v>61697.064489963894</v>
      </c>
      <c r="I469" s="895">
        <v>0.12797822380105431</v>
      </c>
      <c r="J469" s="898"/>
      <c r="K469" s="897">
        <v>61697.064489963894</v>
      </c>
      <c r="L469" s="895">
        <v>9.0442356231798027E-2</v>
      </c>
      <c r="M469" s="898"/>
      <c r="N469" s="897">
        <v>61697.064489963894</v>
      </c>
      <c r="O469" s="895">
        <v>6.4562232847467302E-2</v>
      </c>
      <c r="P469" s="898"/>
      <c r="Q469" s="897">
        <v>61697.064489963894</v>
      </c>
      <c r="R469" s="895">
        <v>5.9312819553252676E-2</v>
      </c>
      <c r="S469" s="898"/>
      <c r="T469" s="897">
        <v>61697.064489963894</v>
      </c>
      <c r="U469" s="895">
        <v>7.9967854313997694E-2</v>
      </c>
      <c r="V469" s="898"/>
      <c r="W469" s="897">
        <v>61697.064489963894</v>
      </c>
      <c r="X469" s="895">
        <v>8.4629245785104001E-2</v>
      </c>
      <c r="Y469" s="898"/>
      <c r="Z469" s="897">
        <v>61697.064489963894</v>
      </c>
      <c r="AA469" s="895">
        <v>8.2650492219294311E-2</v>
      </c>
      <c r="AB469" s="898"/>
      <c r="AC469" s="897">
        <v>61697.064489963894</v>
      </c>
      <c r="AD469" s="895">
        <v>9.1129998790276154E-2</v>
      </c>
      <c r="AE469" s="898"/>
      <c r="AF469" s="897">
        <v>61697.064489963894</v>
      </c>
      <c r="AG469" s="895">
        <v>6.1691135845274692E-2</v>
      </c>
      <c r="AH469" s="898"/>
      <c r="AI469" s="897">
        <v>61697.064489963894</v>
      </c>
      <c r="AJ469" s="895">
        <v>6.2585039383120974E-2</v>
      </c>
      <c r="AK469" s="898"/>
      <c r="AL469" s="897">
        <v>61697.064489963894</v>
      </c>
      <c r="AM469" s="895">
        <v>0.11647427348776927</v>
      </c>
      <c r="AN469" s="898"/>
      <c r="AO469" s="897">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2"/>
      <c r="D470" s="913"/>
      <c r="E470" s="914">
        <v>379600.20152754127</v>
      </c>
      <c r="F470" s="912"/>
      <c r="G470" s="913"/>
      <c r="H470" s="914">
        <v>31633.350127295103</v>
      </c>
      <c r="I470" s="912"/>
      <c r="J470" s="913"/>
      <c r="K470" s="914">
        <v>31633.350127295103</v>
      </c>
      <c r="L470" s="912"/>
      <c r="M470" s="913"/>
      <c r="N470" s="914">
        <v>31633.350127295103</v>
      </c>
      <c r="O470" s="912"/>
      <c r="P470" s="913"/>
      <c r="Q470" s="914">
        <v>31633.350127295103</v>
      </c>
      <c r="R470" s="912"/>
      <c r="S470" s="913"/>
      <c r="T470" s="914">
        <v>31633.350127295103</v>
      </c>
      <c r="U470" s="912"/>
      <c r="V470" s="913"/>
      <c r="W470" s="914">
        <v>31633.350127295103</v>
      </c>
      <c r="X470" s="912"/>
      <c r="Y470" s="913"/>
      <c r="Z470" s="914">
        <v>31633.350127295103</v>
      </c>
      <c r="AA470" s="912"/>
      <c r="AB470" s="913"/>
      <c r="AC470" s="914">
        <v>31633.350127295103</v>
      </c>
      <c r="AD470" s="912"/>
      <c r="AE470" s="913"/>
      <c r="AF470" s="914">
        <v>31633.350127295103</v>
      </c>
      <c r="AG470" s="912"/>
      <c r="AH470" s="913"/>
      <c r="AI470" s="914">
        <v>31633.350127295103</v>
      </c>
      <c r="AJ470" s="912"/>
      <c r="AK470" s="913"/>
      <c r="AL470" s="914">
        <v>31633.350127295103</v>
      </c>
      <c r="AM470" s="912"/>
      <c r="AN470" s="913"/>
      <c r="AO470" s="914">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5">
        <v>0.90823623415939925</v>
      </c>
      <c r="D471" s="898"/>
      <c r="E471" s="897">
        <v>8259849.1382721364</v>
      </c>
      <c r="F471" s="895">
        <v>1.197473274704544</v>
      </c>
      <c r="G471" s="898"/>
      <c r="H471" s="897">
        <v>592313.26796802506</v>
      </c>
      <c r="I471" s="895">
        <v>1.2308237590936664</v>
      </c>
      <c r="J471" s="898"/>
      <c r="K471" s="897">
        <v>593368.23551036126</v>
      </c>
      <c r="L471" s="895">
        <v>1.0350807319241866</v>
      </c>
      <c r="M471" s="898"/>
      <c r="N471" s="897">
        <v>706101.04966939089</v>
      </c>
      <c r="O471" s="895">
        <v>0.76867927328020491</v>
      </c>
      <c r="P471" s="898"/>
      <c r="Q471" s="897">
        <v>734566.51983695792</v>
      </c>
      <c r="R471" s="895">
        <v>0.76884341478437046</v>
      </c>
      <c r="S471" s="898"/>
      <c r="T471" s="897">
        <v>799749.2296255884</v>
      </c>
      <c r="U471" s="895">
        <v>0.87901929080527874</v>
      </c>
      <c r="V471" s="898"/>
      <c r="W471" s="897">
        <v>678183.88198572176</v>
      </c>
      <c r="X471" s="895">
        <v>0.91526378029498845</v>
      </c>
      <c r="Y471" s="898"/>
      <c r="Z471" s="897">
        <v>667252.64953415713</v>
      </c>
      <c r="AA471" s="895">
        <v>0.95841183855640089</v>
      </c>
      <c r="AB471" s="898"/>
      <c r="AC471" s="897">
        <v>715436.71941442194</v>
      </c>
      <c r="AD471" s="895">
        <v>0.97336227405396947</v>
      </c>
      <c r="AE471" s="898"/>
      <c r="AF471" s="897">
        <v>658988.21235157922</v>
      </c>
      <c r="AG471" s="895">
        <v>0.74198318884719661</v>
      </c>
      <c r="AH471" s="898"/>
      <c r="AI471" s="897">
        <v>742054.49495352397</v>
      </c>
      <c r="AJ471" s="895">
        <v>0.78826176008102111</v>
      </c>
      <c r="AK471" s="898"/>
      <c r="AL471" s="897">
        <v>777077.67105452227</v>
      </c>
      <c r="AM471" s="895">
        <v>1.1228072856624074</v>
      </c>
      <c r="AN471" s="898"/>
      <c r="AO471" s="897">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5"/>
      <c r="D472" s="916"/>
      <c r="E472" s="917">
        <v>88391.43</v>
      </c>
      <c r="F472" s="915"/>
      <c r="G472" s="916"/>
      <c r="H472" s="917">
        <v>0</v>
      </c>
      <c r="I472" s="915"/>
      <c r="J472" s="916"/>
      <c r="K472" s="917">
        <v>0</v>
      </c>
      <c r="L472" s="915"/>
      <c r="M472" s="916"/>
      <c r="N472" s="917">
        <v>22097.857499999998</v>
      </c>
      <c r="O472" s="915"/>
      <c r="P472" s="916"/>
      <c r="Q472" s="917">
        <v>0</v>
      </c>
      <c r="R472" s="915"/>
      <c r="S472" s="916"/>
      <c r="T472" s="917">
        <v>0</v>
      </c>
      <c r="U472" s="915"/>
      <c r="V472" s="916"/>
      <c r="W472" s="917">
        <v>22097.857499999998</v>
      </c>
      <c r="X472" s="915"/>
      <c r="Y472" s="916"/>
      <c r="Z472" s="917">
        <v>0</v>
      </c>
      <c r="AA472" s="915"/>
      <c r="AB472" s="916"/>
      <c r="AC472" s="917">
        <v>0</v>
      </c>
      <c r="AD472" s="915"/>
      <c r="AE472" s="916"/>
      <c r="AF472" s="917">
        <v>22097.857499999998</v>
      </c>
      <c r="AG472" s="915"/>
      <c r="AH472" s="916"/>
      <c r="AI472" s="917">
        <v>0</v>
      </c>
      <c r="AJ472" s="915"/>
      <c r="AK472" s="916"/>
      <c r="AL472" s="917">
        <v>0</v>
      </c>
      <c r="AM472" s="915"/>
      <c r="AN472" s="916"/>
      <c r="AO472" s="917">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8"/>
      <c r="D473" s="919"/>
      <c r="E473" s="888">
        <v>911504.31324615923</v>
      </c>
      <c r="F473" s="918"/>
      <c r="G473" s="919"/>
      <c r="H473" s="888">
        <v>43066.288712401452</v>
      </c>
      <c r="I473" s="918"/>
      <c r="J473" s="919"/>
      <c r="K473" s="888">
        <v>43066.288712401452</v>
      </c>
      <c r="L473" s="918"/>
      <c r="M473" s="919"/>
      <c r="N473" s="888">
        <v>63098.425611850726</v>
      </c>
      <c r="O473" s="918"/>
      <c r="P473" s="919"/>
      <c r="Q473" s="888">
        <v>93286.91203174906</v>
      </c>
      <c r="R473" s="918"/>
      <c r="S473" s="919"/>
      <c r="T473" s="888">
        <v>107806.00285172804</v>
      </c>
      <c r="U473" s="918"/>
      <c r="V473" s="919"/>
      <c r="W473" s="888">
        <v>82906.112798140894</v>
      </c>
      <c r="X473" s="918"/>
      <c r="Y473" s="919"/>
      <c r="Z473" s="888">
        <v>73114.494061575373</v>
      </c>
      <c r="AA473" s="918"/>
      <c r="AB473" s="919"/>
      <c r="AC473" s="888">
        <v>83411.12465274884</v>
      </c>
      <c r="AD473" s="918"/>
      <c r="AE473" s="919"/>
      <c r="AF473" s="888">
        <v>73226.718918154904</v>
      </c>
      <c r="AG473" s="918"/>
      <c r="AH473" s="919"/>
      <c r="AI473" s="888">
        <v>112505.4187209966</v>
      </c>
      <c r="AJ473" s="918"/>
      <c r="AK473" s="919"/>
      <c r="AL473" s="888">
        <v>92950.237462010438</v>
      </c>
      <c r="AM473" s="918"/>
      <c r="AN473" s="919"/>
      <c r="AO473" s="888">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3863</v>
      </c>
      <c r="C474" s="918"/>
      <c r="D474" s="919"/>
      <c r="E474" s="888">
        <v>80000</v>
      </c>
      <c r="F474" s="918"/>
      <c r="G474" s="919"/>
      <c r="H474" s="888">
        <v>0</v>
      </c>
      <c r="I474" s="918"/>
      <c r="J474" s="919"/>
      <c r="K474" s="888">
        <v>0</v>
      </c>
      <c r="L474" s="918"/>
      <c r="M474" s="919"/>
      <c r="N474" s="888">
        <v>20000</v>
      </c>
      <c r="O474" s="918"/>
      <c r="P474" s="919"/>
      <c r="Q474" s="888">
        <v>0</v>
      </c>
      <c r="R474" s="918"/>
      <c r="S474" s="919"/>
      <c r="T474" s="888">
        <v>0</v>
      </c>
      <c r="U474" s="918"/>
      <c r="V474" s="919"/>
      <c r="W474" s="888">
        <v>20000</v>
      </c>
      <c r="X474" s="918"/>
      <c r="Y474" s="919"/>
      <c r="Z474" s="888">
        <v>0</v>
      </c>
      <c r="AA474" s="918"/>
      <c r="AB474" s="919"/>
      <c r="AC474" s="888">
        <v>0</v>
      </c>
      <c r="AD474" s="918"/>
      <c r="AE474" s="919"/>
      <c r="AF474" s="888">
        <v>20000</v>
      </c>
      <c r="AG474" s="918"/>
      <c r="AH474" s="919"/>
      <c r="AI474" s="888">
        <v>0</v>
      </c>
      <c r="AJ474" s="918"/>
      <c r="AK474" s="919"/>
      <c r="AL474" s="888">
        <v>0</v>
      </c>
      <c r="AM474" s="918"/>
      <c r="AN474" s="919"/>
      <c r="AO474" s="888">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3864</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3867</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20"/>
      <c r="D483" s="919"/>
      <c r="E483" s="888">
        <v>516691.982625</v>
      </c>
      <c r="F483" s="920"/>
      <c r="G483" s="919"/>
      <c r="H483" s="888">
        <v>27381.128000000001</v>
      </c>
      <c r="I483" s="920"/>
      <c r="J483" s="919"/>
      <c r="K483" s="888">
        <v>27763.923374999998</v>
      </c>
      <c r="L483" s="920"/>
      <c r="M483" s="919"/>
      <c r="N483" s="888">
        <v>40110.555625000001</v>
      </c>
      <c r="O483" s="920"/>
      <c r="P483" s="919"/>
      <c r="Q483" s="888">
        <v>51787.592249999994</v>
      </c>
      <c r="R483" s="920"/>
      <c r="S483" s="919"/>
      <c r="T483" s="888">
        <v>56736.674249999989</v>
      </c>
      <c r="U483" s="920"/>
      <c r="V483" s="919"/>
      <c r="W483" s="888">
        <v>46901.321874999994</v>
      </c>
      <c r="X483" s="920"/>
      <c r="Y483" s="919"/>
      <c r="Z483" s="888">
        <v>42536.506500000003</v>
      </c>
      <c r="AA483" s="920"/>
      <c r="AB483" s="919"/>
      <c r="AC483" s="888">
        <v>46930.95</v>
      </c>
      <c r="AD483" s="920"/>
      <c r="AE483" s="919"/>
      <c r="AF483" s="888">
        <v>43481.051124999998</v>
      </c>
      <c r="AG483" s="920"/>
      <c r="AH483" s="919"/>
      <c r="AI483" s="888">
        <v>55679.542749999993</v>
      </c>
      <c r="AJ483" s="920"/>
      <c r="AK483" s="919"/>
      <c r="AL483" s="888">
        <v>49034.546875</v>
      </c>
      <c r="AM483" s="920"/>
      <c r="AN483" s="919"/>
      <c r="AO483" s="888">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5">
        <v>0.17555754340976745</v>
      </c>
      <c r="D484" s="921"/>
      <c r="E484" s="897">
        <v>1596587.7258711592</v>
      </c>
      <c r="F484" s="895">
        <v>0.14242277414192409</v>
      </c>
      <c r="G484" s="921"/>
      <c r="H484" s="897">
        <v>70447.416712401449</v>
      </c>
      <c r="I484" s="895">
        <v>0.14692311229608243</v>
      </c>
      <c r="J484" s="921"/>
      <c r="K484" s="897">
        <v>70830.212087401451</v>
      </c>
      <c r="L484" s="895">
        <v>0.21300677723641848</v>
      </c>
      <c r="M484" s="921"/>
      <c r="N484" s="897">
        <v>145306.83873685074</v>
      </c>
      <c r="O484" s="895">
        <v>0.15181166240401553</v>
      </c>
      <c r="P484" s="921"/>
      <c r="Q484" s="897">
        <v>145074.50428174905</v>
      </c>
      <c r="R484" s="895">
        <v>0.15818402701041745</v>
      </c>
      <c r="S484" s="921"/>
      <c r="T484" s="897">
        <v>164542.67710172804</v>
      </c>
      <c r="U484" s="895">
        <v>0.22281282705991809</v>
      </c>
      <c r="V484" s="921"/>
      <c r="W484" s="897">
        <v>171905.29217314089</v>
      </c>
      <c r="X484" s="895">
        <v>0.158637319825984</v>
      </c>
      <c r="Y484" s="921"/>
      <c r="Z484" s="897">
        <v>115651.00056157538</v>
      </c>
      <c r="AA484" s="895">
        <v>0.17460857685840281</v>
      </c>
      <c r="AB484" s="921"/>
      <c r="AC484" s="897">
        <v>130342.07465274884</v>
      </c>
      <c r="AD484" s="895">
        <v>0.23456475223794268</v>
      </c>
      <c r="AE484" s="921"/>
      <c r="AF484" s="897">
        <v>158805.6275431549</v>
      </c>
      <c r="AG484" s="895">
        <v>0.16816880010437615</v>
      </c>
      <c r="AH484" s="921"/>
      <c r="AI484" s="897">
        <v>168184.96147099661</v>
      </c>
      <c r="AJ484" s="895">
        <v>0.14402830009815493</v>
      </c>
      <c r="AK484" s="921"/>
      <c r="AL484" s="897">
        <v>141984.78433701044</v>
      </c>
      <c r="AM484" s="895">
        <v>0.21429328934101122</v>
      </c>
      <c r="AN484" s="921"/>
      <c r="AO484" s="897">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2"/>
      <c r="D485" s="923"/>
      <c r="E485" s="924">
        <v>226956.17387956666</v>
      </c>
      <c r="F485" s="922"/>
      <c r="G485" s="923"/>
      <c r="H485" s="924">
        <v>18913.014489963891</v>
      </c>
      <c r="I485" s="922"/>
      <c r="J485" s="923"/>
      <c r="K485" s="924">
        <v>18913.014489963891</v>
      </c>
      <c r="L485" s="922"/>
      <c r="M485" s="923"/>
      <c r="N485" s="924">
        <v>18913.014489963891</v>
      </c>
      <c r="O485" s="922"/>
      <c r="P485" s="923"/>
      <c r="Q485" s="924">
        <v>18913.014489963891</v>
      </c>
      <c r="R485" s="922"/>
      <c r="S485" s="923"/>
      <c r="T485" s="924">
        <v>18913.014489963891</v>
      </c>
      <c r="U485" s="922"/>
      <c r="V485" s="923"/>
      <c r="W485" s="924">
        <v>18913.014489963891</v>
      </c>
      <c r="X485" s="922"/>
      <c r="Y485" s="923"/>
      <c r="Z485" s="924">
        <v>18913.014489963891</v>
      </c>
      <c r="AA485" s="922"/>
      <c r="AB485" s="923"/>
      <c r="AC485" s="924">
        <v>18913.014489963891</v>
      </c>
      <c r="AD485" s="922"/>
      <c r="AE485" s="923"/>
      <c r="AF485" s="924">
        <v>18913.014489963891</v>
      </c>
      <c r="AG485" s="922"/>
      <c r="AH485" s="923"/>
      <c r="AI485" s="924">
        <v>18913.014489963891</v>
      </c>
      <c r="AJ485" s="922"/>
      <c r="AK485" s="923"/>
      <c r="AL485" s="924">
        <v>18913.014489963891</v>
      </c>
      <c r="AM485" s="922"/>
      <c r="AN485" s="923"/>
      <c r="AO485" s="924">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5" t="s">
        <v>219</v>
      </c>
      <c r="D486" s="926">
        <v>3.7839878939818813E-2</v>
      </c>
      <c r="E486" s="927">
        <v>2431122.6559872241</v>
      </c>
      <c r="F486" s="928" t="s">
        <v>219</v>
      </c>
      <c r="G486" s="929">
        <v>-7.7517324450352004E-3</v>
      </c>
      <c r="H486" s="930">
        <v>-27229.953753720547</v>
      </c>
      <c r="I486" s="928" t="s">
        <v>219</v>
      </c>
      <c r="J486" s="929">
        <v>-1.1628299094678841E-2</v>
      </c>
      <c r="K486" s="930">
        <v>-40447.690727971873</v>
      </c>
      <c r="L486" s="928" t="s">
        <v>219</v>
      </c>
      <c r="M486" s="929">
        <v>2.4386100364430209E-2</v>
      </c>
      <c r="N486" s="930">
        <v>121375.81493275493</v>
      </c>
      <c r="O486" s="928" t="s">
        <v>219</v>
      </c>
      <c r="P486" s="929">
        <v>5.6535903320137151E-2</v>
      </c>
      <c r="Q486" s="930">
        <v>366129.58811093809</v>
      </c>
      <c r="R486" s="928" t="s">
        <v>219</v>
      </c>
      <c r="S486" s="929">
        <v>5.7402282311642572E-2</v>
      </c>
      <c r="T486" s="930">
        <v>404991.24880592769</v>
      </c>
      <c r="U486" s="928" t="s">
        <v>219</v>
      </c>
      <c r="V486" s="929">
        <v>4.626714380992282E-2</v>
      </c>
      <c r="W486" s="930">
        <v>265244.73064200266</v>
      </c>
      <c r="X486" s="928" t="s">
        <v>219</v>
      </c>
      <c r="Y486" s="929">
        <v>3.3710203268551064E-2</v>
      </c>
      <c r="Z486" s="930">
        <v>177426.05200243377</v>
      </c>
      <c r="AA486" s="928" t="s">
        <v>219</v>
      </c>
      <c r="AB486" s="929">
        <v>2.8560334279228036E-2</v>
      </c>
      <c r="AC486" s="930">
        <v>161386.86833403533</v>
      </c>
      <c r="AD486" s="928" t="s">
        <v>219</v>
      </c>
      <c r="AE486" s="929">
        <v>3.3949198082982739E-2</v>
      </c>
      <c r="AF486" s="930">
        <v>176839.9687850599</v>
      </c>
      <c r="AG486" s="928" t="s">
        <v>219</v>
      </c>
      <c r="AH486" s="929">
        <v>6.1482228605501461E-2</v>
      </c>
      <c r="AI486" s="930">
        <v>426226.56856856914</v>
      </c>
      <c r="AJ486" s="928" t="s">
        <v>219</v>
      </c>
      <c r="AK486" s="929">
        <v>5.5414191716182302E-2</v>
      </c>
      <c r="AL486" s="930">
        <v>350718.820011292</v>
      </c>
      <c r="AM486" s="928" t="s">
        <v>219</v>
      </c>
      <c r="AN486" s="929">
        <v>1.3348407892527062E-2</v>
      </c>
      <c r="AO486" s="930">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3865</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2" t="s">
        <v>219</v>
      </c>
      <c r="D492" s="933">
        <v>3.7839878939818813E-2</v>
      </c>
      <c r="E492" s="934">
        <v>2431122.6559872241</v>
      </c>
      <c r="F492" s="935" t="s">
        <v>219</v>
      </c>
      <c r="G492" s="933">
        <v>-7.7517324450352004E-3</v>
      </c>
      <c r="H492" s="936">
        <v>-27229.953753720547</v>
      </c>
      <c r="I492" s="935" t="s">
        <v>219</v>
      </c>
      <c r="J492" s="933">
        <v>-1.1628299094678841E-2</v>
      </c>
      <c r="K492" s="936">
        <v>-40447.690727971873</v>
      </c>
      <c r="L492" s="935" t="s">
        <v>219</v>
      </c>
      <c r="M492" s="933">
        <v>2.4386100364430209E-2</v>
      </c>
      <c r="N492" s="936">
        <v>121375.81493275493</v>
      </c>
      <c r="O492" s="935" t="s">
        <v>219</v>
      </c>
      <c r="P492" s="933">
        <v>5.6535903320137151E-2</v>
      </c>
      <c r="Q492" s="936">
        <v>366129.58811093809</v>
      </c>
      <c r="R492" s="935" t="s">
        <v>219</v>
      </c>
      <c r="S492" s="933">
        <v>5.7402282311642572E-2</v>
      </c>
      <c r="T492" s="936">
        <v>404991.24880592769</v>
      </c>
      <c r="U492" s="935" t="s">
        <v>219</v>
      </c>
      <c r="V492" s="933">
        <v>4.626714380992282E-2</v>
      </c>
      <c r="W492" s="936">
        <v>265244.73064200266</v>
      </c>
      <c r="X492" s="935" t="s">
        <v>219</v>
      </c>
      <c r="Y492" s="933">
        <v>3.3710203268551064E-2</v>
      </c>
      <c r="Z492" s="936">
        <v>177426.05200243377</v>
      </c>
      <c r="AA492" s="935" t="s">
        <v>219</v>
      </c>
      <c r="AB492" s="933">
        <v>2.8560334279228036E-2</v>
      </c>
      <c r="AC492" s="936">
        <v>161386.86833403533</v>
      </c>
      <c r="AD492" s="935" t="s">
        <v>219</v>
      </c>
      <c r="AE492" s="933">
        <v>3.3949198082982739E-2</v>
      </c>
      <c r="AF492" s="936">
        <v>176839.9687850599</v>
      </c>
      <c r="AG492" s="935" t="s">
        <v>219</v>
      </c>
      <c r="AH492" s="933">
        <v>6.1482228605501461E-2</v>
      </c>
      <c r="AI492" s="936">
        <v>426226.56856856914</v>
      </c>
      <c r="AJ492" s="935" t="s">
        <v>219</v>
      </c>
      <c r="AK492" s="933">
        <v>5.5414191716182302E-2</v>
      </c>
      <c r="AL492" s="936">
        <v>350718.820011292</v>
      </c>
      <c r="AM492" s="935" t="s">
        <v>219</v>
      </c>
      <c r="AN492" s="933">
        <v>1.3348407892527062E-2</v>
      </c>
      <c r="AO492" s="936">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7"/>
      <c r="D494" s="890"/>
      <c r="E494" s="940">
        <v>245779.99999999994</v>
      </c>
      <c r="F494" s="891"/>
      <c r="G494" s="890"/>
      <c r="H494" s="899">
        <v>6315</v>
      </c>
      <c r="I494" s="891"/>
      <c r="J494" s="890"/>
      <c r="K494" s="899">
        <v>6315</v>
      </c>
      <c r="L494" s="891"/>
      <c r="M494" s="890"/>
      <c r="N494" s="899">
        <v>6315</v>
      </c>
      <c r="O494" s="891"/>
      <c r="P494" s="890"/>
      <c r="Q494" s="899">
        <v>6315</v>
      </c>
      <c r="R494" s="891"/>
      <c r="S494" s="890"/>
      <c r="T494" s="899">
        <v>6315</v>
      </c>
      <c r="U494" s="891"/>
      <c r="V494" s="890"/>
      <c r="W494" s="899">
        <v>6315</v>
      </c>
      <c r="X494" s="891"/>
      <c r="Y494" s="890"/>
      <c r="Z494" s="899">
        <v>34648.333333333328</v>
      </c>
      <c r="AA494" s="891"/>
      <c r="AB494" s="890"/>
      <c r="AC494" s="899">
        <v>34648.333333333328</v>
      </c>
      <c r="AD494" s="891"/>
      <c r="AE494" s="890"/>
      <c r="AF494" s="899">
        <v>34648.333333333328</v>
      </c>
      <c r="AG494" s="891"/>
      <c r="AH494" s="890"/>
      <c r="AI494" s="899">
        <v>34648.333333333328</v>
      </c>
      <c r="AJ494" s="891"/>
      <c r="AK494" s="890"/>
      <c r="AL494" s="899">
        <v>34648.333333333328</v>
      </c>
      <c r="AM494" s="891"/>
      <c r="AN494" s="890"/>
      <c r="AO494" s="899">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9"/>
      <c r="D496" s="759"/>
      <c r="E496" s="940">
        <v>0</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3869</v>
      </c>
      <c r="C499" s="812"/>
      <c r="D499" s="812"/>
      <c r="E499" s="940">
        <v>-55999.999999999993</v>
      </c>
      <c r="F499" s="943"/>
      <c r="G499" s="812"/>
      <c r="H499" s="888">
        <v>-4666.666666666667</v>
      </c>
      <c r="I499" s="943"/>
      <c r="J499" s="812"/>
      <c r="K499" s="888">
        <v>-4666.666666666667</v>
      </c>
      <c r="L499" s="943"/>
      <c r="M499" s="812"/>
      <c r="N499" s="888">
        <v>-4666.666666666667</v>
      </c>
      <c r="O499" s="943"/>
      <c r="P499" s="812"/>
      <c r="Q499" s="888">
        <v>-4666.666666666667</v>
      </c>
      <c r="R499" s="943"/>
      <c r="S499" s="812"/>
      <c r="T499" s="888">
        <v>-4666.666666666667</v>
      </c>
      <c r="U499" s="943"/>
      <c r="V499" s="812"/>
      <c r="W499" s="888">
        <v>-4666.666666666667</v>
      </c>
      <c r="X499" s="943"/>
      <c r="Y499" s="812"/>
      <c r="Z499" s="888">
        <v>-4666.666666666667</v>
      </c>
      <c r="AA499" s="943"/>
      <c r="AB499" s="812"/>
      <c r="AC499" s="888">
        <v>-4666.666666666667</v>
      </c>
      <c r="AD499" s="943"/>
      <c r="AE499" s="812"/>
      <c r="AF499" s="888">
        <v>-4666.666666666667</v>
      </c>
      <c r="AG499" s="943"/>
      <c r="AH499" s="812"/>
      <c r="AI499" s="888">
        <v>-4666.666666666667</v>
      </c>
      <c r="AJ499" s="943"/>
      <c r="AK499" s="812"/>
      <c r="AL499" s="888">
        <v>-4666.666666666667</v>
      </c>
      <c r="AM499" s="943"/>
      <c r="AN499" s="812"/>
      <c r="AO499" s="888">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4" t="s">
        <v>219</v>
      </c>
      <c r="D501" s="945">
        <v>3.4885995799651758E-2</v>
      </c>
      <c r="E501" s="946">
        <v>2241342.6559872241</v>
      </c>
      <c r="F501" s="947" t="s">
        <v>219</v>
      </c>
      <c r="G501" s="945">
        <v>-8.2209744825280911E-3</v>
      </c>
      <c r="H501" s="948">
        <v>-28878.287087053879</v>
      </c>
      <c r="I501" s="947" t="s">
        <v>219</v>
      </c>
      <c r="J501" s="945">
        <v>-1.2102178138519375E-2</v>
      </c>
      <c r="K501" s="948">
        <v>-42096.024061305208</v>
      </c>
      <c r="L501" s="947" t="s">
        <v>219</v>
      </c>
      <c r="M501" s="945">
        <v>2.4054927122685369E-2</v>
      </c>
      <c r="N501" s="948">
        <v>119727.4815994216</v>
      </c>
      <c r="O501" s="947" t="s">
        <v>219</v>
      </c>
      <c r="P501" s="945">
        <v>5.6281375915090456E-2</v>
      </c>
      <c r="Q501" s="948">
        <v>364481.25477760477</v>
      </c>
      <c r="R501" s="947" t="s">
        <v>219</v>
      </c>
      <c r="S501" s="945">
        <v>5.7168652336618025E-2</v>
      </c>
      <c r="T501" s="948">
        <v>403342.91547259438</v>
      </c>
      <c r="U501" s="947" t="s">
        <v>219</v>
      </c>
      <c r="V501" s="945">
        <v>4.5979621885564766E-2</v>
      </c>
      <c r="W501" s="948">
        <v>263596.39730866934</v>
      </c>
      <c r="X501" s="947" t="s">
        <v>219</v>
      </c>
      <c r="Y501" s="945">
        <v>2.8013812765258956E-2</v>
      </c>
      <c r="Z501" s="948">
        <v>147444.38533576709</v>
      </c>
      <c r="AA501" s="947" t="s">
        <v>219</v>
      </c>
      <c r="AB501" s="945">
        <v>2.3254534426441605E-2</v>
      </c>
      <c r="AC501" s="948">
        <v>131405.20166736867</v>
      </c>
      <c r="AD501" s="947" t="s">
        <v>219</v>
      </c>
      <c r="AE501" s="945">
        <v>2.8193409120127976E-2</v>
      </c>
      <c r="AF501" s="948">
        <v>146858.30211839321</v>
      </c>
      <c r="AG501" s="947" t="s">
        <v>219</v>
      </c>
      <c r="AH501" s="945">
        <v>5.7157440288891879E-2</v>
      </c>
      <c r="AI501" s="948">
        <v>396244.90190190251</v>
      </c>
      <c r="AJ501" s="947" t="s">
        <v>219</v>
      </c>
      <c r="AK501" s="945">
        <v>5.0677035539094785E-2</v>
      </c>
      <c r="AL501" s="948">
        <v>320737.15334462537</v>
      </c>
      <c r="AM501" s="947" t="s">
        <v>219</v>
      </c>
      <c r="AN501" s="945">
        <v>5.0900045019417646E-3</v>
      </c>
      <c r="AO501" s="948">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"Réel 2023 Mensuel Révisé"&amp;" "&amp;Parametres!$B$1</f>
        <v>Réel 2023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3873</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71">
        <v>2023</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46883613.60999997</v>
      </c>
      <c r="F8" s="737"/>
      <c r="G8" s="738"/>
      <c r="H8" s="740">
        <v>2000310.4399999899</v>
      </c>
      <c r="I8" s="737"/>
      <c r="J8" s="738"/>
      <c r="K8" s="740">
        <v>1303139.55999999</v>
      </c>
      <c r="L8" s="737"/>
      <c r="M8" s="738"/>
      <c r="N8" s="740">
        <v>2316528.27999999</v>
      </c>
      <c r="O8" s="737"/>
      <c r="P8" s="738"/>
      <c r="Q8" s="740">
        <v>1765866.96</v>
      </c>
      <c r="R8" s="737"/>
      <c r="S8" s="738"/>
      <c r="T8" s="740">
        <v>2808157.66</v>
      </c>
      <c r="U8" s="737"/>
      <c r="V8" s="738"/>
      <c r="W8" s="740">
        <v>2851329.31</v>
      </c>
      <c r="X8" s="737"/>
      <c r="Y8" s="738"/>
      <c r="Z8" s="740">
        <v>2122186.91</v>
      </c>
      <c r="AA8" s="737"/>
      <c r="AB8" s="738"/>
      <c r="AC8" s="740">
        <v>2567524.5099999998</v>
      </c>
      <c r="AD8" s="737"/>
      <c r="AE8" s="738"/>
      <c r="AF8" s="740">
        <v>2612584.64</v>
      </c>
      <c r="AG8" s="737"/>
      <c r="AH8" s="738"/>
      <c r="AI8" s="740">
        <v>8285274.8799999999</v>
      </c>
      <c r="AJ8" s="737"/>
      <c r="AK8" s="738"/>
      <c r="AL8" s="740">
        <v>10151414.289999999</v>
      </c>
      <c r="AM8" s="737"/>
      <c r="AN8" s="738"/>
      <c r="AO8" s="740">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160</v>
      </c>
      <c r="D9" s="742">
        <v>2077.4208749999957</v>
      </c>
      <c r="E9" s="743">
        <v>332387.33999999933</v>
      </c>
      <c r="F9" s="744">
        <v>14</v>
      </c>
      <c r="G9" s="742">
        <v>1585.0142857142785</v>
      </c>
      <c r="H9" s="745">
        <v>22190.199999999899</v>
      </c>
      <c r="I9" s="744">
        <v>3</v>
      </c>
      <c r="J9" s="742">
        <v>908.03333333333001</v>
      </c>
      <c r="K9" s="745">
        <v>2724.0999999999899</v>
      </c>
      <c r="L9" s="744">
        <v>9</v>
      </c>
      <c r="M9" s="742">
        <v>2223.0811111111002</v>
      </c>
      <c r="N9" s="745">
        <v>20007.729999999901</v>
      </c>
      <c r="O9" s="744">
        <v>12</v>
      </c>
      <c r="P9" s="742">
        <v>2975.6024999999918</v>
      </c>
      <c r="Q9" s="745">
        <v>35707.229999999901</v>
      </c>
      <c r="R9" s="744">
        <v>12</v>
      </c>
      <c r="S9" s="742">
        <v>2048.0299999999916</v>
      </c>
      <c r="T9" s="745">
        <v>24576.359999999899</v>
      </c>
      <c r="U9" s="744">
        <v>16</v>
      </c>
      <c r="V9" s="742">
        <v>2103.44875</v>
      </c>
      <c r="W9" s="745">
        <v>33655.18</v>
      </c>
      <c r="X9" s="744">
        <v>12</v>
      </c>
      <c r="Y9" s="742">
        <v>1882.1941666666669</v>
      </c>
      <c r="Z9" s="745">
        <v>22586.33</v>
      </c>
      <c r="AA9" s="744">
        <v>21</v>
      </c>
      <c r="AB9" s="742">
        <v>2336.3823809523715</v>
      </c>
      <c r="AC9" s="745">
        <v>49064.029999999802</v>
      </c>
      <c r="AD9" s="744">
        <v>17</v>
      </c>
      <c r="AE9" s="742">
        <v>1804.1035294117589</v>
      </c>
      <c r="AF9" s="745">
        <v>30669.7599999999</v>
      </c>
      <c r="AG9" s="744">
        <v>14</v>
      </c>
      <c r="AH9" s="742">
        <v>2125.1657142857143</v>
      </c>
      <c r="AI9" s="745">
        <v>29752.32</v>
      </c>
      <c r="AJ9" s="744">
        <v>18</v>
      </c>
      <c r="AK9" s="742">
        <v>2139.7994444444444</v>
      </c>
      <c r="AL9" s="745">
        <v>38516.39</v>
      </c>
      <c r="AM9" s="744">
        <v>12</v>
      </c>
      <c r="AN9" s="742">
        <v>1911.4758333333332</v>
      </c>
      <c r="AO9" s="745">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402</v>
      </c>
      <c r="D10" s="742">
        <v>2485.1099751243746</v>
      </c>
      <c r="E10" s="743">
        <v>999014.20999999857</v>
      </c>
      <c r="F10" s="744">
        <v>28</v>
      </c>
      <c r="G10" s="742">
        <v>2112.1560714285747</v>
      </c>
      <c r="H10" s="745">
        <v>59140.370000000097</v>
      </c>
      <c r="I10" s="744">
        <v>19</v>
      </c>
      <c r="J10" s="742">
        <v>2501.8715789473681</v>
      </c>
      <c r="K10" s="745">
        <v>47535.56</v>
      </c>
      <c r="L10" s="744">
        <v>29</v>
      </c>
      <c r="M10" s="742">
        <v>2831.0634482758551</v>
      </c>
      <c r="N10" s="745">
        <v>82100.839999999793</v>
      </c>
      <c r="O10" s="744">
        <v>16</v>
      </c>
      <c r="P10" s="742">
        <v>2481.2724999999937</v>
      </c>
      <c r="Q10" s="745">
        <v>39700.359999999899</v>
      </c>
      <c r="R10" s="744">
        <v>34</v>
      </c>
      <c r="S10" s="742">
        <v>2504.176764705885</v>
      </c>
      <c r="T10" s="745">
        <v>85142.010000000097</v>
      </c>
      <c r="U10" s="744">
        <v>39</v>
      </c>
      <c r="V10" s="742">
        <v>2445.2556410256461</v>
      </c>
      <c r="W10" s="745">
        <v>95364.970000000205</v>
      </c>
      <c r="X10" s="744">
        <v>24</v>
      </c>
      <c r="Y10" s="742">
        <v>2577.0195833333291</v>
      </c>
      <c r="Z10" s="745">
        <v>61848.469999999899</v>
      </c>
      <c r="AA10" s="744">
        <v>22</v>
      </c>
      <c r="AB10" s="742">
        <v>2712.29</v>
      </c>
      <c r="AC10" s="745">
        <v>59670.38</v>
      </c>
      <c r="AD10" s="744">
        <v>36</v>
      </c>
      <c r="AE10" s="742">
        <v>2493.9233333333304</v>
      </c>
      <c r="AF10" s="745">
        <v>89781.239999999903</v>
      </c>
      <c r="AG10" s="744">
        <v>45</v>
      </c>
      <c r="AH10" s="742">
        <v>2647.1666666666442</v>
      </c>
      <c r="AI10" s="745">
        <v>119122.499999999</v>
      </c>
      <c r="AJ10" s="744">
        <v>71</v>
      </c>
      <c r="AK10" s="742">
        <v>2320.1190140845074</v>
      </c>
      <c r="AL10" s="745">
        <v>164728.45000000001</v>
      </c>
      <c r="AM10" s="744">
        <v>39</v>
      </c>
      <c r="AN10" s="742">
        <v>2432.7964102564051</v>
      </c>
      <c r="AO10" s="745">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562</v>
      </c>
      <c r="D16" s="747">
        <v>2369.0419039145872</v>
      </c>
      <c r="E16" s="748">
        <v>1331401.549999998</v>
      </c>
      <c r="F16" s="746">
        <v>42</v>
      </c>
      <c r="G16" s="747">
        <v>1936.4421428571427</v>
      </c>
      <c r="H16" s="748">
        <v>81330.569999999992</v>
      </c>
      <c r="I16" s="746">
        <v>22</v>
      </c>
      <c r="J16" s="747">
        <v>2284.5299999999993</v>
      </c>
      <c r="K16" s="748">
        <v>50259.659999999989</v>
      </c>
      <c r="L16" s="746">
        <v>38</v>
      </c>
      <c r="M16" s="747">
        <v>2687.0676315789392</v>
      </c>
      <c r="N16" s="748">
        <v>102108.56999999969</v>
      </c>
      <c r="O16" s="746">
        <v>28</v>
      </c>
      <c r="P16" s="747">
        <v>2693.1282142857067</v>
      </c>
      <c r="Q16" s="748">
        <v>75407.589999999793</v>
      </c>
      <c r="R16" s="746">
        <v>46</v>
      </c>
      <c r="S16" s="747">
        <v>2385.1819565217388</v>
      </c>
      <c r="T16" s="748">
        <v>109718.37</v>
      </c>
      <c r="U16" s="746">
        <v>55</v>
      </c>
      <c r="V16" s="747">
        <v>2345.8209090909127</v>
      </c>
      <c r="W16" s="748">
        <v>129020.1500000002</v>
      </c>
      <c r="X16" s="746">
        <v>36</v>
      </c>
      <c r="Y16" s="747">
        <v>2345.4111111111083</v>
      </c>
      <c r="Z16" s="748">
        <v>84434.799999999901</v>
      </c>
      <c r="AA16" s="746">
        <v>43</v>
      </c>
      <c r="AB16" s="747">
        <v>2528.7072093023207</v>
      </c>
      <c r="AC16" s="748">
        <v>108734.4099999998</v>
      </c>
      <c r="AD16" s="746">
        <v>53</v>
      </c>
      <c r="AE16" s="747">
        <v>2272.6603773584866</v>
      </c>
      <c r="AF16" s="748">
        <v>120450.9999999998</v>
      </c>
      <c r="AG16" s="746">
        <v>59</v>
      </c>
      <c r="AH16" s="747">
        <v>2523.3020338982878</v>
      </c>
      <c r="AI16" s="748">
        <v>148874.81999999899</v>
      </c>
      <c r="AJ16" s="746">
        <v>89</v>
      </c>
      <c r="AK16" s="747">
        <v>2283.6498876404498</v>
      </c>
      <c r="AL16" s="748">
        <v>203244.84000000003</v>
      </c>
      <c r="AM16" s="746">
        <v>51</v>
      </c>
      <c r="AN16" s="747">
        <v>2310.1327450980352</v>
      </c>
      <c r="AO16" s="748">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42</v>
      </c>
      <c r="D18" s="752">
        <v>2481.1169047619005</v>
      </c>
      <c r="E18" s="753">
        <v>104206.90999999983</v>
      </c>
      <c r="F18" s="754">
        <v>3</v>
      </c>
      <c r="G18" s="752">
        <v>6274.7466666666669</v>
      </c>
      <c r="H18" s="755">
        <v>18824.240000000002</v>
      </c>
      <c r="I18" s="754">
        <v>2</v>
      </c>
      <c r="J18" s="752">
        <v>5044.2700000000004</v>
      </c>
      <c r="K18" s="755">
        <v>10088.540000000001</v>
      </c>
      <c r="L18" s="754">
        <v>8</v>
      </c>
      <c r="M18" s="752">
        <v>3142.5462499999876</v>
      </c>
      <c r="N18" s="755">
        <v>25140.369999999901</v>
      </c>
      <c r="O18" s="754">
        <v>6</v>
      </c>
      <c r="P18" s="752">
        <v>1717.8083333333334</v>
      </c>
      <c r="Q18" s="755">
        <v>10306.85</v>
      </c>
      <c r="R18" s="754">
        <v>7</v>
      </c>
      <c r="S18" s="752">
        <v>2567.5442857142712</v>
      </c>
      <c r="T18" s="755">
        <v>17972.809999999899</v>
      </c>
      <c r="U18" s="754">
        <v>2</v>
      </c>
      <c r="V18" s="752">
        <v>1486.73</v>
      </c>
      <c r="W18" s="755">
        <v>2973.46</v>
      </c>
      <c r="X18" s="754">
        <v>3</v>
      </c>
      <c r="Y18" s="752">
        <v>851.18</v>
      </c>
      <c r="Z18" s="755">
        <v>2553.54</v>
      </c>
      <c r="AA18" s="754">
        <v>8</v>
      </c>
      <c r="AB18" s="752">
        <v>1186.9175000000025</v>
      </c>
      <c r="AC18" s="755">
        <v>9495.3400000000202</v>
      </c>
      <c r="AD18" s="754">
        <v>1</v>
      </c>
      <c r="AE18" s="752">
        <v>975.83000000000095</v>
      </c>
      <c r="AF18" s="755">
        <v>975.83000000000095</v>
      </c>
      <c r="AG18" s="754">
        <v>0</v>
      </c>
      <c r="AH18" s="752">
        <v>0</v>
      </c>
      <c r="AI18" s="755">
        <v>3550</v>
      </c>
      <c r="AJ18" s="754">
        <v>1</v>
      </c>
      <c r="AK18" s="752">
        <v>1154.9399999999901</v>
      </c>
      <c r="AL18" s="755">
        <v>1154.9399999999901</v>
      </c>
      <c r="AM18" s="754">
        <v>1</v>
      </c>
      <c r="AN18" s="752">
        <v>1170.99</v>
      </c>
      <c r="AO18" s="755">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26</v>
      </c>
      <c r="D20" s="742">
        <v>2968.8999999999965</v>
      </c>
      <c r="E20" s="743">
        <v>77191.399999999907</v>
      </c>
      <c r="F20" s="744">
        <v>1</v>
      </c>
      <c r="G20" s="742">
        <v>2144.83</v>
      </c>
      <c r="H20" s="745">
        <v>2144.83</v>
      </c>
      <c r="I20" s="744">
        <v>1</v>
      </c>
      <c r="J20" s="742">
        <v>2919.37</v>
      </c>
      <c r="K20" s="745">
        <v>2919.37</v>
      </c>
      <c r="L20" s="744">
        <v>0</v>
      </c>
      <c r="M20" s="742">
        <v>0</v>
      </c>
      <c r="N20" s="745">
        <v>0</v>
      </c>
      <c r="O20" s="744">
        <v>3</v>
      </c>
      <c r="P20" s="742">
        <v>3228.9066666666663</v>
      </c>
      <c r="Q20" s="745">
        <v>9686.7199999999993</v>
      </c>
      <c r="R20" s="744">
        <v>3</v>
      </c>
      <c r="S20" s="742">
        <v>1222.9133333333332</v>
      </c>
      <c r="T20" s="745">
        <v>3668.74</v>
      </c>
      <c r="U20" s="744">
        <v>2</v>
      </c>
      <c r="V20" s="742">
        <v>2962.9449999999952</v>
      </c>
      <c r="W20" s="745">
        <v>5925.8899999999903</v>
      </c>
      <c r="X20" s="744">
        <v>1</v>
      </c>
      <c r="Y20" s="742">
        <v>4279.05</v>
      </c>
      <c r="Z20" s="745">
        <v>4279.05</v>
      </c>
      <c r="AA20" s="744">
        <v>4</v>
      </c>
      <c r="AB20" s="742">
        <v>3473.772499999975</v>
      </c>
      <c r="AC20" s="745">
        <v>13895.0899999999</v>
      </c>
      <c r="AD20" s="744">
        <v>1</v>
      </c>
      <c r="AE20" s="742">
        <v>3198</v>
      </c>
      <c r="AF20" s="745">
        <v>3198</v>
      </c>
      <c r="AG20" s="744">
        <v>8</v>
      </c>
      <c r="AH20" s="742">
        <v>3193.38</v>
      </c>
      <c r="AI20" s="745">
        <v>25547.040000000001</v>
      </c>
      <c r="AJ20" s="744">
        <v>2</v>
      </c>
      <c r="AK20" s="742">
        <v>3324.41</v>
      </c>
      <c r="AL20" s="745">
        <v>6648.82</v>
      </c>
      <c r="AM20" s="744">
        <v>0</v>
      </c>
      <c r="AN20" s="742">
        <v>0</v>
      </c>
      <c r="AO20" s="745">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99141.099999999802</v>
      </c>
      <c r="F22" s="741"/>
      <c r="G22" s="742"/>
      <c r="H22" s="745">
        <v>5000.3999999999896</v>
      </c>
      <c r="I22" s="741"/>
      <c r="J22" s="742"/>
      <c r="K22" s="745">
        <v>6807.1699999999801</v>
      </c>
      <c r="L22" s="741"/>
      <c r="M22" s="742"/>
      <c r="N22" s="745">
        <v>11489.369999999901</v>
      </c>
      <c r="O22" s="741"/>
      <c r="P22" s="742"/>
      <c r="Q22" s="745">
        <v>7229.2700000000104</v>
      </c>
      <c r="R22" s="741"/>
      <c r="S22" s="742"/>
      <c r="T22" s="745">
        <v>12671.609999999901</v>
      </c>
      <c r="U22" s="741"/>
      <c r="V22" s="742"/>
      <c r="W22" s="745">
        <v>12900.75</v>
      </c>
      <c r="X22" s="741"/>
      <c r="Y22" s="742"/>
      <c r="Z22" s="745">
        <v>9971</v>
      </c>
      <c r="AA22" s="741"/>
      <c r="AB22" s="742"/>
      <c r="AC22" s="745">
        <v>7757.94</v>
      </c>
      <c r="AD22" s="741"/>
      <c r="AE22" s="742"/>
      <c r="AF22" s="745">
        <v>7932.0800000000099</v>
      </c>
      <c r="AG22" s="741"/>
      <c r="AH22" s="742"/>
      <c r="AI22" s="745">
        <v>8229.7100000000191</v>
      </c>
      <c r="AJ22" s="741"/>
      <c r="AK22" s="742"/>
      <c r="AL22" s="745">
        <v>3732.16</v>
      </c>
      <c r="AM22" s="741"/>
      <c r="AN22" s="742"/>
      <c r="AO22" s="745">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138.28978476821189</v>
      </c>
      <c r="E24" s="743">
        <v>83527.029999999984</v>
      </c>
      <c r="F24" s="744"/>
      <c r="G24" s="742">
        <v>214.11533333333335</v>
      </c>
      <c r="H24" s="745">
        <v>9635.19</v>
      </c>
      <c r="I24" s="744"/>
      <c r="J24" s="742">
        <v>516.52875000000006</v>
      </c>
      <c r="K24" s="745">
        <v>12396.69</v>
      </c>
      <c r="L24" s="744"/>
      <c r="M24" s="742">
        <v>256.81543478260869</v>
      </c>
      <c r="N24" s="745">
        <v>11813.51</v>
      </c>
      <c r="O24" s="744"/>
      <c r="P24" s="742">
        <v>71.606764705882355</v>
      </c>
      <c r="Q24" s="745">
        <v>2434.63</v>
      </c>
      <c r="R24" s="744"/>
      <c r="S24" s="742">
        <v>136.53245283018867</v>
      </c>
      <c r="T24" s="745">
        <v>7236.22</v>
      </c>
      <c r="U24" s="744"/>
      <c r="V24" s="742">
        <v>89.401578947368421</v>
      </c>
      <c r="W24" s="745">
        <v>5095.8900000000003</v>
      </c>
      <c r="X24" s="744"/>
      <c r="Y24" s="742">
        <v>247.88589743589742</v>
      </c>
      <c r="Z24" s="745">
        <v>9667.5499999999993</v>
      </c>
      <c r="AA24" s="744"/>
      <c r="AB24" s="742">
        <v>175.29411764705881</v>
      </c>
      <c r="AC24" s="745">
        <v>8940</v>
      </c>
      <c r="AD24" s="744"/>
      <c r="AE24" s="742">
        <v>92.308148148148149</v>
      </c>
      <c r="AF24" s="745">
        <v>4984.6400000000003</v>
      </c>
      <c r="AG24" s="744"/>
      <c r="AH24" s="742">
        <v>59.01033898305085</v>
      </c>
      <c r="AI24" s="745">
        <v>3481.61</v>
      </c>
      <c r="AJ24" s="744"/>
      <c r="AK24" s="742">
        <v>48.026888888888891</v>
      </c>
      <c r="AL24" s="745">
        <v>4322.42</v>
      </c>
      <c r="AM24" s="744"/>
      <c r="AN24" s="742">
        <v>67.666923076923069</v>
      </c>
      <c r="AO24" s="745">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972.14963576158937</v>
      </c>
      <c r="E25" s="743">
        <v>587178.38</v>
      </c>
      <c r="F25" s="744"/>
      <c r="G25" s="742">
        <v>653.30888888888887</v>
      </c>
      <c r="H25" s="745">
        <v>29398.9</v>
      </c>
      <c r="I25" s="744"/>
      <c r="J25" s="742">
        <v>943.50874999999996</v>
      </c>
      <c r="K25" s="745">
        <v>22644.21</v>
      </c>
      <c r="L25" s="744"/>
      <c r="M25" s="742">
        <v>1021.8823913043477</v>
      </c>
      <c r="N25" s="745">
        <v>47006.59</v>
      </c>
      <c r="O25" s="744"/>
      <c r="P25" s="742">
        <v>913.24941176470588</v>
      </c>
      <c r="Q25" s="745">
        <v>31050.48</v>
      </c>
      <c r="R25" s="744"/>
      <c r="S25" s="742">
        <v>1002.9296226415094</v>
      </c>
      <c r="T25" s="745">
        <v>53155.27</v>
      </c>
      <c r="U25" s="744"/>
      <c r="V25" s="742">
        <v>868.40771929824552</v>
      </c>
      <c r="W25" s="745">
        <v>49499.24</v>
      </c>
      <c r="X25" s="744"/>
      <c r="Y25" s="742">
        <v>1110.4235897435897</v>
      </c>
      <c r="Z25" s="745">
        <v>43306.52</v>
      </c>
      <c r="AA25" s="744"/>
      <c r="AB25" s="742">
        <v>1030.0339215686274</v>
      </c>
      <c r="AC25" s="745">
        <v>52531.73</v>
      </c>
      <c r="AD25" s="744"/>
      <c r="AE25" s="742">
        <v>1111.5049999999999</v>
      </c>
      <c r="AF25" s="745">
        <v>60021.27</v>
      </c>
      <c r="AG25" s="744"/>
      <c r="AH25" s="742">
        <v>942.08305084745768</v>
      </c>
      <c r="AI25" s="745">
        <v>55582.9</v>
      </c>
      <c r="AJ25" s="744"/>
      <c r="AK25" s="742">
        <v>993.18355555555559</v>
      </c>
      <c r="AL25" s="745">
        <v>89386.52</v>
      </c>
      <c r="AM25" s="744"/>
      <c r="AN25" s="742">
        <v>1030.6682692307693</v>
      </c>
      <c r="AO25" s="745">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12.821324503311258</v>
      </c>
      <c r="E26" s="743">
        <v>7744.08</v>
      </c>
      <c r="F26" s="744"/>
      <c r="G26" s="742">
        <v>0</v>
      </c>
      <c r="H26" s="745">
        <v>0</v>
      </c>
      <c r="I26" s="744"/>
      <c r="J26" s="742">
        <v>0</v>
      </c>
      <c r="K26" s="745">
        <v>0</v>
      </c>
      <c r="L26" s="744"/>
      <c r="M26" s="742">
        <v>13.392826086956523</v>
      </c>
      <c r="N26" s="745">
        <v>616.07000000000005</v>
      </c>
      <c r="O26" s="744"/>
      <c r="P26" s="742">
        <v>0</v>
      </c>
      <c r="Q26" s="745">
        <v>0</v>
      </c>
      <c r="R26" s="744"/>
      <c r="S26" s="742">
        <v>32.927735849056603</v>
      </c>
      <c r="T26" s="745">
        <v>1745.17</v>
      </c>
      <c r="U26" s="744"/>
      <c r="V26" s="742">
        <v>0</v>
      </c>
      <c r="W26" s="745">
        <v>0</v>
      </c>
      <c r="X26" s="744"/>
      <c r="Y26" s="742">
        <v>0</v>
      </c>
      <c r="Z26" s="745">
        <v>0</v>
      </c>
      <c r="AA26" s="744"/>
      <c r="AB26" s="742">
        <v>12.943529411764706</v>
      </c>
      <c r="AC26" s="745">
        <v>660.12</v>
      </c>
      <c r="AD26" s="744"/>
      <c r="AE26" s="742">
        <v>9.5077777777777772</v>
      </c>
      <c r="AF26" s="745">
        <v>513.41999999999996</v>
      </c>
      <c r="AG26" s="744"/>
      <c r="AH26" s="742">
        <v>6.7493220338983049</v>
      </c>
      <c r="AI26" s="745">
        <v>398.21</v>
      </c>
      <c r="AJ26" s="744"/>
      <c r="AK26" s="742">
        <v>15.009333333333332</v>
      </c>
      <c r="AL26" s="745">
        <v>1350.84</v>
      </c>
      <c r="AM26" s="744"/>
      <c r="AN26" s="742">
        <v>47.3125</v>
      </c>
      <c r="AO26" s="745">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604</v>
      </c>
      <c r="D27" s="747">
        <v>1123.2607450331125</v>
      </c>
      <c r="E27" s="748">
        <v>678449.49</v>
      </c>
      <c r="F27" s="746">
        <v>45</v>
      </c>
      <c r="G27" s="747">
        <v>867.42422222222228</v>
      </c>
      <c r="H27" s="748">
        <v>39034.090000000004</v>
      </c>
      <c r="I27" s="746">
        <v>24</v>
      </c>
      <c r="J27" s="747">
        <v>1460.0375000000001</v>
      </c>
      <c r="K27" s="748">
        <v>35040.9</v>
      </c>
      <c r="L27" s="746">
        <v>46</v>
      </c>
      <c r="M27" s="747">
        <v>1292.090652173913</v>
      </c>
      <c r="N27" s="748">
        <v>59436.17</v>
      </c>
      <c r="O27" s="746">
        <v>34</v>
      </c>
      <c r="P27" s="747">
        <v>984.85617647058825</v>
      </c>
      <c r="Q27" s="748">
        <v>33485.11</v>
      </c>
      <c r="R27" s="746">
        <v>53</v>
      </c>
      <c r="S27" s="747">
        <v>1172.3898113207547</v>
      </c>
      <c r="T27" s="748">
        <v>62136.659999999996</v>
      </c>
      <c r="U27" s="746">
        <v>57</v>
      </c>
      <c r="V27" s="747">
        <v>957.80929824561395</v>
      </c>
      <c r="W27" s="748">
        <v>54595.13</v>
      </c>
      <c r="X27" s="746">
        <v>39</v>
      </c>
      <c r="Y27" s="747">
        <v>1358.309487179487</v>
      </c>
      <c r="Z27" s="748">
        <v>52974.069999999992</v>
      </c>
      <c r="AA27" s="746">
        <v>51</v>
      </c>
      <c r="AB27" s="747">
        <v>1218.2715686274512</v>
      </c>
      <c r="AC27" s="748">
        <v>62131.850000000006</v>
      </c>
      <c r="AD27" s="746">
        <v>54</v>
      </c>
      <c r="AE27" s="747">
        <v>1213.3209259259258</v>
      </c>
      <c r="AF27" s="748">
        <v>65519.329999999994</v>
      </c>
      <c r="AG27" s="746">
        <v>59</v>
      </c>
      <c r="AH27" s="747">
        <v>1007.8427118644069</v>
      </c>
      <c r="AI27" s="748">
        <v>59462.720000000001</v>
      </c>
      <c r="AJ27" s="746">
        <v>90</v>
      </c>
      <c r="AK27" s="747">
        <v>1056.2197777777778</v>
      </c>
      <c r="AL27" s="748">
        <v>95059.78</v>
      </c>
      <c r="AM27" s="746">
        <v>52</v>
      </c>
      <c r="AN27" s="747">
        <v>1145.6476923076923</v>
      </c>
      <c r="AO27" s="748">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1">
        <v>630</v>
      </c>
      <c r="D30" s="762">
        <v>3635.5403968253927</v>
      </c>
      <c r="E30" s="763">
        <v>2290390.4499999974</v>
      </c>
      <c r="F30" s="761">
        <v>46</v>
      </c>
      <c r="G30" s="762">
        <v>3181.1767391304343</v>
      </c>
      <c r="H30" s="763">
        <v>146334.12999999998</v>
      </c>
      <c r="I30" s="761">
        <v>25</v>
      </c>
      <c r="J30" s="762">
        <v>4204.6255999999994</v>
      </c>
      <c r="K30" s="763">
        <v>105115.63999999998</v>
      </c>
      <c r="L30" s="761">
        <v>46</v>
      </c>
      <c r="M30" s="762">
        <v>4308.1408695652071</v>
      </c>
      <c r="N30" s="763">
        <v>198174.47999999952</v>
      </c>
      <c r="O30" s="761">
        <v>37</v>
      </c>
      <c r="P30" s="762">
        <v>3678.7983783783729</v>
      </c>
      <c r="Q30" s="763">
        <v>136115.5399999998</v>
      </c>
      <c r="R30" s="761">
        <v>56</v>
      </c>
      <c r="S30" s="762">
        <v>3681.5748214285677</v>
      </c>
      <c r="T30" s="763">
        <v>206168.1899999998</v>
      </c>
      <c r="U30" s="761">
        <v>59</v>
      </c>
      <c r="V30" s="762">
        <v>3481.6166101694944</v>
      </c>
      <c r="W30" s="763">
        <v>205415.38000000018</v>
      </c>
      <c r="X30" s="761">
        <v>40</v>
      </c>
      <c r="Y30" s="762">
        <v>3855.3114999999975</v>
      </c>
      <c r="Z30" s="763">
        <v>154212.4599999999</v>
      </c>
      <c r="AA30" s="761">
        <v>55</v>
      </c>
      <c r="AB30" s="762">
        <v>3672.9932727272676</v>
      </c>
      <c r="AC30" s="763">
        <v>202014.62999999971</v>
      </c>
      <c r="AD30" s="761">
        <v>55</v>
      </c>
      <c r="AE30" s="762">
        <v>3601.3861818181781</v>
      </c>
      <c r="AF30" s="763">
        <v>198076.23999999979</v>
      </c>
      <c r="AG30" s="761">
        <v>67</v>
      </c>
      <c r="AH30" s="762">
        <v>3666.631194029836</v>
      </c>
      <c r="AI30" s="763">
        <v>245664.28999999902</v>
      </c>
      <c r="AJ30" s="761">
        <v>92</v>
      </c>
      <c r="AK30" s="762">
        <v>3367.8319565217394</v>
      </c>
      <c r="AL30" s="763">
        <v>309840.54000000004</v>
      </c>
      <c r="AM30" s="761">
        <v>52</v>
      </c>
      <c r="AN30" s="762">
        <v>3524.2101923076875</v>
      </c>
      <c r="AO30" s="763">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0.29849571936905456</v>
      </c>
      <c r="D34" s="772">
        <v>709.4751324503311</v>
      </c>
      <c r="E34" s="760">
        <v>428522.98</v>
      </c>
      <c r="F34" s="771">
        <v>0.20080094006468588</v>
      </c>
      <c r="G34" s="772">
        <v>446.91511111111112</v>
      </c>
      <c r="H34" s="773">
        <v>20111.18</v>
      </c>
      <c r="I34" s="771">
        <v>0.3748038881027107</v>
      </c>
      <c r="J34" s="772">
        <v>942.4475000000001</v>
      </c>
      <c r="K34" s="773">
        <v>22618.74</v>
      </c>
      <c r="L34" s="771">
        <v>0.34224819475903012</v>
      </c>
      <c r="M34" s="772">
        <v>946.75478260869568</v>
      </c>
      <c r="N34" s="773">
        <v>43550.720000000001</v>
      </c>
      <c r="O34" s="771">
        <v>0.4327795876634099</v>
      </c>
      <c r="P34" s="772">
        <v>1091.0429411764705</v>
      </c>
      <c r="Q34" s="773">
        <v>37095.46</v>
      </c>
      <c r="R34" s="771">
        <v>0.32730600500363483</v>
      </c>
      <c r="S34" s="772">
        <v>788.56773584905659</v>
      </c>
      <c r="T34" s="773">
        <v>41794.089999999997</v>
      </c>
      <c r="U34" s="771">
        <v>0.33310604960346141</v>
      </c>
      <c r="V34" s="772">
        <v>771.36614035087723</v>
      </c>
      <c r="W34" s="773">
        <v>43967.87</v>
      </c>
      <c r="X34" s="771">
        <v>0.37701685076413732</v>
      </c>
      <c r="Y34" s="772">
        <v>840.92487179487182</v>
      </c>
      <c r="Z34" s="773">
        <v>32796.07</v>
      </c>
      <c r="AA34" s="771">
        <v>0.35356676301861473</v>
      </c>
      <c r="AB34" s="772">
        <v>819.64921568627449</v>
      </c>
      <c r="AC34" s="773">
        <v>41802.11</v>
      </c>
      <c r="AD34" s="771">
        <v>0.19647832361266485</v>
      </c>
      <c r="AE34" s="772">
        <v>441.81</v>
      </c>
      <c r="AF34" s="773">
        <v>23857.74</v>
      </c>
      <c r="AG34" s="771">
        <v>0.2749352106828814</v>
      </c>
      <c r="AH34" s="772">
        <v>710.28728813559314</v>
      </c>
      <c r="AI34" s="773">
        <v>41906.949999999997</v>
      </c>
      <c r="AJ34" s="771">
        <v>0.22021936618522778</v>
      </c>
      <c r="AK34" s="772">
        <v>500.14211111111115</v>
      </c>
      <c r="AL34" s="773">
        <v>45012.79</v>
      </c>
      <c r="AM34" s="771">
        <v>0.28582149962315506</v>
      </c>
      <c r="AN34" s="772">
        <v>654.02423076923083</v>
      </c>
      <c r="AO34" s="773">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0.30598638964265418</v>
      </c>
      <c r="D35" s="775">
        <v>343.70249999999999</v>
      </c>
      <c r="E35" s="776">
        <v>207596.31</v>
      </c>
      <c r="F35" s="774">
        <v>0.42056545957648811</v>
      </c>
      <c r="G35" s="775">
        <v>364.80866666666668</v>
      </c>
      <c r="H35" s="777">
        <v>16416.39</v>
      </c>
      <c r="I35" s="774">
        <v>0.2864355652965534</v>
      </c>
      <c r="J35" s="775">
        <v>418.20666666666665</v>
      </c>
      <c r="K35" s="777">
        <v>10036.959999999999</v>
      </c>
      <c r="L35" s="774">
        <v>0.29836781205787655</v>
      </c>
      <c r="M35" s="775">
        <v>385.51826086956521</v>
      </c>
      <c r="N35" s="777">
        <v>17733.84</v>
      </c>
      <c r="O35" s="774">
        <v>0.29978160442059171</v>
      </c>
      <c r="P35" s="775">
        <v>295.24176470588236</v>
      </c>
      <c r="Q35" s="777">
        <v>10038.219999999999</v>
      </c>
      <c r="R35" s="774">
        <v>0.29997186845897417</v>
      </c>
      <c r="S35" s="775">
        <v>351.68396226415092</v>
      </c>
      <c r="T35" s="777">
        <v>18639.25</v>
      </c>
      <c r="U35" s="774">
        <v>0.30010863606332655</v>
      </c>
      <c r="V35" s="775">
        <v>287.44684210526316</v>
      </c>
      <c r="W35" s="777">
        <v>16384.47</v>
      </c>
      <c r="X35" s="774">
        <v>0.30073845562555424</v>
      </c>
      <c r="Y35" s="775">
        <v>408.49589743589746</v>
      </c>
      <c r="Z35" s="777">
        <v>15931.34</v>
      </c>
      <c r="AA35" s="774">
        <v>0.29989739561915507</v>
      </c>
      <c r="AB35" s="775">
        <v>365.35647058823531</v>
      </c>
      <c r="AC35" s="777">
        <v>18633.18</v>
      </c>
      <c r="AD35" s="774">
        <v>0.30030542131612159</v>
      </c>
      <c r="AE35" s="775">
        <v>364.36685185185189</v>
      </c>
      <c r="AF35" s="777">
        <v>19675.810000000001</v>
      </c>
      <c r="AG35" s="774">
        <v>0.29873305492920604</v>
      </c>
      <c r="AH35" s="775">
        <v>301.07593220338981</v>
      </c>
      <c r="AI35" s="777">
        <v>17763.48</v>
      </c>
      <c r="AJ35" s="774">
        <v>0.29960999278559242</v>
      </c>
      <c r="AK35" s="775">
        <v>316.45400000000001</v>
      </c>
      <c r="AL35" s="777">
        <v>28480.86</v>
      </c>
      <c r="AM35" s="774">
        <v>0.29983895572675717</v>
      </c>
      <c r="AN35" s="775">
        <v>343.50980769230767</v>
      </c>
      <c r="AO35" s="777">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122.55435430463577</v>
      </c>
      <c r="E36" s="760">
        <v>74022.83</v>
      </c>
      <c r="F36" s="749"/>
      <c r="G36" s="772">
        <v>58.516222222222225</v>
      </c>
      <c r="H36" s="773">
        <v>2633.23</v>
      </c>
      <c r="I36" s="749"/>
      <c r="J36" s="772">
        <v>245.49916666666664</v>
      </c>
      <c r="K36" s="773">
        <v>5891.98</v>
      </c>
      <c r="L36" s="749"/>
      <c r="M36" s="772">
        <v>64.906086956521733</v>
      </c>
      <c r="N36" s="773">
        <v>2985.68</v>
      </c>
      <c r="O36" s="749"/>
      <c r="P36" s="772">
        <v>99.448823529411769</v>
      </c>
      <c r="Q36" s="773">
        <v>3381.26</v>
      </c>
      <c r="R36" s="749"/>
      <c r="S36" s="772">
        <v>112.82150943396226</v>
      </c>
      <c r="T36" s="773">
        <v>5979.54</v>
      </c>
      <c r="U36" s="749"/>
      <c r="V36" s="772">
        <v>98.259649122807019</v>
      </c>
      <c r="W36" s="773">
        <v>5600.8</v>
      </c>
      <c r="X36" s="749"/>
      <c r="Y36" s="772">
        <v>168.41974358974358</v>
      </c>
      <c r="Z36" s="773">
        <v>6568.37</v>
      </c>
      <c r="AA36" s="749"/>
      <c r="AB36" s="772">
        <v>121.67235294117647</v>
      </c>
      <c r="AC36" s="773">
        <v>6205.29</v>
      </c>
      <c r="AD36" s="749"/>
      <c r="AE36" s="772">
        <v>85.562222222222218</v>
      </c>
      <c r="AF36" s="773">
        <v>4620.3599999999997</v>
      </c>
      <c r="AG36" s="749"/>
      <c r="AH36" s="772">
        <v>131.92101694915254</v>
      </c>
      <c r="AI36" s="773">
        <v>7783.34</v>
      </c>
      <c r="AJ36" s="749"/>
      <c r="AK36" s="772">
        <v>138.78766666666667</v>
      </c>
      <c r="AL36" s="773">
        <v>12490.89</v>
      </c>
      <c r="AM36" s="749"/>
      <c r="AN36" s="772">
        <v>190.04019230769231</v>
      </c>
      <c r="AO36" s="773">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13.843327814569538</v>
      </c>
      <c r="E37" s="760">
        <v>8361.3700000000008</v>
      </c>
      <c r="F37" s="749"/>
      <c r="G37" s="772">
        <v>0</v>
      </c>
      <c r="H37" s="773">
        <v>0</v>
      </c>
      <c r="I37" s="749"/>
      <c r="J37" s="772">
        <v>0</v>
      </c>
      <c r="K37" s="773">
        <v>0</v>
      </c>
      <c r="L37" s="749"/>
      <c r="M37" s="772">
        <v>4.5619565217391305</v>
      </c>
      <c r="N37" s="773">
        <v>209.85</v>
      </c>
      <c r="O37" s="749"/>
      <c r="P37" s="772">
        <v>2.3529411764705883</v>
      </c>
      <c r="Q37" s="773">
        <v>80</v>
      </c>
      <c r="R37" s="749"/>
      <c r="S37" s="772">
        <v>0</v>
      </c>
      <c r="T37" s="773">
        <v>0</v>
      </c>
      <c r="U37" s="749"/>
      <c r="V37" s="772">
        <v>0</v>
      </c>
      <c r="W37" s="773">
        <v>0</v>
      </c>
      <c r="X37" s="749"/>
      <c r="Y37" s="772">
        <v>1.0256410256410255</v>
      </c>
      <c r="Z37" s="773">
        <v>40</v>
      </c>
      <c r="AA37" s="749"/>
      <c r="AB37" s="772">
        <v>1.803921568627451</v>
      </c>
      <c r="AC37" s="773">
        <v>92</v>
      </c>
      <c r="AD37" s="749"/>
      <c r="AE37" s="772">
        <v>3.9803703703703701</v>
      </c>
      <c r="AF37" s="773">
        <v>214.94</v>
      </c>
      <c r="AG37" s="749"/>
      <c r="AH37" s="772">
        <v>9.4247457627118632</v>
      </c>
      <c r="AI37" s="773">
        <v>556.05999999999995</v>
      </c>
      <c r="AJ37" s="749"/>
      <c r="AK37" s="772">
        <v>63.11022222222222</v>
      </c>
      <c r="AL37" s="773">
        <v>5679.92</v>
      </c>
      <c r="AM37" s="749"/>
      <c r="AN37" s="772">
        <v>28.626923076923074</v>
      </c>
      <c r="AO37" s="773">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79.811440397350992</v>
      </c>
      <c r="E38" s="776">
        <v>48206.11</v>
      </c>
      <c r="F38" s="778"/>
      <c r="G38" s="775">
        <v>59.264222222222216</v>
      </c>
      <c r="H38" s="777">
        <v>2666.89</v>
      </c>
      <c r="I38" s="778"/>
      <c r="J38" s="775">
        <v>125.22541666666666</v>
      </c>
      <c r="K38" s="777">
        <v>3005.41</v>
      </c>
      <c r="L38" s="778"/>
      <c r="M38" s="775">
        <v>48.714347826086957</v>
      </c>
      <c r="N38" s="777">
        <v>2240.86</v>
      </c>
      <c r="O38" s="778"/>
      <c r="P38" s="775">
        <v>88.820000000000007</v>
      </c>
      <c r="Q38" s="777">
        <v>3019.88</v>
      </c>
      <c r="R38" s="778"/>
      <c r="S38" s="775">
        <v>66.649056603773587</v>
      </c>
      <c r="T38" s="777">
        <v>3532.4</v>
      </c>
      <c r="U38" s="778"/>
      <c r="V38" s="775">
        <v>70.21052631578948</v>
      </c>
      <c r="W38" s="777">
        <v>4002</v>
      </c>
      <c r="X38" s="778"/>
      <c r="Y38" s="775">
        <v>118.0776923076923</v>
      </c>
      <c r="Z38" s="777">
        <v>4605.03</v>
      </c>
      <c r="AA38" s="778"/>
      <c r="AB38" s="775">
        <v>78.708235294117642</v>
      </c>
      <c r="AC38" s="777">
        <v>4014.12</v>
      </c>
      <c r="AD38" s="778"/>
      <c r="AE38" s="775">
        <v>80.21648148148148</v>
      </c>
      <c r="AF38" s="777">
        <v>4331.6899999999996</v>
      </c>
      <c r="AG38" s="778"/>
      <c r="AH38" s="775">
        <v>92.110169491525426</v>
      </c>
      <c r="AI38" s="777">
        <v>5434.5</v>
      </c>
      <c r="AJ38" s="778"/>
      <c r="AK38" s="775">
        <v>83.834222222222223</v>
      </c>
      <c r="AL38" s="777">
        <v>7545.08</v>
      </c>
      <c r="AM38" s="778"/>
      <c r="AN38" s="775">
        <v>73.23557692307692</v>
      </c>
      <c r="AO38" s="777">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100.76802980132439</v>
      </c>
      <c r="E39" s="760">
        <v>60863.889999999927</v>
      </c>
      <c r="F39" s="749"/>
      <c r="G39" s="772">
        <v>7.4604444444444447</v>
      </c>
      <c r="H39" s="773">
        <v>335.72</v>
      </c>
      <c r="I39" s="749"/>
      <c r="J39" s="772">
        <v>300.07</v>
      </c>
      <c r="K39" s="773">
        <v>7201.68</v>
      </c>
      <c r="L39" s="749"/>
      <c r="M39" s="772">
        <v>87.100652173912835</v>
      </c>
      <c r="N39" s="773">
        <v>4006.6299999999901</v>
      </c>
      <c r="O39" s="749"/>
      <c r="P39" s="772">
        <v>159.71529411764706</v>
      </c>
      <c r="Q39" s="773">
        <v>5430.32</v>
      </c>
      <c r="R39" s="749"/>
      <c r="S39" s="772">
        <v>56.458679245282831</v>
      </c>
      <c r="T39" s="773">
        <v>2992.3099999999899</v>
      </c>
      <c r="U39" s="749"/>
      <c r="V39" s="772">
        <v>122.48649122807016</v>
      </c>
      <c r="W39" s="773">
        <v>6981.73</v>
      </c>
      <c r="X39" s="749"/>
      <c r="Y39" s="772">
        <v>154.58692307692283</v>
      </c>
      <c r="Z39" s="773">
        <v>6028.8899999999903</v>
      </c>
      <c r="AA39" s="749"/>
      <c r="AB39" s="772">
        <v>40.121960784313529</v>
      </c>
      <c r="AC39" s="773">
        <v>2046.21999999999</v>
      </c>
      <c r="AD39" s="749"/>
      <c r="AE39" s="772">
        <v>102.55351851851835</v>
      </c>
      <c r="AF39" s="773">
        <v>5537.8899999999903</v>
      </c>
      <c r="AG39" s="749"/>
      <c r="AH39" s="772">
        <v>155.86983050847456</v>
      </c>
      <c r="AI39" s="773">
        <v>9196.32</v>
      </c>
      <c r="AJ39" s="749"/>
      <c r="AK39" s="772">
        <v>38.481888888888776</v>
      </c>
      <c r="AL39" s="773">
        <v>3463.3699999999899</v>
      </c>
      <c r="AM39" s="749"/>
      <c r="AN39" s="772">
        <v>146.97711538461519</v>
      </c>
      <c r="AO39" s="773">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121.38026490066224</v>
      </c>
      <c r="E40" s="760">
        <v>73313.679999999993</v>
      </c>
      <c r="F40" s="749"/>
      <c r="G40" s="772">
        <v>153.29866666666666</v>
      </c>
      <c r="H40" s="773">
        <v>6898.44</v>
      </c>
      <c r="I40" s="749"/>
      <c r="J40" s="772">
        <v>187.08333333333334</v>
      </c>
      <c r="K40" s="773">
        <v>4490</v>
      </c>
      <c r="L40" s="749"/>
      <c r="M40" s="772">
        <v>86.143043478260864</v>
      </c>
      <c r="N40" s="773">
        <v>3962.58</v>
      </c>
      <c r="O40" s="749"/>
      <c r="P40" s="772">
        <v>54.914411764705882</v>
      </c>
      <c r="Q40" s="773">
        <v>1867.09</v>
      </c>
      <c r="R40" s="749"/>
      <c r="S40" s="772">
        <v>110.78396226415094</v>
      </c>
      <c r="T40" s="773">
        <v>5871.55</v>
      </c>
      <c r="U40" s="749"/>
      <c r="V40" s="772">
        <v>83.07263157894738</v>
      </c>
      <c r="W40" s="773">
        <v>4735.1400000000003</v>
      </c>
      <c r="X40" s="749"/>
      <c r="Y40" s="772">
        <v>90.482564102564112</v>
      </c>
      <c r="Z40" s="773">
        <v>3528.82</v>
      </c>
      <c r="AA40" s="749"/>
      <c r="AB40" s="772">
        <v>0</v>
      </c>
      <c r="AC40" s="773">
        <v>0</v>
      </c>
      <c r="AD40" s="749"/>
      <c r="AE40" s="772">
        <v>95.057592592592584</v>
      </c>
      <c r="AF40" s="773">
        <v>5133.1099999999997</v>
      </c>
      <c r="AG40" s="749"/>
      <c r="AH40" s="772">
        <v>0</v>
      </c>
      <c r="AI40" s="773">
        <v>0</v>
      </c>
      <c r="AJ40" s="749"/>
      <c r="AK40" s="772">
        <v>217.76155555555556</v>
      </c>
      <c r="AL40" s="773">
        <v>19598.54</v>
      </c>
      <c r="AM40" s="749"/>
      <c r="AN40" s="772">
        <v>331.31557692307695</v>
      </c>
      <c r="AO40" s="773">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0.39333344670556103</v>
      </c>
      <c r="E44" s="781">
        <v>900887.16999999993</v>
      </c>
      <c r="F44" s="779" t="s">
        <v>119</v>
      </c>
      <c r="G44" s="780">
        <v>0.33527277607759731</v>
      </c>
      <c r="H44" s="781">
        <v>49061.850000000006</v>
      </c>
      <c r="I44" s="779" t="s">
        <v>119</v>
      </c>
      <c r="J44" s="780">
        <v>0.50653518353691229</v>
      </c>
      <c r="K44" s="781">
        <v>53244.77</v>
      </c>
      <c r="L44" s="779" t="s">
        <v>119</v>
      </c>
      <c r="M44" s="780">
        <v>0.37689090946523573</v>
      </c>
      <c r="N44" s="781">
        <v>74690.159999999989</v>
      </c>
      <c r="O44" s="779" t="s">
        <v>119</v>
      </c>
      <c r="P44" s="780">
        <v>0.44750386326204988</v>
      </c>
      <c r="Q44" s="781">
        <v>60912.229999999996</v>
      </c>
      <c r="R44" s="779" t="s">
        <v>119</v>
      </c>
      <c r="S44" s="780">
        <v>0.3822565450082287</v>
      </c>
      <c r="T44" s="781">
        <v>78809.13999999997</v>
      </c>
      <c r="U44" s="779" t="s">
        <v>119</v>
      </c>
      <c r="V44" s="780">
        <v>0.39759442550017393</v>
      </c>
      <c r="W44" s="781">
        <v>81672.009999999995</v>
      </c>
      <c r="X44" s="779" t="s">
        <v>119</v>
      </c>
      <c r="Y44" s="780">
        <v>0.4506673455569028</v>
      </c>
      <c r="Z44" s="781">
        <v>69498.52</v>
      </c>
      <c r="AA44" s="779" t="s">
        <v>119</v>
      </c>
      <c r="AB44" s="780">
        <v>0.36033489257684004</v>
      </c>
      <c r="AC44" s="781">
        <v>72792.919999999984</v>
      </c>
      <c r="AD44" s="779" t="s">
        <v>119</v>
      </c>
      <c r="AE44" s="780">
        <v>0.31993509165965622</v>
      </c>
      <c r="AF44" s="781">
        <v>63371.54</v>
      </c>
      <c r="AG44" s="779" t="s">
        <v>119</v>
      </c>
      <c r="AH44" s="780">
        <v>0.33639667368830989</v>
      </c>
      <c r="AI44" s="781">
        <v>82640.649999999994</v>
      </c>
      <c r="AJ44" s="779" t="s">
        <v>119</v>
      </c>
      <c r="AK44" s="780">
        <v>0.39462702330689187</v>
      </c>
      <c r="AL44" s="781">
        <v>122271.44999999998</v>
      </c>
      <c r="AM44" s="779" t="s">
        <v>119</v>
      </c>
      <c r="AN44" s="780">
        <v>0.50159591131520909</v>
      </c>
      <c r="AO44" s="781">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161101.4</v>
      </c>
      <c r="F45" s="749"/>
      <c r="G45" s="759"/>
      <c r="H45" s="773">
        <v>13320.96</v>
      </c>
      <c r="I45" s="749"/>
      <c r="J45" s="759"/>
      <c r="K45" s="773">
        <v>9312.9599999999991</v>
      </c>
      <c r="L45" s="749"/>
      <c r="M45" s="759"/>
      <c r="N45" s="773">
        <v>13684.73</v>
      </c>
      <c r="O45" s="749"/>
      <c r="P45" s="759"/>
      <c r="Q45" s="773">
        <v>13295.96</v>
      </c>
      <c r="R45" s="749"/>
      <c r="S45" s="759"/>
      <c r="T45" s="773">
        <v>13546.32</v>
      </c>
      <c r="U45" s="749"/>
      <c r="V45" s="759"/>
      <c r="W45" s="773">
        <v>13776.33</v>
      </c>
      <c r="X45" s="749"/>
      <c r="Y45" s="759"/>
      <c r="Z45" s="773">
        <v>17842.099999999999</v>
      </c>
      <c r="AA45" s="749"/>
      <c r="AB45" s="759"/>
      <c r="AC45" s="773">
        <v>14353.64</v>
      </c>
      <c r="AD45" s="749"/>
      <c r="AE45" s="759"/>
      <c r="AF45" s="773">
        <v>14161.33</v>
      </c>
      <c r="AG45" s="749"/>
      <c r="AH45" s="759"/>
      <c r="AI45" s="773">
        <v>11603.64</v>
      </c>
      <c r="AJ45" s="749"/>
      <c r="AK45" s="759"/>
      <c r="AL45" s="773">
        <v>14903.64</v>
      </c>
      <c r="AM45" s="749"/>
      <c r="AN45" s="759"/>
      <c r="AO45" s="773">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144740.67000000001</v>
      </c>
      <c r="F46" s="749"/>
      <c r="G46" s="759"/>
      <c r="H46" s="773">
        <v>11974.81</v>
      </c>
      <c r="I46" s="749"/>
      <c r="J46" s="759"/>
      <c r="K46" s="773">
        <v>12588.32</v>
      </c>
      <c r="L46" s="749"/>
      <c r="M46" s="759"/>
      <c r="N46" s="773">
        <v>13439.44</v>
      </c>
      <c r="O46" s="749"/>
      <c r="P46" s="759"/>
      <c r="Q46" s="773">
        <v>10544.06</v>
      </c>
      <c r="R46" s="749"/>
      <c r="S46" s="759"/>
      <c r="T46" s="773">
        <v>12202.83</v>
      </c>
      <c r="U46" s="749"/>
      <c r="V46" s="759"/>
      <c r="W46" s="773">
        <v>14509.06</v>
      </c>
      <c r="X46" s="749"/>
      <c r="Y46" s="759"/>
      <c r="Z46" s="773">
        <v>9643.58</v>
      </c>
      <c r="AA46" s="749"/>
      <c r="AB46" s="759"/>
      <c r="AC46" s="773">
        <v>12006.55</v>
      </c>
      <c r="AD46" s="749"/>
      <c r="AE46" s="759"/>
      <c r="AF46" s="773">
        <v>16026.9</v>
      </c>
      <c r="AG46" s="749"/>
      <c r="AH46" s="759"/>
      <c r="AI46" s="773">
        <v>11332.89</v>
      </c>
      <c r="AJ46" s="749"/>
      <c r="AK46" s="759"/>
      <c r="AL46" s="773">
        <v>8776.4699999999993</v>
      </c>
      <c r="AM46" s="749"/>
      <c r="AN46" s="759"/>
      <c r="AO46" s="773">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115434.12000000002</v>
      </c>
      <c r="F47" s="782"/>
      <c r="G47" s="783"/>
      <c r="H47" s="785">
        <v>11519.26</v>
      </c>
      <c r="I47" s="782"/>
      <c r="J47" s="783"/>
      <c r="K47" s="785">
        <v>10464.68</v>
      </c>
      <c r="L47" s="782"/>
      <c r="M47" s="783"/>
      <c r="N47" s="785">
        <v>11841.01</v>
      </c>
      <c r="O47" s="782"/>
      <c r="P47" s="783"/>
      <c r="Q47" s="785">
        <v>12250.19</v>
      </c>
      <c r="R47" s="782"/>
      <c r="S47" s="783"/>
      <c r="T47" s="785">
        <v>14212.21</v>
      </c>
      <c r="U47" s="782"/>
      <c r="V47" s="783"/>
      <c r="W47" s="785">
        <v>13387.76</v>
      </c>
      <c r="X47" s="782"/>
      <c r="Y47" s="783"/>
      <c r="Z47" s="785">
        <v>12343.13</v>
      </c>
      <c r="AA47" s="782"/>
      <c r="AB47" s="783"/>
      <c r="AC47" s="785">
        <v>11151.24</v>
      </c>
      <c r="AD47" s="782"/>
      <c r="AE47" s="783"/>
      <c r="AF47" s="785">
        <v>6488.86</v>
      </c>
      <c r="AG47" s="782"/>
      <c r="AH47" s="783"/>
      <c r="AI47" s="785">
        <v>3994.82</v>
      </c>
      <c r="AJ47" s="782"/>
      <c r="AK47" s="783"/>
      <c r="AL47" s="785">
        <v>2988</v>
      </c>
      <c r="AM47" s="782"/>
      <c r="AN47" s="783"/>
      <c r="AO47" s="785">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126459.04000000001</v>
      </c>
      <c r="F52" s="749"/>
      <c r="G52" s="759"/>
      <c r="H52" s="773">
        <v>18179.34</v>
      </c>
      <c r="I52" s="749"/>
      <c r="J52" s="759"/>
      <c r="K52" s="773">
        <v>9804.34</v>
      </c>
      <c r="L52" s="749"/>
      <c r="M52" s="759"/>
      <c r="N52" s="773">
        <v>6896.42</v>
      </c>
      <c r="O52" s="749"/>
      <c r="P52" s="759"/>
      <c r="Q52" s="773">
        <v>11060.27</v>
      </c>
      <c r="R52" s="749"/>
      <c r="S52" s="759"/>
      <c r="T52" s="773">
        <v>12615.57</v>
      </c>
      <c r="U52" s="749"/>
      <c r="V52" s="759"/>
      <c r="W52" s="773">
        <v>12929.12</v>
      </c>
      <c r="X52" s="749"/>
      <c r="Y52" s="759"/>
      <c r="Z52" s="773">
        <v>10139.23</v>
      </c>
      <c r="AA52" s="749"/>
      <c r="AB52" s="759"/>
      <c r="AC52" s="773">
        <v>6780.38</v>
      </c>
      <c r="AD52" s="749"/>
      <c r="AE52" s="759"/>
      <c r="AF52" s="773">
        <v>10273.68</v>
      </c>
      <c r="AG52" s="749"/>
      <c r="AH52" s="759"/>
      <c r="AI52" s="773">
        <v>9419.91</v>
      </c>
      <c r="AJ52" s="749"/>
      <c r="AK52" s="759"/>
      <c r="AL52" s="773">
        <v>8803.83</v>
      </c>
      <c r="AM52" s="749"/>
      <c r="AN52" s="759"/>
      <c r="AO52" s="773">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156049.84999999998</v>
      </c>
      <c r="F53" s="782"/>
      <c r="G53" s="783"/>
      <c r="H53" s="785">
        <v>16049.06</v>
      </c>
      <c r="I53" s="782"/>
      <c r="J53" s="783"/>
      <c r="K53" s="785">
        <v>16298.39</v>
      </c>
      <c r="L53" s="782"/>
      <c r="M53" s="783"/>
      <c r="N53" s="785">
        <v>15375.15</v>
      </c>
      <c r="O53" s="782"/>
      <c r="P53" s="783"/>
      <c r="Q53" s="785">
        <v>16153.21</v>
      </c>
      <c r="R53" s="782"/>
      <c r="S53" s="783"/>
      <c r="T53" s="785">
        <v>12626.31</v>
      </c>
      <c r="U53" s="782"/>
      <c r="V53" s="783"/>
      <c r="W53" s="785">
        <v>12404.94</v>
      </c>
      <c r="X53" s="782"/>
      <c r="Y53" s="783"/>
      <c r="Z53" s="785">
        <v>14378.55</v>
      </c>
      <c r="AA53" s="782"/>
      <c r="AB53" s="783"/>
      <c r="AC53" s="785">
        <v>10620.12</v>
      </c>
      <c r="AD53" s="782"/>
      <c r="AE53" s="783"/>
      <c r="AF53" s="785">
        <v>10461.01</v>
      </c>
      <c r="AG53" s="782"/>
      <c r="AH53" s="783"/>
      <c r="AI53" s="785">
        <v>8905.2099999999991</v>
      </c>
      <c r="AJ53" s="782"/>
      <c r="AK53" s="783"/>
      <c r="AL53" s="785">
        <v>11365.4</v>
      </c>
      <c r="AM53" s="782"/>
      <c r="AN53" s="783"/>
      <c r="AO53" s="785">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74708.680000000008</v>
      </c>
      <c r="F54" s="749"/>
      <c r="G54" s="759"/>
      <c r="H54" s="773">
        <v>6493.21</v>
      </c>
      <c r="I54" s="749"/>
      <c r="J54" s="759"/>
      <c r="K54" s="773">
        <v>5878.89</v>
      </c>
      <c r="L54" s="749"/>
      <c r="M54" s="759"/>
      <c r="N54" s="773">
        <v>5879.65</v>
      </c>
      <c r="O54" s="749"/>
      <c r="P54" s="759"/>
      <c r="Q54" s="773">
        <v>9403.86</v>
      </c>
      <c r="R54" s="749"/>
      <c r="S54" s="759"/>
      <c r="T54" s="773">
        <v>6414.78</v>
      </c>
      <c r="U54" s="749"/>
      <c r="V54" s="759"/>
      <c r="W54" s="773">
        <v>5591.61</v>
      </c>
      <c r="X54" s="749"/>
      <c r="Y54" s="759"/>
      <c r="Z54" s="773">
        <v>7088.75</v>
      </c>
      <c r="AA54" s="749"/>
      <c r="AB54" s="759"/>
      <c r="AC54" s="773">
        <v>5958.04</v>
      </c>
      <c r="AD54" s="749"/>
      <c r="AE54" s="759"/>
      <c r="AF54" s="773">
        <v>6088.21</v>
      </c>
      <c r="AG54" s="749"/>
      <c r="AH54" s="759"/>
      <c r="AI54" s="773">
        <v>5383.41</v>
      </c>
      <c r="AJ54" s="749"/>
      <c r="AK54" s="759"/>
      <c r="AL54" s="773">
        <v>6383.8099999999904</v>
      </c>
      <c r="AM54" s="749"/>
      <c r="AN54" s="759"/>
      <c r="AO54" s="773">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24570.019999999997</v>
      </c>
      <c r="F55" s="749"/>
      <c r="G55" s="759"/>
      <c r="H55" s="773">
        <v>2475.7399999999998</v>
      </c>
      <c r="I55" s="749"/>
      <c r="J55" s="759"/>
      <c r="K55" s="773">
        <v>2534.25</v>
      </c>
      <c r="L55" s="749"/>
      <c r="M55" s="759"/>
      <c r="N55" s="773">
        <v>2462.5300000000002</v>
      </c>
      <c r="O55" s="749"/>
      <c r="P55" s="759"/>
      <c r="Q55" s="773">
        <v>2775.98</v>
      </c>
      <c r="R55" s="749"/>
      <c r="S55" s="759"/>
      <c r="T55" s="773">
        <v>2337.2399999999998</v>
      </c>
      <c r="U55" s="749"/>
      <c r="V55" s="759"/>
      <c r="W55" s="773">
        <v>3273.76</v>
      </c>
      <c r="X55" s="749"/>
      <c r="Y55" s="759"/>
      <c r="Z55" s="773">
        <v>2311.3000000000002</v>
      </c>
      <c r="AA55" s="749"/>
      <c r="AB55" s="759"/>
      <c r="AC55" s="773">
        <v>1830.69</v>
      </c>
      <c r="AD55" s="749"/>
      <c r="AE55" s="759"/>
      <c r="AF55" s="773">
        <v>1526.89</v>
      </c>
      <c r="AG55" s="749"/>
      <c r="AH55" s="759"/>
      <c r="AI55" s="773">
        <v>686.07</v>
      </c>
      <c r="AJ55" s="749"/>
      <c r="AK55" s="759"/>
      <c r="AL55" s="773">
        <v>1164.96</v>
      </c>
      <c r="AM55" s="749"/>
      <c r="AN55" s="759"/>
      <c r="AO55" s="773">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0.35062309135981645</v>
      </c>
      <c r="E57" s="781">
        <v>803063.78000000014</v>
      </c>
      <c r="F57" s="779" t="s">
        <v>119</v>
      </c>
      <c r="G57" s="780">
        <v>0.54677866332345038</v>
      </c>
      <c r="H57" s="781">
        <v>80012.38</v>
      </c>
      <c r="I57" s="779" t="s">
        <v>119</v>
      </c>
      <c r="J57" s="780">
        <v>0.63626906519334336</v>
      </c>
      <c r="K57" s="781">
        <v>66881.83</v>
      </c>
      <c r="L57" s="779" t="s">
        <v>119</v>
      </c>
      <c r="M57" s="780">
        <v>0.35109934437572465</v>
      </c>
      <c r="N57" s="781">
        <v>69578.929999999993</v>
      </c>
      <c r="O57" s="779" t="s">
        <v>119</v>
      </c>
      <c r="P57" s="780">
        <v>0.55455482893430164</v>
      </c>
      <c r="Q57" s="781">
        <v>75483.529999999984</v>
      </c>
      <c r="R57" s="779" t="s">
        <v>119</v>
      </c>
      <c r="S57" s="780">
        <v>0.35871324281403488</v>
      </c>
      <c r="T57" s="781">
        <v>73955.260000000009</v>
      </c>
      <c r="U57" s="779" t="s">
        <v>119</v>
      </c>
      <c r="V57" s="780">
        <v>0.3693617293894933</v>
      </c>
      <c r="W57" s="781">
        <v>75872.58</v>
      </c>
      <c r="X57" s="779" t="s">
        <v>119</v>
      </c>
      <c r="Y57" s="780">
        <v>0.47821453597199631</v>
      </c>
      <c r="Z57" s="781">
        <v>73746.64</v>
      </c>
      <c r="AA57" s="779" t="s">
        <v>119</v>
      </c>
      <c r="AB57" s="780">
        <v>0.31037682765847252</v>
      </c>
      <c r="AC57" s="781">
        <v>62700.66</v>
      </c>
      <c r="AD57" s="779" t="s">
        <v>119</v>
      </c>
      <c r="AE57" s="780">
        <v>0.32829217679010902</v>
      </c>
      <c r="AF57" s="781">
        <v>65026.879999999997</v>
      </c>
      <c r="AG57" s="779" t="s">
        <v>119</v>
      </c>
      <c r="AH57" s="780">
        <v>0.20892719084243053</v>
      </c>
      <c r="AI57" s="781">
        <v>51325.94999999999</v>
      </c>
      <c r="AJ57" s="779" t="s">
        <v>119</v>
      </c>
      <c r="AK57" s="780">
        <v>0.17552935455121524</v>
      </c>
      <c r="AL57" s="781">
        <v>54386.109999999993</v>
      </c>
      <c r="AM57" s="779" t="s">
        <v>119</v>
      </c>
      <c r="AN57" s="780">
        <v>0.29517268271729008</v>
      </c>
      <c r="AO57" s="781">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81122.09</v>
      </c>
      <c r="F60" s="787"/>
      <c r="G60" s="788"/>
      <c r="H60" s="790">
        <v>9342.8700000000008</v>
      </c>
      <c r="I60" s="787"/>
      <c r="J60" s="788"/>
      <c r="K60" s="790">
        <v>7178.73</v>
      </c>
      <c r="L60" s="787"/>
      <c r="M60" s="788"/>
      <c r="N60" s="790">
        <v>5765.85</v>
      </c>
      <c r="O60" s="787"/>
      <c r="P60" s="788"/>
      <c r="Q60" s="790">
        <v>6050.54</v>
      </c>
      <c r="R60" s="787"/>
      <c r="S60" s="788"/>
      <c r="T60" s="790">
        <v>7607.19</v>
      </c>
      <c r="U60" s="787"/>
      <c r="V60" s="788"/>
      <c r="W60" s="790">
        <v>5916.23</v>
      </c>
      <c r="X60" s="787"/>
      <c r="Y60" s="788"/>
      <c r="Z60" s="790">
        <v>7279.84</v>
      </c>
      <c r="AA60" s="787"/>
      <c r="AB60" s="788"/>
      <c r="AC60" s="790">
        <v>2665.34</v>
      </c>
      <c r="AD60" s="787"/>
      <c r="AE60" s="788"/>
      <c r="AF60" s="790">
        <v>5210.8500000000004</v>
      </c>
      <c r="AG60" s="787"/>
      <c r="AH60" s="788"/>
      <c r="AI60" s="790">
        <v>10080.58</v>
      </c>
      <c r="AJ60" s="787"/>
      <c r="AK60" s="788"/>
      <c r="AL60" s="790">
        <v>7119.66</v>
      </c>
      <c r="AM60" s="787"/>
      <c r="AN60" s="788"/>
      <c r="AO60" s="790">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84970.739999999991</v>
      </c>
      <c r="F61" s="749"/>
      <c r="G61" s="759"/>
      <c r="H61" s="773">
        <v>5818.91</v>
      </c>
      <c r="I61" s="749"/>
      <c r="J61" s="759"/>
      <c r="K61" s="773">
        <v>8139.24</v>
      </c>
      <c r="L61" s="749"/>
      <c r="M61" s="759"/>
      <c r="N61" s="773">
        <v>7063.11</v>
      </c>
      <c r="O61" s="749"/>
      <c r="P61" s="759"/>
      <c r="Q61" s="773">
        <v>6422.17</v>
      </c>
      <c r="R61" s="749"/>
      <c r="S61" s="759"/>
      <c r="T61" s="773">
        <v>9434.75</v>
      </c>
      <c r="U61" s="749"/>
      <c r="V61" s="759"/>
      <c r="W61" s="773">
        <v>7019.75</v>
      </c>
      <c r="X61" s="749"/>
      <c r="Y61" s="759"/>
      <c r="Z61" s="773">
        <v>7196.92</v>
      </c>
      <c r="AA61" s="749"/>
      <c r="AB61" s="759"/>
      <c r="AC61" s="773">
        <v>6738.03</v>
      </c>
      <c r="AD61" s="749"/>
      <c r="AE61" s="759"/>
      <c r="AF61" s="773">
        <v>7114.48</v>
      </c>
      <c r="AG61" s="749"/>
      <c r="AH61" s="759"/>
      <c r="AI61" s="773">
        <v>6701.59</v>
      </c>
      <c r="AJ61" s="749"/>
      <c r="AK61" s="759"/>
      <c r="AL61" s="773">
        <v>6760.11</v>
      </c>
      <c r="AM61" s="749"/>
      <c r="AN61" s="759"/>
      <c r="AO61" s="773">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17989.309999999998</v>
      </c>
      <c r="F62" s="749"/>
      <c r="G62" s="759"/>
      <c r="H62" s="773">
        <v>738.56</v>
      </c>
      <c r="I62" s="749"/>
      <c r="J62" s="759"/>
      <c r="K62" s="773">
        <v>2412.6</v>
      </c>
      <c r="L62" s="749"/>
      <c r="M62" s="759"/>
      <c r="N62" s="773">
        <v>2012.95</v>
      </c>
      <c r="O62" s="749"/>
      <c r="P62" s="759"/>
      <c r="Q62" s="773">
        <v>925.52</v>
      </c>
      <c r="R62" s="749"/>
      <c r="S62" s="759"/>
      <c r="T62" s="773">
        <v>3463.39</v>
      </c>
      <c r="U62" s="749"/>
      <c r="V62" s="759"/>
      <c r="W62" s="773">
        <v>504.08</v>
      </c>
      <c r="X62" s="749"/>
      <c r="Y62" s="759"/>
      <c r="Z62" s="773">
        <v>818.1</v>
      </c>
      <c r="AA62" s="749"/>
      <c r="AB62" s="759"/>
      <c r="AC62" s="773">
        <v>1465.98</v>
      </c>
      <c r="AD62" s="749"/>
      <c r="AE62" s="759"/>
      <c r="AF62" s="773">
        <v>1420.02</v>
      </c>
      <c r="AG62" s="749"/>
      <c r="AH62" s="759"/>
      <c r="AI62" s="773">
        <v>1507.17</v>
      </c>
      <c r="AJ62" s="749"/>
      <c r="AK62" s="759"/>
      <c r="AL62" s="773">
        <v>1646.26</v>
      </c>
      <c r="AM62" s="749"/>
      <c r="AN62" s="759"/>
      <c r="AO62" s="773">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81747.97</v>
      </c>
      <c r="F63" s="787"/>
      <c r="G63" s="788"/>
      <c r="H63" s="790">
        <v>7190.38</v>
      </c>
      <c r="I63" s="787"/>
      <c r="J63" s="788"/>
      <c r="K63" s="790">
        <v>8043.06</v>
      </c>
      <c r="L63" s="787"/>
      <c r="M63" s="788"/>
      <c r="N63" s="790">
        <v>5970.74</v>
      </c>
      <c r="O63" s="787"/>
      <c r="P63" s="788"/>
      <c r="Q63" s="790">
        <v>5703.27</v>
      </c>
      <c r="R63" s="787"/>
      <c r="S63" s="788"/>
      <c r="T63" s="790">
        <v>6186.31</v>
      </c>
      <c r="U63" s="787"/>
      <c r="V63" s="788"/>
      <c r="W63" s="790">
        <v>6175.67</v>
      </c>
      <c r="X63" s="787"/>
      <c r="Y63" s="788"/>
      <c r="Z63" s="790">
        <v>5967.65</v>
      </c>
      <c r="AA63" s="787"/>
      <c r="AB63" s="788"/>
      <c r="AC63" s="790">
        <v>6269.32</v>
      </c>
      <c r="AD63" s="787"/>
      <c r="AE63" s="788"/>
      <c r="AF63" s="790">
        <v>6350.63</v>
      </c>
      <c r="AG63" s="787"/>
      <c r="AH63" s="788"/>
      <c r="AI63" s="790">
        <v>8041.2</v>
      </c>
      <c r="AJ63" s="787"/>
      <c r="AK63" s="788"/>
      <c r="AL63" s="790">
        <v>8387.93</v>
      </c>
      <c r="AM63" s="787"/>
      <c r="AN63" s="788"/>
      <c r="AO63" s="790">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471.47999999999996</v>
      </c>
      <c r="F64" s="749"/>
      <c r="G64" s="759"/>
      <c r="H64" s="773">
        <v>0</v>
      </c>
      <c r="I64" s="749"/>
      <c r="J64" s="759"/>
      <c r="K64" s="773">
        <v>0</v>
      </c>
      <c r="L64" s="749"/>
      <c r="M64" s="759"/>
      <c r="N64" s="773">
        <v>8.23</v>
      </c>
      <c r="O64" s="749"/>
      <c r="P64" s="759"/>
      <c r="Q64" s="773">
        <v>0</v>
      </c>
      <c r="R64" s="749"/>
      <c r="S64" s="759"/>
      <c r="T64" s="773">
        <v>0</v>
      </c>
      <c r="U64" s="749"/>
      <c r="V64" s="759"/>
      <c r="W64" s="773">
        <v>0</v>
      </c>
      <c r="X64" s="749"/>
      <c r="Y64" s="759"/>
      <c r="Z64" s="773">
        <v>0</v>
      </c>
      <c r="AA64" s="749"/>
      <c r="AB64" s="759"/>
      <c r="AC64" s="773">
        <v>0</v>
      </c>
      <c r="AD64" s="749"/>
      <c r="AE64" s="759"/>
      <c r="AF64" s="773">
        <v>141.18</v>
      </c>
      <c r="AG64" s="749"/>
      <c r="AH64" s="759"/>
      <c r="AI64" s="773">
        <v>0</v>
      </c>
      <c r="AJ64" s="749"/>
      <c r="AK64" s="759"/>
      <c r="AL64" s="773">
        <v>250.25</v>
      </c>
      <c r="AM64" s="749"/>
      <c r="AN64" s="759"/>
      <c r="AO64" s="773">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0</v>
      </c>
      <c r="F65" s="749"/>
      <c r="G65" s="759"/>
      <c r="H65" s="773">
        <v>0</v>
      </c>
      <c r="I65" s="749"/>
      <c r="J65" s="759"/>
      <c r="K65" s="773">
        <v>0</v>
      </c>
      <c r="L65" s="749"/>
      <c r="M65" s="759"/>
      <c r="N65" s="773">
        <v>0</v>
      </c>
      <c r="O65" s="749"/>
      <c r="P65" s="759"/>
      <c r="Q65" s="773">
        <v>0</v>
      </c>
      <c r="R65" s="749"/>
      <c r="S65" s="759"/>
      <c r="T65" s="773">
        <v>0</v>
      </c>
      <c r="U65" s="749"/>
      <c r="V65" s="759"/>
      <c r="W65" s="773">
        <v>0</v>
      </c>
      <c r="X65" s="749"/>
      <c r="Y65" s="759"/>
      <c r="Z65" s="773">
        <v>0</v>
      </c>
      <c r="AA65" s="749"/>
      <c r="AB65" s="759"/>
      <c r="AC65" s="773">
        <v>0</v>
      </c>
      <c r="AD65" s="749"/>
      <c r="AE65" s="759"/>
      <c r="AF65" s="773">
        <v>0</v>
      </c>
      <c r="AG65" s="749"/>
      <c r="AH65" s="759"/>
      <c r="AI65" s="773">
        <v>0</v>
      </c>
      <c r="AJ65" s="749"/>
      <c r="AK65" s="759"/>
      <c r="AL65" s="773">
        <v>0</v>
      </c>
      <c r="AM65" s="749"/>
      <c r="AN65" s="759"/>
      <c r="AO65" s="773">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10026.720000000001</v>
      </c>
      <c r="F66" s="749"/>
      <c r="G66" s="759"/>
      <c r="H66" s="773">
        <v>387.75</v>
      </c>
      <c r="I66" s="749"/>
      <c r="J66" s="759"/>
      <c r="K66" s="773">
        <v>522.87</v>
      </c>
      <c r="L66" s="749"/>
      <c r="M66" s="759"/>
      <c r="N66" s="773">
        <v>1420.85</v>
      </c>
      <c r="O66" s="749"/>
      <c r="P66" s="759"/>
      <c r="Q66" s="773">
        <v>783.41</v>
      </c>
      <c r="R66" s="749"/>
      <c r="S66" s="759"/>
      <c r="T66" s="773">
        <v>536.74</v>
      </c>
      <c r="U66" s="749"/>
      <c r="V66" s="759"/>
      <c r="W66" s="773">
        <v>605.80999999999995</v>
      </c>
      <c r="X66" s="749"/>
      <c r="Y66" s="759"/>
      <c r="Z66" s="773">
        <v>479.83</v>
      </c>
      <c r="AA66" s="749"/>
      <c r="AB66" s="759"/>
      <c r="AC66" s="773">
        <v>1114.19</v>
      </c>
      <c r="AD66" s="749"/>
      <c r="AE66" s="759"/>
      <c r="AF66" s="773">
        <v>751.79</v>
      </c>
      <c r="AG66" s="749"/>
      <c r="AH66" s="759"/>
      <c r="AI66" s="773">
        <v>281.8</v>
      </c>
      <c r="AJ66" s="749"/>
      <c r="AK66" s="759"/>
      <c r="AL66" s="773">
        <v>2065.7600000000002</v>
      </c>
      <c r="AM66" s="749"/>
      <c r="AN66" s="759"/>
      <c r="AO66" s="773">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3799.73</v>
      </c>
      <c r="F67" s="749"/>
      <c r="G67" s="759"/>
      <c r="H67" s="773">
        <v>346.5</v>
      </c>
      <c r="I67" s="749"/>
      <c r="J67" s="759"/>
      <c r="K67" s="773">
        <v>354.25</v>
      </c>
      <c r="L67" s="749"/>
      <c r="M67" s="759"/>
      <c r="N67" s="773">
        <v>268.57</v>
      </c>
      <c r="O67" s="749"/>
      <c r="P67" s="759"/>
      <c r="Q67" s="773">
        <v>233.07</v>
      </c>
      <c r="R67" s="749"/>
      <c r="S67" s="759"/>
      <c r="T67" s="773">
        <v>338.47</v>
      </c>
      <c r="U67" s="749"/>
      <c r="V67" s="759"/>
      <c r="W67" s="773">
        <v>232.9</v>
      </c>
      <c r="X67" s="749"/>
      <c r="Y67" s="759"/>
      <c r="Z67" s="773">
        <v>233.9</v>
      </c>
      <c r="AA67" s="749"/>
      <c r="AB67" s="759"/>
      <c r="AC67" s="773">
        <v>597.5</v>
      </c>
      <c r="AD67" s="749"/>
      <c r="AE67" s="759"/>
      <c r="AF67" s="773">
        <v>294.13</v>
      </c>
      <c r="AG67" s="749"/>
      <c r="AH67" s="759"/>
      <c r="AI67" s="773">
        <v>303.89</v>
      </c>
      <c r="AJ67" s="749"/>
      <c r="AK67" s="759"/>
      <c r="AL67" s="773">
        <v>280.55</v>
      </c>
      <c r="AM67" s="749"/>
      <c r="AN67" s="759"/>
      <c r="AO67" s="773">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1622.4400000000003</v>
      </c>
      <c r="F68" s="749"/>
      <c r="G68" s="759"/>
      <c r="H68" s="773">
        <v>102.26</v>
      </c>
      <c r="I68" s="749"/>
      <c r="J68" s="759"/>
      <c r="K68" s="773">
        <v>88.51</v>
      </c>
      <c r="L68" s="749"/>
      <c r="M68" s="759"/>
      <c r="N68" s="773">
        <v>84.98</v>
      </c>
      <c r="O68" s="749"/>
      <c r="P68" s="759"/>
      <c r="Q68" s="773">
        <v>129.09</v>
      </c>
      <c r="R68" s="749"/>
      <c r="S68" s="759"/>
      <c r="T68" s="773">
        <v>115.6</v>
      </c>
      <c r="U68" s="749"/>
      <c r="V68" s="759"/>
      <c r="W68" s="773">
        <v>81.84</v>
      </c>
      <c r="X68" s="749"/>
      <c r="Y68" s="759"/>
      <c r="Z68" s="773">
        <v>130.12</v>
      </c>
      <c r="AA68" s="749"/>
      <c r="AB68" s="759"/>
      <c r="AC68" s="773">
        <v>103.55</v>
      </c>
      <c r="AD68" s="749"/>
      <c r="AE68" s="759"/>
      <c r="AF68" s="773">
        <v>133.46</v>
      </c>
      <c r="AG68" s="749"/>
      <c r="AH68" s="759"/>
      <c r="AI68" s="773">
        <v>252.96</v>
      </c>
      <c r="AJ68" s="749"/>
      <c r="AK68" s="759"/>
      <c r="AL68" s="773">
        <v>169.87</v>
      </c>
      <c r="AM68" s="749"/>
      <c r="AN68" s="759"/>
      <c r="AO68" s="773">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1959.2599999999998</v>
      </c>
      <c r="F69" s="749"/>
      <c r="G69" s="759"/>
      <c r="H69" s="773">
        <v>567.02</v>
      </c>
      <c r="I69" s="749"/>
      <c r="J69" s="759"/>
      <c r="K69" s="773">
        <v>283.39</v>
      </c>
      <c r="L69" s="749"/>
      <c r="M69" s="759"/>
      <c r="N69" s="773">
        <v>66.3</v>
      </c>
      <c r="O69" s="749"/>
      <c r="P69" s="759"/>
      <c r="Q69" s="773">
        <v>116.88</v>
      </c>
      <c r="R69" s="749"/>
      <c r="S69" s="759"/>
      <c r="T69" s="773">
        <v>78.52</v>
      </c>
      <c r="U69" s="749"/>
      <c r="V69" s="759"/>
      <c r="W69" s="773">
        <v>111.34</v>
      </c>
      <c r="X69" s="749"/>
      <c r="Y69" s="759"/>
      <c r="Z69" s="773">
        <v>106.21</v>
      </c>
      <c r="AA69" s="749"/>
      <c r="AB69" s="759"/>
      <c r="AC69" s="773">
        <v>112.7</v>
      </c>
      <c r="AD69" s="749"/>
      <c r="AE69" s="759"/>
      <c r="AF69" s="773">
        <v>199.88</v>
      </c>
      <c r="AG69" s="749"/>
      <c r="AH69" s="759"/>
      <c r="AI69" s="773">
        <v>120</v>
      </c>
      <c r="AJ69" s="749"/>
      <c r="AK69" s="759"/>
      <c r="AL69" s="773">
        <v>102.8</v>
      </c>
      <c r="AM69" s="749"/>
      <c r="AN69" s="759"/>
      <c r="AO69" s="773">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21671.25</v>
      </c>
      <c r="F70" s="749"/>
      <c r="G70" s="759"/>
      <c r="H70" s="773">
        <v>700.25</v>
      </c>
      <c r="I70" s="749"/>
      <c r="J70" s="759"/>
      <c r="K70" s="773">
        <v>2862.04</v>
      </c>
      <c r="L70" s="749"/>
      <c r="M70" s="759"/>
      <c r="N70" s="773">
        <v>6662.96</v>
      </c>
      <c r="O70" s="749"/>
      <c r="P70" s="759"/>
      <c r="Q70" s="773">
        <v>2687.5</v>
      </c>
      <c r="R70" s="749"/>
      <c r="S70" s="759"/>
      <c r="T70" s="773">
        <v>783.47</v>
      </c>
      <c r="U70" s="749"/>
      <c r="V70" s="759"/>
      <c r="W70" s="773">
        <v>487.93</v>
      </c>
      <c r="X70" s="749"/>
      <c r="Y70" s="759"/>
      <c r="Z70" s="773">
        <v>177.08</v>
      </c>
      <c r="AA70" s="749"/>
      <c r="AB70" s="759"/>
      <c r="AC70" s="773">
        <v>832.06</v>
      </c>
      <c r="AD70" s="749"/>
      <c r="AE70" s="759"/>
      <c r="AF70" s="773">
        <v>1644.02</v>
      </c>
      <c r="AG70" s="749"/>
      <c r="AH70" s="759"/>
      <c r="AI70" s="773">
        <v>2106.41</v>
      </c>
      <c r="AJ70" s="749"/>
      <c r="AK70" s="759"/>
      <c r="AL70" s="773">
        <v>2190.54</v>
      </c>
      <c r="AM70" s="749"/>
      <c r="AN70" s="759"/>
      <c r="AO70" s="773">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42299.27</v>
      </c>
      <c r="F71" s="749"/>
      <c r="G71" s="759"/>
      <c r="H71" s="773">
        <v>3141.73</v>
      </c>
      <c r="I71" s="749"/>
      <c r="J71" s="759"/>
      <c r="K71" s="773">
        <v>2483.42</v>
      </c>
      <c r="L71" s="749"/>
      <c r="M71" s="759"/>
      <c r="N71" s="773">
        <v>357.08</v>
      </c>
      <c r="O71" s="749"/>
      <c r="P71" s="759"/>
      <c r="Q71" s="773">
        <v>3025.62</v>
      </c>
      <c r="R71" s="749"/>
      <c r="S71" s="759"/>
      <c r="T71" s="773">
        <v>7746.73</v>
      </c>
      <c r="U71" s="749"/>
      <c r="V71" s="759"/>
      <c r="W71" s="773">
        <v>3537.15</v>
      </c>
      <c r="X71" s="749"/>
      <c r="Y71" s="759"/>
      <c r="Z71" s="773">
        <v>3406.43</v>
      </c>
      <c r="AA71" s="749"/>
      <c r="AB71" s="759"/>
      <c r="AC71" s="773">
        <v>2659.84</v>
      </c>
      <c r="AD71" s="749"/>
      <c r="AE71" s="759"/>
      <c r="AF71" s="773">
        <v>3603.56</v>
      </c>
      <c r="AG71" s="749"/>
      <c r="AH71" s="759"/>
      <c r="AI71" s="773">
        <v>4006.58</v>
      </c>
      <c r="AJ71" s="749"/>
      <c r="AK71" s="759"/>
      <c r="AL71" s="773">
        <v>5124.82</v>
      </c>
      <c r="AM71" s="749"/>
      <c r="AN71" s="759"/>
      <c r="AO71" s="773">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0.15179955889180394</v>
      </c>
      <c r="E75" s="781">
        <v>347680.25999999995</v>
      </c>
      <c r="F75" s="779" t="s">
        <v>119</v>
      </c>
      <c r="G75" s="780">
        <v>0.193640608653634</v>
      </c>
      <c r="H75" s="781">
        <v>28336.23</v>
      </c>
      <c r="I75" s="779" t="s">
        <v>119</v>
      </c>
      <c r="J75" s="780">
        <v>0.30792858227377018</v>
      </c>
      <c r="K75" s="781">
        <v>32368.11</v>
      </c>
      <c r="L75" s="779" t="s">
        <v>119</v>
      </c>
      <c r="M75" s="780">
        <v>0.14977518800604434</v>
      </c>
      <c r="N75" s="781">
        <v>29681.62</v>
      </c>
      <c r="O75" s="779" t="s">
        <v>119</v>
      </c>
      <c r="P75" s="780">
        <v>0.19158040294297063</v>
      </c>
      <c r="Q75" s="781">
        <v>26077.07</v>
      </c>
      <c r="R75" s="779" t="s">
        <v>119</v>
      </c>
      <c r="S75" s="780">
        <v>0.17602700979234495</v>
      </c>
      <c r="T75" s="781">
        <v>36291.17</v>
      </c>
      <c r="U75" s="779" t="s">
        <v>119</v>
      </c>
      <c r="V75" s="780">
        <v>0.12011125943928826</v>
      </c>
      <c r="W75" s="781">
        <v>24672.700000000004</v>
      </c>
      <c r="X75" s="779" t="s">
        <v>119</v>
      </c>
      <c r="Y75" s="780">
        <v>0.16727623695257843</v>
      </c>
      <c r="Z75" s="781">
        <v>25796.080000000005</v>
      </c>
      <c r="AA75" s="779" t="s">
        <v>119</v>
      </c>
      <c r="AB75" s="780">
        <v>0.11166770446279078</v>
      </c>
      <c r="AC75" s="781">
        <v>22558.51</v>
      </c>
      <c r="AD75" s="779" t="s">
        <v>119</v>
      </c>
      <c r="AE75" s="780">
        <v>0.13562454537707316</v>
      </c>
      <c r="AF75" s="781">
        <v>26864.000000000004</v>
      </c>
      <c r="AG75" s="779" t="s">
        <v>119</v>
      </c>
      <c r="AH75" s="780">
        <v>0.13596676993632298</v>
      </c>
      <c r="AI75" s="781">
        <v>33402.179999999993</v>
      </c>
      <c r="AJ75" s="779" t="s">
        <v>119</v>
      </c>
      <c r="AK75" s="780">
        <v>0.11005193187437641</v>
      </c>
      <c r="AL75" s="781">
        <v>34098.550000000003</v>
      </c>
      <c r="AM75" s="779" t="s">
        <v>119</v>
      </c>
      <c r="AN75" s="780">
        <v>0.15024664828065973</v>
      </c>
      <c r="AO75" s="781">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0.8957560969571815</v>
      </c>
      <c r="E77" s="791">
        <v>2051631.2100000002</v>
      </c>
      <c r="F77" s="779" t="s">
        <v>119</v>
      </c>
      <c r="G77" s="780">
        <v>1.0756920480546817</v>
      </c>
      <c r="H77" s="791">
        <v>157410.46000000002</v>
      </c>
      <c r="I77" s="779" t="s">
        <v>119</v>
      </c>
      <c r="J77" s="780">
        <v>1.4507328310040262</v>
      </c>
      <c r="K77" s="791">
        <v>152494.71000000002</v>
      </c>
      <c r="L77" s="779" t="s">
        <v>119</v>
      </c>
      <c r="M77" s="780">
        <v>0.87776544184700467</v>
      </c>
      <c r="N77" s="791">
        <v>173950.70999999996</v>
      </c>
      <c r="O77" s="779" t="s">
        <v>119</v>
      </c>
      <c r="P77" s="780">
        <v>1.1936390951393223</v>
      </c>
      <c r="Q77" s="791">
        <v>162472.82999999999</v>
      </c>
      <c r="R77" s="779" t="s">
        <v>119</v>
      </c>
      <c r="S77" s="780">
        <v>0.91699679761460839</v>
      </c>
      <c r="T77" s="791">
        <v>189055.56999999995</v>
      </c>
      <c r="U77" s="779" t="s">
        <v>119</v>
      </c>
      <c r="V77" s="780">
        <v>0.88706741432895553</v>
      </c>
      <c r="W77" s="791">
        <v>182217.29</v>
      </c>
      <c r="X77" s="779" t="s">
        <v>119</v>
      </c>
      <c r="Y77" s="780">
        <v>1.0961581184814777</v>
      </c>
      <c r="Z77" s="791">
        <v>169041.24000000002</v>
      </c>
      <c r="AA77" s="779" t="s">
        <v>119</v>
      </c>
      <c r="AB77" s="780">
        <v>0.7823794246981034</v>
      </c>
      <c r="AC77" s="791">
        <v>158052.09</v>
      </c>
      <c r="AD77" s="779" t="s">
        <v>119</v>
      </c>
      <c r="AE77" s="780">
        <v>0.78385181382683844</v>
      </c>
      <c r="AF77" s="791">
        <v>155262.42000000001</v>
      </c>
      <c r="AG77" s="779" t="s">
        <v>119</v>
      </c>
      <c r="AH77" s="780">
        <v>0.68129063446706328</v>
      </c>
      <c r="AI77" s="791">
        <v>167368.77999999997</v>
      </c>
      <c r="AJ77" s="779" t="s">
        <v>119</v>
      </c>
      <c r="AK77" s="780">
        <v>0.68020830973248358</v>
      </c>
      <c r="AL77" s="791">
        <v>210756.11</v>
      </c>
      <c r="AM77" s="779" t="s">
        <v>119</v>
      </c>
      <c r="AN77" s="780">
        <v>0.94701524231315892</v>
      </c>
      <c r="AO77" s="791">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31556</v>
      </c>
      <c r="F78" s="749"/>
      <c r="G78" s="759"/>
      <c r="H78" s="773">
        <v>0</v>
      </c>
      <c r="I78" s="749"/>
      <c r="J78" s="759"/>
      <c r="K78" s="773">
        <v>0</v>
      </c>
      <c r="L78" s="749"/>
      <c r="M78" s="759"/>
      <c r="N78" s="773">
        <v>0</v>
      </c>
      <c r="O78" s="749"/>
      <c r="P78" s="759"/>
      <c r="Q78" s="773">
        <v>0</v>
      </c>
      <c r="R78" s="749"/>
      <c r="S78" s="759"/>
      <c r="T78" s="773">
        <v>0</v>
      </c>
      <c r="U78" s="749"/>
      <c r="V78" s="759"/>
      <c r="W78" s="773">
        <v>0</v>
      </c>
      <c r="X78" s="749"/>
      <c r="Y78" s="759"/>
      <c r="Z78" s="773">
        <v>0</v>
      </c>
      <c r="AA78" s="749"/>
      <c r="AB78" s="759"/>
      <c r="AC78" s="773">
        <v>0</v>
      </c>
      <c r="AD78" s="749"/>
      <c r="AE78" s="759"/>
      <c r="AF78" s="773">
        <v>0</v>
      </c>
      <c r="AG78" s="749"/>
      <c r="AH78" s="759"/>
      <c r="AI78" s="773">
        <v>0</v>
      </c>
      <c r="AJ78" s="749"/>
      <c r="AK78" s="759"/>
      <c r="AL78" s="773">
        <v>0</v>
      </c>
      <c r="AM78" s="749"/>
      <c r="AN78" s="759"/>
      <c r="AO78" s="773">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679516.07</v>
      </c>
      <c r="F81" s="749"/>
      <c r="G81" s="759"/>
      <c r="H81" s="773">
        <v>49875</v>
      </c>
      <c r="I81" s="749"/>
      <c r="J81" s="759"/>
      <c r="K81" s="773">
        <v>15765</v>
      </c>
      <c r="L81" s="749"/>
      <c r="M81" s="759"/>
      <c r="N81" s="773">
        <v>49529.35</v>
      </c>
      <c r="O81" s="749"/>
      <c r="P81" s="759"/>
      <c r="Q81" s="773">
        <v>39086.080000000002</v>
      </c>
      <c r="R81" s="749"/>
      <c r="S81" s="759"/>
      <c r="T81" s="773">
        <v>67424.75</v>
      </c>
      <c r="U81" s="749"/>
      <c r="V81" s="759"/>
      <c r="W81" s="773">
        <v>63469.55</v>
      </c>
      <c r="X81" s="749"/>
      <c r="Y81" s="759"/>
      <c r="Z81" s="773">
        <v>42698.55</v>
      </c>
      <c r="AA81" s="749"/>
      <c r="AB81" s="759"/>
      <c r="AC81" s="773">
        <v>59882.85</v>
      </c>
      <c r="AD81" s="749"/>
      <c r="AE81" s="759"/>
      <c r="AF81" s="773">
        <v>58938</v>
      </c>
      <c r="AG81" s="749"/>
      <c r="AH81" s="759"/>
      <c r="AI81" s="773">
        <v>77258.09</v>
      </c>
      <c r="AJ81" s="749"/>
      <c r="AK81" s="759"/>
      <c r="AL81" s="773">
        <v>100428</v>
      </c>
      <c r="AM81" s="749"/>
      <c r="AN81" s="759"/>
      <c r="AO81" s="773">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271044.90000000002</v>
      </c>
      <c r="F85" s="749"/>
      <c r="G85" s="759"/>
      <c r="H85" s="773">
        <v>17432</v>
      </c>
      <c r="I85" s="749"/>
      <c r="J85" s="759"/>
      <c r="K85" s="773">
        <v>9307</v>
      </c>
      <c r="L85" s="749"/>
      <c r="M85" s="759"/>
      <c r="N85" s="773">
        <v>16474</v>
      </c>
      <c r="O85" s="749"/>
      <c r="P85" s="759"/>
      <c r="Q85" s="773">
        <v>12599</v>
      </c>
      <c r="R85" s="749"/>
      <c r="S85" s="759"/>
      <c r="T85" s="773">
        <v>23301</v>
      </c>
      <c r="U85" s="749"/>
      <c r="V85" s="759"/>
      <c r="W85" s="773">
        <v>26386</v>
      </c>
      <c r="X85" s="749"/>
      <c r="Y85" s="759"/>
      <c r="Z85" s="773">
        <v>19446</v>
      </c>
      <c r="AA85" s="749"/>
      <c r="AB85" s="759"/>
      <c r="AC85" s="773">
        <v>26922</v>
      </c>
      <c r="AD85" s="749"/>
      <c r="AE85" s="759"/>
      <c r="AF85" s="773">
        <v>25665</v>
      </c>
      <c r="AG85" s="749"/>
      <c r="AH85" s="759"/>
      <c r="AI85" s="773">
        <v>29179</v>
      </c>
      <c r="AJ85" s="749"/>
      <c r="AK85" s="759"/>
      <c r="AL85" s="773">
        <v>41872.9</v>
      </c>
      <c r="AM85" s="749"/>
      <c r="AN85" s="759"/>
      <c r="AO85" s="773">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982116.97</v>
      </c>
      <c r="F86" s="792"/>
      <c r="G86" s="793"/>
      <c r="H86" s="794">
        <v>67307</v>
      </c>
      <c r="I86" s="792"/>
      <c r="J86" s="793"/>
      <c r="K86" s="794">
        <v>25072</v>
      </c>
      <c r="L86" s="792"/>
      <c r="M86" s="793"/>
      <c r="N86" s="794">
        <v>66003.350000000006</v>
      </c>
      <c r="O86" s="792"/>
      <c r="P86" s="793"/>
      <c r="Q86" s="794">
        <v>51685.08</v>
      </c>
      <c r="R86" s="792"/>
      <c r="S86" s="793"/>
      <c r="T86" s="794">
        <v>90725.75</v>
      </c>
      <c r="U86" s="792"/>
      <c r="V86" s="793"/>
      <c r="W86" s="794">
        <v>89855.55</v>
      </c>
      <c r="X86" s="792"/>
      <c r="Y86" s="793"/>
      <c r="Z86" s="794">
        <v>62144.55</v>
      </c>
      <c r="AA86" s="792"/>
      <c r="AB86" s="793"/>
      <c r="AC86" s="794">
        <v>86804.85</v>
      </c>
      <c r="AD86" s="792"/>
      <c r="AE86" s="793"/>
      <c r="AF86" s="794">
        <v>84603</v>
      </c>
      <c r="AG86" s="792"/>
      <c r="AH86" s="793"/>
      <c r="AI86" s="794">
        <v>106437.09</v>
      </c>
      <c r="AJ86" s="792"/>
      <c r="AK86" s="793"/>
      <c r="AL86" s="794">
        <v>142300.9</v>
      </c>
      <c r="AM86" s="792"/>
      <c r="AN86" s="793"/>
      <c r="AO86" s="794">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8"/>
      <c r="D88" s="799"/>
      <c r="E88" s="800">
        <v>1220876.2099999972</v>
      </c>
      <c r="F88" s="798"/>
      <c r="G88" s="799"/>
      <c r="H88" s="800">
        <v>56230.669999999955</v>
      </c>
      <c r="I88" s="798"/>
      <c r="J88" s="799"/>
      <c r="K88" s="800">
        <v>-22307.070000000036</v>
      </c>
      <c r="L88" s="798"/>
      <c r="M88" s="799"/>
      <c r="N88" s="800">
        <v>90227.119999999559</v>
      </c>
      <c r="O88" s="798"/>
      <c r="P88" s="799"/>
      <c r="Q88" s="800">
        <v>25327.789999999819</v>
      </c>
      <c r="R88" s="798"/>
      <c r="S88" s="799"/>
      <c r="T88" s="800">
        <v>107838.36999999985</v>
      </c>
      <c r="U88" s="798"/>
      <c r="V88" s="799"/>
      <c r="W88" s="800">
        <v>113053.64000000017</v>
      </c>
      <c r="X88" s="798"/>
      <c r="Y88" s="799"/>
      <c r="Z88" s="800">
        <v>47315.769999999888</v>
      </c>
      <c r="AA88" s="798"/>
      <c r="AB88" s="799"/>
      <c r="AC88" s="800">
        <v>130767.38999999972</v>
      </c>
      <c r="AD88" s="798"/>
      <c r="AE88" s="799"/>
      <c r="AF88" s="800">
        <v>127416.81999999977</v>
      </c>
      <c r="AG88" s="798"/>
      <c r="AH88" s="799"/>
      <c r="AI88" s="800">
        <v>184732.59999999905</v>
      </c>
      <c r="AJ88" s="798"/>
      <c r="AK88" s="799"/>
      <c r="AL88" s="800">
        <v>241385.33000000005</v>
      </c>
      <c r="AM88" s="798"/>
      <c r="AN88" s="799"/>
      <c r="AO88" s="800">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3873</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71">
        <v>2023</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16855455.29999996</v>
      </c>
      <c r="F96" s="737"/>
      <c r="G96" s="738"/>
      <c r="H96" s="807">
        <v>1296133.08</v>
      </c>
      <c r="I96" s="737"/>
      <c r="J96" s="738"/>
      <c r="K96" s="807">
        <v>1497630.22</v>
      </c>
      <c r="L96" s="737"/>
      <c r="M96" s="738"/>
      <c r="N96" s="807">
        <v>1620696.5999999901</v>
      </c>
      <c r="O96" s="737"/>
      <c r="P96" s="738"/>
      <c r="Q96" s="807">
        <v>738971.179999999</v>
      </c>
      <c r="R96" s="737"/>
      <c r="S96" s="738"/>
      <c r="T96" s="807">
        <v>1554686.55</v>
      </c>
      <c r="U96" s="737"/>
      <c r="V96" s="738"/>
      <c r="W96" s="807">
        <v>1977586.1099999901</v>
      </c>
      <c r="X96" s="737"/>
      <c r="Y96" s="738"/>
      <c r="Z96" s="807">
        <v>1727866.74999999</v>
      </c>
      <c r="AA96" s="737"/>
      <c r="AB96" s="738"/>
      <c r="AC96" s="807">
        <v>1894182.16</v>
      </c>
      <c r="AD96" s="737"/>
      <c r="AE96" s="738"/>
      <c r="AF96" s="807">
        <v>1244144.26</v>
      </c>
      <c r="AG96" s="737"/>
      <c r="AH96" s="738"/>
      <c r="AI96" s="807">
        <v>1412113.8299999901</v>
      </c>
      <c r="AJ96" s="737"/>
      <c r="AK96" s="738"/>
      <c r="AL96" s="807">
        <v>1111062.75</v>
      </c>
      <c r="AM96" s="737"/>
      <c r="AN96" s="738"/>
      <c r="AO96" s="807">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277</v>
      </c>
      <c r="D97" s="742">
        <v>1593.4981227436801</v>
      </c>
      <c r="E97" s="743">
        <v>441398.9799999994</v>
      </c>
      <c r="F97" s="744">
        <v>24</v>
      </c>
      <c r="G97" s="742">
        <v>1385.6670833333292</v>
      </c>
      <c r="H97" s="745">
        <v>33256.0099999999</v>
      </c>
      <c r="I97" s="744">
        <v>25</v>
      </c>
      <c r="J97" s="742">
        <v>1372.090399999996</v>
      </c>
      <c r="K97" s="745">
        <v>34302.2599999999</v>
      </c>
      <c r="L97" s="744">
        <v>34</v>
      </c>
      <c r="M97" s="742">
        <v>1614.0461764705851</v>
      </c>
      <c r="N97" s="745">
        <v>54877.569999999898</v>
      </c>
      <c r="O97" s="744">
        <v>15</v>
      </c>
      <c r="P97" s="742">
        <v>1983.7439999999935</v>
      </c>
      <c r="Q97" s="745">
        <v>29756.159999999902</v>
      </c>
      <c r="R97" s="744">
        <v>15</v>
      </c>
      <c r="S97" s="742">
        <v>1755.5306666666665</v>
      </c>
      <c r="T97" s="745">
        <v>26332.959999999999</v>
      </c>
      <c r="U97" s="744">
        <v>18</v>
      </c>
      <c r="V97" s="742">
        <v>2437.2944444444447</v>
      </c>
      <c r="W97" s="745">
        <v>43871.3</v>
      </c>
      <c r="X97" s="744">
        <v>32</v>
      </c>
      <c r="Y97" s="742">
        <v>1795.72</v>
      </c>
      <c r="Z97" s="745">
        <v>57463.040000000001</v>
      </c>
      <c r="AA97" s="744">
        <v>35</v>
      </c>
      <c r="AB97" s="742">
        <v>878.82857142856858</v>
      </c>
      <c r="AC97" s="745">
        <v>30758.999999999902</v>
      </c>
      <c r="AD97" s="744">
        <v>29</v>
      </c>
      <c r="AE97" s="742">
        <v>1929.9779310344827</v>
      </c>
      <c r="AF97" s="745">
        <v>55969.36</v>
      </c>
      <c r="AG97" s="744">
        <v>21</v>
      </c>
      <c r="AH97" s="742">
        <v>1924.4195238095238</v>
      </c>
      <c r="AI97" s="745">
        <v>40412.81</v>
      </c>
      <c r="AJ97" s="744">
        <v>16</v>
      </c>
      <c r="AK97" s="742">
        <v>1359.5374999999999</v>
      </c>
      <c r="AL97" s="745">
        <v>21752.6</v>
      </c>
      <c r="AM97" s="744">
        <v>13</v>
      </c>
      <c r="AN97" s="742">
        <v>972.76230769230767</v>
      </c>
      <c r="AO97" s="745">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49</v>
      </c>
      <c r="D98" s="742">
        <v>1832.4291836734628</v>
      </c>
      <c r="E98" s="743">
        <v>89789.029999999679</v>
      </c>
      <c r="F98" s="744">
        <v>2</v>
      </c>
      <c r="G98" s="742">
        <v>-934.86499999999501</v>
      </c>
      <c r="H98" s="745">
        <v>-1869.72999999999</v>
      </c>
      <c r="I98" s="744">
        <v>1</v>
      </c>
      <c r="J98" s="742">
        <v>-2595.5</v>
      </c>
      <c r="K98" s="745">
        <v>-2595.5</v>
      </c>
      <c r="L98" s="744">
        <v>1</v>
      </c>
      <c r="M98" s="742">
        <v>951</v>
      </c>
      <c r="N98" s="745">
        <v>951</v>
      </c>
      <c r="O98" s="744">
        <v>5</v>
      </c>
      <c r="P98" s="742">
        <v>2587.1639999999798</v>
      </c>
      <c r="Q98" s="745">
        <v>12935.8199999999</v>
      </c>
      <c r="R98" s="744">
        <v>10</v>
      </c>
      <c r="S98" s="742">
        <v>2407.5810000000001</v>
      </c>
      <c r="T98" s="745">
        <v>24075.81</v>
      </c>
      <c r="U98" s="744">
        <v>7</v>
      </c>
      <c r="V98" s="742">
        <v>1925.8071428571286</v>
      </c>
      <c r="W98" s="745">
        <v>13480.6499999999</v>
      </c>
      <c r="X98" s="744">
        <v>4</v>
      </c>
      <c r="Y98" s="742">
        <v>1612.4724999999976</v>
      </c>
      <c r="Z98" s="745">
        <v>6449.8899999999903</v>
      </c>
      <c r="AA98" s="744">
        <v>1</v>
      </c>
      <c r="AB98" s="742">
        <v>3601.1</v>
      </c>
      <c r="AC98" s="745">
        <v>3601.1</v>
      </c>
      <c r="AD98" s="744">
        <v>4</v>
      </c>
      <c r="AE98" s="742">
        <v>2172.4674999999975</v>
      </c>
      <c r="AF98" s="745">
        <v>8689.8699999999899</v>
      </c>
      <c r="AG98" s="744">
        <v>5</v>
      </c>
      <c r="AH98" s="742">
        <v>2390.0219999999799</v>
      </c>
      <c r="AI98" s="745">
        <v>11950.109999999901</v>
      </c>
      <c r="AJ98" s="744">
        <v>4</v>
      </c>
      <c r="AK98" s="742">
        <v>817.01750000000004</v>
      </c>
      <c r="AL98" s="745">
        <v>3268.07</v>
      </c>
      <c r="AM98" s="744">
        <v>5</v>
      </c>
      <c r="AN98" s="742">
        <v>1770.3879999999979</v>
      </c>
      <c r="AO98" s="745">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3866</v>
      </c>
      <c r="C99" s="741"/>
      <c r="D99" s="742"/>
      <c r="E99" s="743"/>
      <c r="F99" s="744"/>
      <c r="G99" s="742"/>
      <c r="H99" s="745"/>
      <c r="I99" s="744"/>
      <c r="J99" s="742"/>
      <c r="K99" s="745"/>
      <c r="L99" s="744"/>
      <c r="M99" s="742"/>
      <c r="N99" s="745"/>
      <c r="O99" s="744"/>
      <c r="P99" s="742"/>
      <c r="Q99" s="745"/>
      <c r="R99" s="744"/>
      <c r="S99" s="742"/>
      <c r="T99" s="745"/>
      <c r="U99" s="744"/>
      <c r="V99" s="742"/>
      <c r="W99" s="745"/>
      <c r="X99" s="744"/>
      <c r="Y99" s="742"/>
      <c r="Z99" s="745"/>
      <c r="AA99" s="744"/>
      <c r="AB99" s="742"/>
      <c r="AC99" s="745"/>
      <c r="AD99" s="744"/>
      <c r="AE99" s="742"/>
      <c r="AF99" s="745"/>
      <c r="AG99" s="744"/>
      <c r="AH99" s="742"/>
      <c r="AI99" s="745"/>
      <c r="AJ99" s="744"/>
      <c r="AK99" s="742"/>
      <c r="AL99" s="745"/>
      <c r="AM99" s="744"/>
      <c r="AN99" s="742"/>
      <c r="AO99" s="745"/>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326</v>
      </c>
      <c r="D100" s="747">
        <v>1629.4110736196292</v>
      </c>
      <c r="E100" s="748">
        <v>531188.00999999908</v>
      </c>
      <c r="F100" s="746">
        <v>26</v>
      </c>
      <c r="G100" s="747">
        <v>1207.164615384612</v>
      </c>
      <c r="H100" s="748">
        <v>31386.279999999912</v>
      </c>
      <c r="I100" s="746">
        <v>26</v>
      </c>
      <c r="J100" s="747">
        <v>1219.4907692307654</v>
      </c>
      <c r="K100" s="748">
        <v>31706.7599999999</v>
      </c>
      <c r="L100" s="746">
        <v>35</v>
      </c>
      <c r="M100" s="747">
        <v>1595.1019999999971</v>
      </c>
      <c r="N100" s="748">
        <v>55828.569999999898</v>
      </c>
      <c r="O100" s="746">
        <v>20</v>
      </c>
      <c r="P100" s="747">
        <v>2134.5989999999902</v>
      </c>
      <c r="Q100" s="748">
        <v>42691.979999999799</v>
      </c>
      <c r="R100" s="746">
        <v>25</v>
      </c>
      <c r="S100" s="747">
        <v>2016.3508000000002</v>
      </c>
      <c r="T100" s="748">
        <v>50408.770000000004</v>
      </c>
      <c r="U100" s="746">
        <v>25</v>
      </c>
      <c r="V100" s="747">
        <v>2294.0779999999959</v>
      </c>
      <c r="W100" s="748">
        <v>57351.949999999903</v>
      </c>
      <c r="X100" s="746">
        <v>36</v>
      </c>
      <c r="Y100" s="747">
        <v>1775.3591666666664</v>
      </c>
      <c r="Z100" s="748">
        <v>63912.929999999993</v>
      </c>
      <c r="AA100" s="746">
        <v>36</v>
      </c>
      <c r="AB100" s="747">
        <v>954.44722222221958</v>
      </c>
      <c r="AC100" s="748">
        <v>34360.099999999904</v>
      </c>
      <c r="AD100" s="746">
        <v>33</v>
      </c>
      <c r="AE100" s="747">
        <v>1959.3706060606057</v>
      </c>
      <c r="AF100" s="748">
        <v>64659.229999999989</v>
      </c>
      <c r="AG100" s="746">
        <v>26</v>
      </c>
      <c r="AH100" s="747">
        <v>2013.9584615384576</v>
      </c>
      <c r="AI100" s="748">
        <v>52362.919999999896</v>
      </c>
      <c r="AJ100" s="746">
        <v>20</v>
      </c>
      <c r="AK100" s="747">
        <v>1251.0335</v>
      </c>
      <c r="AL100" s="748">
        <v>25020.67</v>
      </c>
      <c r="AM100" s="746">
        <v>18</v>
      </c>
      <c r="AN100" s="747">
        <v>1194.3249999999996</v>
      </c>
      <c r="AO100" s="748">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v>0</v>
      </c>
      <c r="J102" s="759"/>
      <c r="K102" s="750">
        <v>0</v>
      </c>
      <c r="L102" s="749">
        <v>0</v>
      </c>
      <c r="M102" s="759"/>
      <c r="N102" s="750">
        <v>0</v>
      </c>
      <c r="O102" s="749">
        <v>0</v>
      </c>
      <c r="P102" s="759"/>
      <c r="Q102" s="750">
        <v>0</v>
      </c>
      <c r="R102" s="749">
        <v>0</v>
      </c>
      <c r="S102" s="759"/>
      <c r="T102" s="750">
        <v>0</v>
      </c>
      <c r="U102" s="749">
        <v>0</v>
      </c>
      <c r="V102" s="759"/>
      <c r="W102" s="750">
        <v>0</v>
      </c>
      <c r="X102" s="749">
        <v>0</v>
      </c>
      <c r="Y102" s="759"/>
      <c r="Z102" s="750">
        <v>0</v>
      </c>
      <c r="AA102" s="749">
        <v>0</v>
      </c>
      <c r="AB102" s="759"/>
      <c r="AC102" s="750">
        <v>0</v>
      </c>
      <c r="AD102" s="749">
        <v>0</v>
      </c>
      <c r="AE102" s="759"/>
      <c r="AF102" s="750">
        <v>0</v>
      </c>
      <c r="AG102" s="749">
        <v>0</v>
      </c>
      <c r="AH102" s="759"/>
      <c r="AI102" s="750">
        <v>0</v>
      </c>
      <c r="AJ102" s="749">
        <v>0</v>
      </c>
      <c r="AK102" s="759"/>
      <c r="AL102" s="750">
        <v>0</v>
      </c>
      <c r="AM102" s="749">
        <v>0</v>
      </c>
      <c r="AN102" s="759"/>
      <c r="AO102" s="750">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388</v>
      </c>
      <c r="D103" s="742">
        <v>407.72474226804064</v>
      </c>
      <c r="E103" s="743">
        <v>158197.19999999978</v>
      </c>
      <c r="F103" s="744">
        <v>34</v>
      </c>
      <c r="G103" s="742">
        <v>996.86470588235295</v>
      </c>
      <c r="H103" s="745">
        <v>33893.4</v>
      </c>
      <c r="I103" s="744">
        <v>30</v>
      </c>
      <c r="J103" s="742">
        <v>494.24499999999665</v>
      </c>
      <c r="K103" s="745">
        <v>14827.3499999999</v>
      </c>
      <c r="L103" s="744">
        <v>32</v>
      </c>
      <c r="M103" s="742">
        <v>198.24874999999875</v>
      </c>
      <c r="N103" s="745">
        <v>6343.95999999996</v>
      </c>
      <c r="O103" s="744">
        <v>10</v>
      </c>
      <c r="P103" s="742">
        <v>1818</v>
      </c>
      <c r="Q103" s="745">
        <v>18180</v>
      </c>
      <c r="R103" s="744">
        <v>43</v>
      </c>
      <c r="S103" s="742">
        <v>409.93325581395351</v>
      </c>
      <c r="T103" s="745">
        <v>17627.13</v>
      </c>
      <c r="U103" s="744">
        <v>57</v>
      </c>
      <c r="V103" s="742">
        <v>568.81631578947372</v>
      </c>
      <c r="W103" s="745">
        <v>32422.53</v>
      </c>
      <c r="X103" s="744">
        <v>28</v>
      </c>
      <c r="Y103" s="742">
        <v>616.26178571428579</v>
      </c>
      <c r="Z103" s="745">
        <v>17255.330000000002</v>
      </c>
      <c r="AA103" s="744">
        <v>38</v>
      </c>
      <c r="AB103" s="742">
        <v>-4.677894736842342</v>
      </c>
      <c r="AC103" s="745">
        <v>-177.760000000009</v>
      </c>
      <c r="AD103" s="744">
        <v>26</v>
      </c>
      <c r="AE103" s="742">
        <v>442.14423076923077</v>
      </c>
      <c r="AF103" s="745">
        <v>11495.75</v>
      </c>
      <c r="AG103" s="744">
        <v>38</v>
      </c>
      <c r="AH103" s="742">
        <v>362.24263157894472</v>
      </c>
      <c r="AI103" s="745">
        <v>13765.219999999899</v>
      </c>
      <c r="AJ103" s="744">
        <v>31</v>
      </c>
      <c r="AK103" s="742">
        <v>15.867741935484613</v>
      </c>
      <c r="AL103" s="745">
        <v>491.900000000023</v>
      </c>
      <c r="AM103" s="744">
        <v>21</v>
      </c>
      <c r="AN103" s="742">
        <v>-377.50523809523713</v>
      </c>
      <c r="AO103" s="745">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652.20840490797548</v>
      </c>
      <c r="E105" s="743">
        <v>212619.94</v>
      </c>
      <c r="F105" s="744"/>
      <c r="G105" s="742">
        <v>952.25192307692305</v>
      </c>
      <c r="H105" s="745">
        <v>24758.55</v>
      </c>
      <c r="I105" s="744"/>
      <c r="J105" s="742">
        <v>654.84538461538455</v>
      </c>
      <c r="K105" s="745">
        <v>17025.98</v>
      </c>
      <c r="L105" s="744"/>
      <c r="M105" s="742">
        <v>617.24285714285713</v>
      </c>
      <c r="N105" s="745">
        <v>21603.5</v>
      </c>
      <c r="O105" s="744"/>
      <c r="P105" s="742">
        <v>948.60249999999996</v>
      </c>
      <c r="Q105" s="745">
        <v>18972.05</v>
      </c>
      <c r="R105" s="744"/>
      <c r="S105" s="742">
        <v>829.99440000000004</v>
      </c>
      <c r="T105" s="745">
        <v>20749.86</v>
      </c>
      <c r="U105" s="744"/>
      <c r="V105" s="742">
        <v>734.96679999999992</v>
      </c>
      <c r="W105" s="745">
        <v>18374.169999999998</v>
      </c>
      <c r="X105" s="744"/>
      <c r="Y105" s="742">
        <v>517.39305555555563</v>
      </c>
      <c r="Z105" s="745">
        <v>18626.150000000001</v>
      </c>
      <c r="AA105" s="744"/>
      <c r="AB105" s="742">
        <v>707.17361111111109</v>
      </c>
      <c r="AC105" s="745">
        <v>25458.25</v>
      </c>
      <c r="AD105" s="744"/>
      <c r="AE105" s="742">
        <v>444.8366666666667</v>
      </c>
      <c r="AF105" s="745">
        <v>14679.61</v>
      </c>
      <c r="AG105" s="744"/>
      <c r="AH105" s="742">
        <v>756.81269230769237</v>
      </c>
      <c r="AI105" s="745">
        <v>19677.13</v>
      </c>
      <c r="AJ105" s="744"/>
      <c r="AK105" s="742">
        <v>370.49099999999999</v>
      </c>
      <c r="AL105" s="745">
        <v>7409.82</v>
      </c>
      <c r="AM105" s="744"/>
      <c r="AN105" s="742">
        <v>293.60388888888889</v>
      </c>
      <c r="AO105" s="745">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1332.3468098159501</v>
      </c>
      <c r="E106" s="743">
        <v>434345.05999999976</v>
      </c>
      <c r="F106" s="744"/>
      <c r="G106" s="742">
        <v>1098.0211538461538</v>
      </c>
      <c r="H106" s="745">
        <v>28548.55</v>
      </c>
      <c r="I106" s="744"/>
      <c r="J106" s="742">
        <v>905.16</v>
      </c>
      <c r="K106" s="745">
        <v>23534.16</v>
      </c>
      <c r="L106" s="744"/>
      <c r="M106" s="742">
        <v>1357.6008571428572</v>
      </c>
      <c r="N106" s="745">
        <v>47516.03</v>
      </c>
      <c r="O106" s="744"/>
      <c r="P106" s="742">
        <v>2016.6610000000001</v>
      </c>
      <c r="Q106" s="745">
        <v>40333.22</v>
      </c>
      <c r="R106" s="744"/>
      <c r="S106" s="742">
        <v>1483.5695999999998</v>
      </c>
      <c r="T106" s="745">
        <v>37089.24</v>
      </c>
      <c r="U106" s="744"/>
      <c r="V106" s="742">
        <v>1754.646</v>
      </c>
      <c r="W106" s="745">
        <v>43866.15</v>
      </c>
      <c r="X106" s="744"/>
      <c r="Y106" s="742">
        <v>997.11055555555276</v>
      </c>
      <c r="Z106" s="745">
        <v>35895.979999999901</v>
      </c>
      <c r="AA106" s="744"/>
      <c r="AB106" s="742">
        <v>1507.8911111111111</v>
      </c>
      <c r="AC106" s="745">
        <v>54284.08</v>
      </c>
      <c r="AD106" s="744"/>
      <c r="AE106" s="742">
        <v>1292.9415151515152</v>
      </c>
      <c r="AF106" s="745">
        <v>42667.07</v>
      </c>
      <c r="AG106" s="744"/>
      <c r="AH106" s="742">
        <v>1666.1407692307694</v>
      </c>
      <c r="AI106" s="745">
        <v>43319.66</v>
      </c>
      <c r="AJ106" s="744"/>
      <c r="AK106" s="742">
        <v>937.14650000000006</v>
      </c>
      <c r="AL106" s="745">
        <v>18742.93</v>
      </c>
      <c r="AM106" s="744"/>
      <c r="AN106" s="742">
        <v>1030.4438888888833</v>
      </c>
      <c r="AO106" s="745">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29.861165644171784</v>
      </c>
      <c r="E107" s="743">
        <v>9734.7400000000016</v>
      </c>
      <c r="F107" s="744"/>
      <c r="G107" s="809">
        <v>0</v>
      </c>
      <c r="H107" s="745">
        <v>0</v>
      </c>
      <c r="I107" s="744"/>
      <c r="J107" s="809">
        <v>45.006538461538462</v>
      </c>
      <c r="K107" s="745">
        <v>1170.17</v>
      </c>
      <c r="L107" s="744"/>
      <c r="M107" s="809">
        <v>26.397714285714283</v>
      </c>
      <c r="N107" s="745">
        <v>923.92</v>
      </c>
      <c r="O107" s="744"/>
      <c r="P107" s="809">
        <v>0</v>
      </c>
      <c r="Q107" s="745">
        <v>0</v>
      </c>
      <c r="R107" s="744"/>
      <c r="S107" s="809">
        <v>35.728000000000002</v>
      </c>
      <c r="T107" s="745">
        <v>893.2</v>
      </c>
      <c r="U107" s="744"/>
      <c r="V107" s="809">
        <v>59.932400000000001</v>
      </c>
      <c r="W107" s="745">
        <v>1498.31</v>
      </c>
      <c r="X107" s="744"/>
      <c r="Y107" s="809">
        <v>25.253888888888888</v>
      </c>
      <c r="Z107" s="745">
        <v>909.14</v>
      </c>
      <c r="AA107" s="744"/>
      <c r="AB107" s="809">
        <v>29.091666666666665</v>
      </c>
      <c r="AC107" s="745">
        <v>1047.3</v>
      </c>
      <c r="AD107" s="744"/>
      <c r="AE107" s="809">
        <v>40.802424242424244</v>
      </c>
      <c r="AF107" s="745">
        <v>1346.48</v>
      </c>
      <c r="AG107" s="744"/>
      <c r="AH107" s="809">
        <v>59.70269230769231</v>
      </c>
      <c r="AI107" s="745">
        <v>1552.27</v>
      </c>
      <c r="AJ107" s="744"/>
      <c r="AK107" s="809">
        <v>19.697499999999998</v>
      </c>
      <c r="AL107" s="745">
        <v>393.95</v>
      </c>
      <c r="AM107" s="744"/>
      <c r="AN107" s="809">
        <v>0</v>
      </c>
      <c r="AO107" s="745">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326</v>
      </c>
      <c r="D108" s="747">
        <v>2014.4163803680974</v>
      </c>
      <c r="E108" s="748">
        <v>656699.73999999976</v>
      </c>
      <c r="F108" s="746">
        <v>26</v>
      </c>
      <c r="G108" s="747">
        <v>2050.273076923077</v>
      </c>
      <c r="H108" s="748">
        <v>53307.1</v>
      </c>
      <c r="I108" s="746">
        <v>26</v>
      </c>
      <c r="J108" s="747">
        <v>1605.011923076923</v>
      </c>
      <c r="K108" s="748">
        <v>41730.31</v>
      </c>
      <c r="L108" s="746">
        <v>35</v>
      </c>
      <c r="M108" s="747">
        <v>2001.2414285714285</v>
      </c>
      <c r="N108" s="748">
        <v>70043.45</v>
      </c>
      <c r="O108" s="746">
        <v>20</v>
      </c>
      <c r="P108" s="747">
        <v>2965.2635</v>
      </c>
      <c r="Q108" s="748">
        <v>59305.270000000004</v>
      </c>
      <c r="R108" s="746">
        <v>25</v>
      </c>
      <c r="S108" s="747">
        <v>2349.2919999999999</v>
      </c>
      <c r="T108" s="748">
        <v>58732.299999999996</v>
      </c>
      <c r="U108" s="746">
        <v>25</v>
      </c>
      <c r="V108" s="747">
        <v>2549.5452</v>
      </c>
      <c r="W108" s="748">
        <v>63738.63</v>
      </c>
      <c r="X108" s="746">
        <v>36</v>
      </c>
      <c r="Y108" s="747">
        <v>1539.7574999999972</v>
      </c>
      <c r="Z108" s="748">
        <v>55431.269999999902</v>
      </c>
      <c r="AA108" s="746">
        <v>36</v>
      </c>
      <c r="AB108" s="747">
        <v>2244.1563888888891</v>
      </c>
      <c r="AC108" s="748">
        <v>80789.63</v>
      </c>
      <c r="AD108" s="746">
        <v>33</v>
      </c>
      <c r="AE108" s="747">
        <v>1778.5806060606062</v>
      </c>
      <c r="AF108" s="748">
        <v>58693.16</v>
      </c>
      <c r="AG108" s="746">
        <v>26</v>
      </c>
      <c r="AH108" s="747">
        <v>2482.6561538461542</v>
      </c>
      <c r="AI108" s="748">
        <v>64549.060000000005</v>
      </c>
      <c r="AJ108" s="746">
        <v>20</v>
      </c>
      <c r="AK108" s="747">
        <v>1327.335</v>
      </c>
      <c r="AL108" s="748">
        <v>26546.7</v>
      </c>
      <c r="AM108" s="746">
        <v>18</v>
      </c>
      <c r="AN108" s="747">
        <v>1324.0477777777721</v>
      </c>
      <c r="AO108" s="748">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61">
        <v>714</v>
      </c>
      <c r="D111" s="762">
        <v>1885.2730392156843</v>
      </c>
      <c r="E111" s="763">
        <v>1346084.9499999986</v>
      </c>
      <c r="F111" s="761">
        <v>60</v>
      </c>
      <c r="G111" s="762">
        <v>1976.4463333333319</v>
      </c>
      <c r="H111" s="763">
        <v>118586.77999999991</v>
      </c>
      <c r="I111" s="761">
        <v>56</v>
      </c>
      <c r="J111" s="762">
        <v>1576.1503571428534</v>
      </c>
      <c r="K111" s="763">
        <v>88264.419999999795</v>
      </c>
      <c r="L111" s="761">
        <v>67</v>
      </c>
      <c r="M111" s="762">
        <v>1973.3728358208934</v>
      </c>
      <c r="N111" s="763">
        <v>132215.97999999986</v>
      </c>
      <c r="O111" s="761">
        <v>30</v>
      </c>
      <c r="P111" s="762">
        <v>4005.9083333333265</v>
      </c>
      <c r="Q111" s="763">
        <v>120177.2499999998</v>
      </c>
      <c r="R111" s="761">
        <v>68</v>
      </c>
      <c r="S111" s="762">
        <v>1864.2382352941179</v>
      </c>
      <c r="T111" s="763">
        <v>126768.20000000001</v>
      </c>
      <c r="U111" s="761">
        <v>82</v>
      </c>
      <c r="V111" s="762">
        <v>1872.1110975609745</v>
      </c>
      <c r="W111" s="763">
        <v>153513.1099999999</v>
      </c>
      <c r="X111" s="761">
        <v>64</v>
      </c>
      <c r="Y111" s="762">
        <v>2134.3676562499986</v>
      </c>
      <c r="Z111" s="763">
        <v>136599.52999999991</v>
      </c>
      <c r="AA111" s="761">
        <v>74</v>
      </c>
      <c r="AB111" s="762">
        <v>1553.6752702702688</v>
      </c>
      <c r="AC111" s="763">
        <v>114971.9699999999</v>
      </c>
      <c r="AD111" s="761">
        <v>59</v>
      </c>
      <c r="AE111" s="762">
        <v>2285.5616949152541</v>
      </c>
      <c r="AF111" s="763">
        <v>134848.13999999998</v>
      </c>
      <c r="AG111" s="761">
        <v>64</v>
      </c>
      <c r="AH111" s="762">
        <v>2041.8312499999968</v>
      </c>
      <c r="AI111" s="763">
        <v>130677.19999999979</v>
      </c>
      <c r="AJ111" s="761">
        <v>51</v>
      </c>
      <c r="AK111" s="762">
        <v>1020.7700000000003</v>
      </c>
      <c r="AL111" s="763">
        <v>52059.270000000019</v>
      </c>
      <c r="AM111" s="761">
        <v>39</v>
      </c>
      <c r="AN111" s="762">
        <v>959.05384615384389</v>
      </c>
      <c r="AO111" s="763">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0.48212844638567881</v>
      </c>
      <c r="D115" s="772">
        <v>785.58542944785268</v>
      </c>
      <c r="E115" s="760">
        <v>256100.84999999998</v>
      </c>
      <c r="F115" s="771">
        <v>0.42351403224593798</v>
      </c>
      <c r="G115" s="772">
        <v>511.2511538461539</v>
      </c>
      <c r="H115" s="773">
        <v>13292.53</v>
      </c>
      <c r="I115" s="771">
        <v>0.44295916706721356</v>
      </c>
      <c r="J115" s="772">
        <v>540.18461538461531</v>
      </c>
      <c r="K115" s="773">
        <v>14044.8</v>
      </c>
      <c r="L115" s="771">
        <v>0.54418517257382837</v>
      </c>
      <c r="M115" s="772">
        <v>868.03085714285714</v>
      </c>
      <c r="N115" s="773">
        <v>30381.08</v>
      </c>
      <c r="O115" s="771">
        <v>0.43717508534390037</v>
      </c>
      <c r="P115" s="772">
        <v>933.19349999999997</v>
      </c>
      <c r="Q115" s="773">
        <v>18663.87</v>
      </c>
      <c r="R115" s="771">
        <v>0.54239014361985027</v>
      </c>
      <c r="S115" s="772">
        <v>1093.6487999999999</v>
      </c>
      <c r="T115" s="773">
        <v>27341.22</v>
      </c>
      <c r="U115" s="771">
        <v>0.42385620715599104</v>
      </c>
      <c r="V115" s="772">
        <v>972.35919999999999</v>
      </c>
      <c r="W115" s="773">
        <v>24308.98</v>
      </c>
      <c r="X115" s="771">
        <v>0.53527729052634576</v>
      </c>
      <c r="Y115" s="772">
        <v>950.30944444444447</v>
      </c>
      <c r="Z115" s="773">
        <v>34211.14</v>
      </c>
      <c r="AA115" s="771">
        <v>0.62041204769485703</v>
      </c>
      <c r="AB115" s="772">
        <v>592.15055555555546</v>
      </c>
      <c r="AC115" s="773">
        <v>21317.42</v>
      </c>
      <c r="AD115" s="771">
        <v>0.41499891044171117</v>
      </c>
      <c r="AE115" s="772">
        <v>813.13666666666666</v>
      </c>
      <c r="AF115" s="773">
        <v>26833.51</v>
      </c>
      <c r="AG115" s="771">
        <v>0.50307011144527569</v>
      </c>
      <c r="AH115" s="772">
        <v>1013.1623076923078</v>
      </c>
      <c r="AI115" s="773">
        <v>26342.22</v>
      </c>
      <c r="AJ115" s="771">
        <v>0.32932491416097176</v>
      </c>
      <c r="AK115" s="772">
        <v>411.99650000000003</v>
      </c>
      <c r="AL115" s="773">
        <v>8239.93</v>
      </c>
      <c r="AM115" s="771">
        <v>0.51745407098849439</v>
      </c>
      <c r="AN115" s="772">
        <v>618.00833333333333</v>
      </c>
      <c r="AO115" s="773">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0.29783623791293123</v>
      </c>
      <c r="D116" s="775">
        <v>599.96619631901842</v>
      </c>
      <c r="E116" s="776">
        <v>195588.98</v>
      </c>
      <c r="F116" s="774">
        <v>0.18338045025897112</v>
      </c>
      <c r="G116" s="775">
        <v>375.97999999999996</v>
      </c>
      <c r="H116" s="777">
        <v>9775.48</v>
      </c>
      <c r="I116" s="774">
        <v>0.33317868954244528</v>
      </c>
      <c r="J116" s="775">
        <v>534.75576923076926</v>
      </c>
      <c r="K116" s="777">
        <v>13903.65</v>
      </c>
      <c r="L116" s="774">
        <v>0.31930066266010598</v>
      </c>
      <c r="M116" s="775">
        <v>638.99771428571421</v>
      </c>
      <c r="N116" s="777">
        <v>22364.92</v>
      </c>
      <c r="O116" s="774">
        <v>0.29925822781010858</v>
      </c>
      <c r="P116" s="775">
        <v>887.37950000000001</v>
      </c>
      <c r="Q116" s="777">
        <v>17747.59</v>
      </c>
      <c r="R116" s="774">
        <v>0.35189852942929195</v>
      </c>
      <c r="S116" s="775">
        <v>826.7124</v>
      </c>
      <c r="T116" s="777">
        <v>20667.810000000001</v>
      </c>
      <c r="U116" s="774">
        <v>0.30015392549227998</v>
      </c>
      <c r="V116" s="775">
        <v>765.25600000000009</v>
      </c>
      <c r="W116" s="777">
        <v>19131.400000000001</v>
      </c>
      <c r="X116" s="774">
        <v>0.28294588956738725</v>
      </c>
      <c r="Y116" s="775">
        <v>435.66805555555555</v>
      </c>
      <c r="Z116" s="777">
        <v>15684.05</v>
      </c>
      <c r="AA116" s="774">
        <v>0.29984021464140881</v>
      </c>
      <c r="AB116" s="775">
        <v>672.88833333333332</v>
      </c>
      <c r="AC116" s="777">
        <v>24223.98</v>
      </c>
      <c r="AD116" s="774">
        <v>0.30044489000081098</v>
      </c>
      <c r="AE116" s="775">
        <v>534.36545454545455</v>
      </c>
      <c r="AF116" s="777">
        <v>17634.060000000001</v>
      </c>
      <c r="AG116" s="774">
        <v>0.29975959371058231</v>
      </c>
      <c r="AH116" s="775">
        <v>744.2</v>
      </c>
      <c r="AI116" s="777">
        <v>19349.2</v>
      </c>
      <c r="AJ116" s="774">
        <v>0.30119751230849784</v>
      </c>
      <c r="AK116" s="775">
        <v>399.79</v>
      </c>
      <c r="AL116" s="777">
        <v>7995.8</v>
      </c>
      <c r="AM116" s="774">
        <v>0.29837124037988016</v>
      </c>
      <c r="AN116" s="775">
        <v>395.0577777777778</v>
      </c>
      <c r="AO116" s="777">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-17.275674846625765</v>
      </c>
      <c r="E117" s="760">
        <v>-5631.87</v>
      </c>
      <c r="F117" s="749"/>
      <c r="G117" s="772">
        <v>29.692692307692308</v>
      </c>
      <c r="H117" s="773">
        <v>772.01</v>
      </c>
      <c r="I117" s="749"/>
      <c r="J117" s="772">
        <v>26.889615384615386</v>
      </c>
      <c r="K117" s="773">
        <v>699.13</v>
      </c>
      <c r="L117" s="749"/>
      <c r="M117" s="772">
        <v>1.712</v>
      </c>
      <c r="N117" s="773">
        <v>59.92</v>
      </c>
      <c r="O117" s="749"/>
      <c r="P117" s="772">
        <v>-57.813499999999998</v>
      </c>
      <c r="Q117" s="773">
        <v>-1156.27</v>
      </c>
      <c r="R117" s="749"/>
      <c r="S117" s="772">
        <v>-49.627200000000002</v>
      </c>
      <c r="T117" s="773">
        <v>-1240.68</v>
      </c>
      <c r="U117" s="749"/>
      <c r="V117" s="772">
        <v>-2.5384000000000002</v>
      </c>
      <c r="W117" s="773">
        <v>-63.46</v>
      </c>
      <c r="X117" s="749"/>
      <c r="Y117" s="772">
        <v>-47.69638888888889</v>
      </c>
      <c r="Z117" s="773">
        <v>-1717.07</v>
      </c>
      <c r="AA117" s="749"/>
      <c r="AB117" s="772">
        <v>2.4216666666666669</v>
      </c>
      <c r="AC117" s="773">
        <v>87.18</v>
      </c>
      <c r="AD117" s="749"/>
      <c r="AE117" s="772">
        <v>-31.004848484848484</v>
      </c>
      <c r="AF117" s="773">
        <v>-1023.16</v>
      </c>
      <c r="AG117" s="749"/>
      <c r="AH117" s="772">
        <v>5.3234615384615385</v>
      </c>
      <c r="AI117" s="773">
        <v>138.41</v>
      </c>
      <c r="AJ117" s="749"/>
      <c r="AK117" s="772">
        <v>-11.343500000000001</v>
      </c>
      <c r="AL117" s="773">
        <v>-226.87</v>
      </c>
      <c r="AM117" s="749"/>
      <c r="AN117" s="772">
        <v>-108.94499999999999</v>
      </c>
      <c r="AO117" s="773">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13.774478527607361</v>
      </c>
      <c r="E118" s="760">
        <v>4490.4799999999996</v>
      </c>
      <c r="F118" s="749"/>
      <c r="G118" s="772">
        <v>2.1153846153846154</v>
      </c>
      <c r="H118" s="773">
        <v>55</v>
      </c>
      <c r="I118" s="749"/>
      <c r="J118" s="772">
        <v>0</v>
      </c>
      <c r="K118" s="773">
        <v>0</v>
      </c>
      <c r="L118" s="749"/>
      <c r="M118" s="772">
        <v>-48.536000000000001</v>
      </c>
      <c r="N118" s="773">
        <v>-1698.76</v>
      </c>
      <c r="O118" s="749"/>
      <c r="P118" s="772">
        <v>6.5</v>
      </c>
      <c r="Q118" s="773">
        <v>130</v>
      </c>
      <c r="R118" s="749"/>
      <c r="S118" s="772">
        <v>18.0124</v>
      </c>
      <c r="T118" s="773">
        <v>450.31</v>
      </c>
      <c r="U118" s="749"/>
      <c r="V118" s="772">
        <v>0</v>
      </c>
      <c r="W118" s="773">
        <v>0</v>
      </c>
      <c r="X118" s="749"/>
      <c r="Y118" s="772">
        <v>17.229722222222222</v>
      </c>
      <c r="Z118" s="773">
        <v>620.27</v>
      </c>
      <c r="AA118" s="749"/>
      <c r="AB118" s="772">
        <v>4.4291666666666663</v>
      </c>
      <c r="AC118" s="773">
        <v>159.44999999999999</v>
      </c>
      <c r="AD118" s="749"/>
      <c r="AE118" s="772">
        <v>17.09212121212121</v>
      </c>
      <c r="AF118" s="773">
        <v>564.04</v>
      </c>
      <c r="AG118" s="749"/>
      <c r="AH118" s="772">
        <v>67.09346153846154</v>
      </c>
      <c r="AI118" s="773">
        <v>1744.43</v>
      </c>
      <c r="AJ118" s="749"/>
      <c r="AK118" s="772">
        <v>69.605499999999992</v>
      </c>
      <c r="AL118" s="773">
        <v>1392.11</v>
      </c>
      <c r="AM118" s="749"/>
      <c r="AN118" s="772">
        <v>59.646111111111118</v>
      </c>
      <c r="AO118" s="773">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154.21174846625766</v>
      </c>
      <c r="E119" s="776">
        <v>50273.03</v>
      </c>
      <c r="F119" s="778"/>
      <c r="G119" s="775">
        <v>147.15846153846152</v>
      </c>
      <c r="H119" s="777">
        <v>3826.12</v>
      </c>
      <c r="I119" s="778"/>
      <c r="J119" s="775">
        <v>192.49038461538461</v>
      </c>
      <c r="K119" s="777">
        <v>5004.75</v>
      </c>
      <c r="L119" s="778"/>
      <c r="M119" s="775">
        <v>97.121428571428567</v>
      </c>
      <c r="N119" s="777">
        <v>3399.25</v>
      </c>
      <c r="O119" s="778"/>
      <c r="P119" s="775">
        <v>237.09800000000001</v>
      </c>
      <c r="Q119" s="777">
        <v>4741.96</v>
      </c>
      <c r="R119" s="778"/>
      <c r="S119" s="775">
        <v>184.31759999999997</v>
      </c>
      <c r="T119" s="777">
        <v>4607.9399999999996</v>
      </c>
      <c r="U119" s="778"/>
      <c r="V119" s="775">
        <v>166.30360000000002</v>
      </c>
      <c r="W119" s="777">
        <v>4157.59</v>
      </c>
      <c r="X119" s="778"/>
      <c r="Y119" s="775">
        <v>118.6263888888889</v>
      </c>
      <c r="Z119" s="777">
        <v>4270.55</v>
      </c>
      <c r="AA119" s="778"/>
      <c r="AB119" s="775">
        <v>126.47638888888888</v>
      </c>
      <c r="AC119" s="777">
        <v>4553.1499999999996</v>
      </c>
      <c r="AD119" s="778"/>
      <c r="AE119" s="775">
        <v>127.50151515151515</v>
      </c>
      <c r="AF119" s="777">
        <v>4207.55</v>
      </c>
      <c r="AG119" s="778"/>
      <c r="AH119" s="775">
        <v>155.28461538461539</v>
      </c>
      <c r="AI119" s="777">
        <v>4037.4</v>
      </c>
      <c r="AJ119" s="778"/>
      <c r="AK119" s="775">
        <v>194.48750000000001</v>
      </c>
      <c r="AL119" s="777">
        <v>3889.75</v>
      </c>
      <c r="AM119" s="778"/>
      <c r="AN119" s="775">
        <v>198.72333333333333</v>
      </c>
      <c r="AO119" s="777">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458.57052147239273</v>
      </c>
      <c r="E120" s="760">
        <v>149493.99000000002</v>
      </c>
      <c r="F120" s="749"/>
      <c r="G120" s="772">
        <v>279.03230769230771</v>
      </c>
      <c r="H120" s="773">
        <v>7254.84</v>
      </c>
      <c r="I120" s="749"/>
      <c r="J120" s="772">
        <v>304.13230769230768</v>
      </c>
      <c r="K120" s="773">
        <v>7907.44</v>
      </c>
      <c r="L120" s="749"/>
      <c r="M120" s="772">
        <v>254.21257142857144</v>
      </c>
      <c r="N120" s="773">
        <v>8897.44</v>
      </c>
      <c r="O120" s="749"/>
      <c r="P120" s="772">
        <v>612.85599999999999</v>
      </c>
      <c r="Q120" s="773">
        <v>12257.12</v>
      </c>
      <c r="R120" s="749"/>
      <c r="S120" s="772">
        <v>703.154</v>
      </c>
      <c r="T120" s="773">
        <v>17578.849999999999</v>
      </c>
      <c r="U120" s="749"/>
      <c r="V120" s="772">
        <v>557.51400000000001</v>
      </c>
      <c r="W120" s="773">
        <v>13937.85</v>
      </c>
      <c r="X120" s="749"/>
      <c r="Y120" s="772">
        <v>356.96111111111111</v>
      </c>
      <c r="Z120" s="773">
        <v>12850.6</v>
      </c>
      <c r="AA120" s="749"/>
      <c r="AB120" s="772">
        <v>301.05361111111114</v>
      </c>
      <c r="AC120" s="773">
        <v>10837.93</v>
      </c>
      <c r="AD120" s="749"/>
      <c r="AE120" s="772">
        <v>270.76727272727271</v>
      </c>
      <c r="AF120" s="773">
        <v>8935.32</v>
      </c>
      <c r="AG120" s="749"/>
      <c r="AH120" s="772">
        <v>601.99384615384611</v>
      </c>
      <c r="AI120" s="773">
        <v>15651.84</v>
      </c>
      <c r="AJ120" s="749"/>
      <c r="AK120" s="772">
        <v>716.18000000000006</v>
      </c>
      <c r="AL120" s="773">
        <v>14323.6</v>
      </c>
      <c r="AM120" s="749"/>
      <c r="AN120" s="772">
        <v>1058.9533333333334</v>
      </c>
      <c r="AO120" s="773">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89.829355828220855</v>
      </c>
      <c r="E121" s="760">
        <v>29284.37</v>
      </c>
      <c r="F121" s="749"/>
      <c r="G121" s="772">
        <v>206.4346153846154</v>
      </c>
      <c r="H121" s="773">
        <v>5367.3</v>
      </c>
      <c r="I121" s="749"/>
      <c r="J121" s="772">
        <v>162.9046153846154</v>
      </c>
      <c r="K121" s="773">
        <v>4235.5200000000004</v>
      </c>
      <c r="L121" s="749"/>
      <c r="M121" s="772">
        <v>86.214857142857142</v>
      </c>
      <c r="N121" s="773">
        <v>3017.52</v>
      </c>
      <c r="O121" s="749"/>
      <c r="P121" s="772">
        <v>101.116</v>
      </c>
      <c r="Q121" s="773">
        <v>2022.32</v>
      </c>
      <c r="R121" s="749"/>
      <c r="S121" s="772">
        <v>86.6</v>
      </c>
      <c r="T121" s="773">
        <v>2165</v>
      </c>
      <c r="U121" s="749"/>
      <c r="V121" s="772">
        <v>62.494</v>
      </c>
      <c r="W121" s="773">
        <v>1562.35</v>
      </c>
      <c r="X121" s="749"/>
      <c r="Y121" s="772">
        <v>64.885000000000005</v>
      </c>
      <c r="Z121" s="773">
        <v>2335.86</v>
      </c>
      <c r="AA121" s="749"/>
      <c r="AB121" s="772">
        <v>201.38499999999999</v>
      </c>
      <c r="AC121" s="773">
        <v>7249.86</v>
      </c>
      <c r="AD121" s="749"/>
      <c r="AE121" s="772">
        <v>15.888181818181817</v>
      </c>
      <c r="AF121" s="773">
        <v>524.30999999999995</v>
      </c>
      <c r="AG121" s="749"/>
      <c r="AH121" s="772">
        <v>0</v>
      </c>
      <c r="AI121" s="773">
        <v>0</v>
      </c>
      <c r="AJ121" s="749"/>
      <c r="AK121" s="772">
        <v>22.137999999999998</v>
      </c>
      <c r="AL121" s="773">
        <v>442.76</v>
      </c>
      <c r="AM121" s="749"/>
      <c r="AN121" s="772">
        <v>20.087222222222223</v>
      </c>
      <c r="AO121" s="773">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0.50487142731965073</v>
      </c>
      <c r="E125" s="781">
        <v>679599.83</v>
      </c>
      <c r="F125" s="779" t="s">
        <v>119</v>
      </c>
      <c r="G125" s="780">
        <v>0.34020048440475431</v>
      </c>
      <c r="H125" s="781">
        <v>40343.279999999999</v>
      </c>
      <c r="I125" s="779" t="s">
        <v>119</v>
      </c>
      <c r="J125" s="780">
        <v>0.51884202037468907</v>
      </c>
      <c r="K125" s="781">
        <v>45795.290000000008</v>
      </c>
      <c r="L125" s="779" t="s">
        <v>119</v>
      </c>
      <c r="M125" s="780">
        <v>0.5023702127382792</v>
      </c>
      <c r="N125" s="781">
        <v>66421.37</v>
      </c>
      <c r="O125" s="779" t="s">
        <v>119</v>
      </c>
      <c r="P125" s="780">
        <v>0.45271954550466165</v>
      </c>
      <c r="Q125" s="781">
        <v>54406.590000000004</v>
      </c>
      <c r="R125" s="779" t="s">
        <v>119</v>
      </c>
      <c r="S125" s="780">
        <v>0.56457731513108167</v>
      </c>
      <c r="T125" s="781">
        <v>71570.45</v>
      </c>
      <c r="U125" s="779" t="s">
        <v>119</v>
      </c>
      <c r="V125" s="780">
        <v>0.41061450712580866</v>
      </c>
      <c r="W125" s="781">
        <v>63034.710000000006</v>
      </c>
      <c r="X125" s="779" t="s">
        <v>119</v>
      </c>
      <c r="Y125" s="780">
        <v>0.49967521850185026</v>
      </c>
      <c r="Z125" s="781">
        <v>68255.400000000009</v>
      </c>
      <c r="AA125" s="779" t="s">
        <v>119</v>
      </c>
      <c r="AB125" s="780">
        <v>0.59517959029492185</v>
      </c>
      <c r="AC125" s="781">
        <v>68428.969999999987</v>
      </c>
      <c r="AD125" s="779" t="s">
        <v>119</v>
      </c>
      <c r="AE125" s="780">
        <v>0.42770801288026666</v>
      </c>
      <c r="AF125" s="781">
        <v>57675.63</v>
      </c>
      <c r="AG125" s="779" t="s">
        <v>119</v>
      </c>
      <c r="AH125" s="780">
        <v>0.51473019011732812</v>
      </c>
      <c r="AI125" s="781">
        <v>67263.5</v>
      </c>
      <c r="AJ125" s="779" t="s">
        <v>119</v>
      </c>
      <c r="AK125" s="780">
        <v>0.69261593564412238</v>
      </c>
      <c r="AL125" s="781">
        <v>36057.08</v>
      </c>
      <c r="AM125" s="779" t="s">
        <v>119</v>
      </c>
      <c r="AN125" s="780">
        <v>1.0787223518906213</v>
      </c>
      <c r="AO125" s="781">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106199.94999999998</v>
      </c>
      <c r="F126" s="749"/>
      <c r="G126" s="759"/>
      <c r="H126" s="773">
        <v>7150.06</v>
      </c>
      <c r="I126" s="749"/>
      <c r="J126" s="759"/>
      <c r="K126" s="773">
        <v>6477</v>
      </c>
      <c r="L126" s="749"/>
      <c r="M126" s="759"/>
      <c r="N126" s="773">
        <v>7084.23</v>
      </c>
      <c r="O126" s="749"/>
      <c r="P126" s="759"/>
      <c r="Q126" s="773">
        <v>6562.1</v>
      </c>
      <c r="R126" s="749"/>
      <c r="S126" s="759"/>
      <c r="T126" s="773">
        <v>8961.51</v>
      </c>
      <c r="U126" s="749"/>
      <c r="V126" s="759"/>
      <c r="W126" s="773">
        <v>5868.57</v>
      </c>
      <c r="X126" s="749"/>
      <c r="Y126" s="759"/>
      <c r="Z126" s="773">
        <v>4280.84</v>
      </c>
      <c r="AA126" s="749"/>
      <c r="AB126" s="759"/>
      <c r="AC126" s="773">
        <v>13011.74</v>
      </c>
      <c r="AD126" s="749"/>
      <c r="AE126" s="759"/>
      <c r="AF126" s="773">
        <v>11464.55</v>
      </c>
      <c r="AG126" s="749"/>
      <c r="AH126" s="759"/>
      <c r="AI126" s="773">
        <v>9570.15</v>
      </c>
      <c r="AJ126" s="749"/>
      <c r="AK126" s="759"/>
      <c r="AL126" s="773">
        <v>15556.27</v>
      </c>
      <c r="AM126" s="749"/>
      <c r="AN126" s="759"/>
      <c r="AO126" s="773">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63216.83</v>
      </c>
      <c r="F127" s="749"/>
      <c r="G127" s="759"/>
      <c r="H127" s="773">
        <v>4042.4</v>
      </c>
      <c r="I127" s="749"/>
      <c r="J127" s="759"/>
      <c r="K127" s="773">
        <v>3902.4</v>
      </c>
      <c r="L127" s="749"/>
      <c r="M127" s="759"/>
      <c r="N127" s="773">
        <v>4222.3999999999996</v>
      </c>
      <c r="O127" s="749"/>
      <c r="P127" s="759"/>
      <c r="Q127" s="773">
        <v>3582.4</v>
      </c>
      <c r="R127" s="749"/>
      <c r="S127" s="759"/>
      <c r="T127" s="773">
        <v>5269.9</v>
      </c>
      <c r="U127" s="749"/>
      <c r="V127" s="759"/>
      <c r="W127" s="773">
        <v>7695.5</v>
      </c>
      <c r="X127" s="749"/>
      <c r="Y127" s="759"/>
      <c r="Z127" s="773">
        <v>3874.42</v>
      </c>
      <c r="AA127" s="749"/>
      <c r="AB127" s="759"/>
      <c r="AC127" s="773">
        <v>6264</v>
      </c>
      <c r="AD127" s="749"/>
      <c r="AE127" s="759"/>
      <c r="AF127" s="773">
        <v>6049.73</v>
      </c>
      <c r="AG127" s="749"/>
      <c r="AH127" s="759"/>
      <c r="AI127" s="773">
        <v>5660.15</v>
      </c>
      <c r="AJ127" s="749"/>
      <c r="AK127" s="759"/>
      <c r="AL127" s="773">
        <v>6131.09</v>
      </c>
      <c r="AM127" s="749"/>
      <c r="AN127" s="759"/>
      <c r="AO127" s="773">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120523.42</v>
      </c>
      <c r="F128" s="782"/>
      <c r="G128" s="783"/>
      <c r="H128" s="785">
        <v>11941.25</v>
      </c>
      <c r="I128" s="782"/>
      <c r="J128" s="783"/>
      <c r="K128" s="785">
        <v>11309.64</v>
      </c>
      <c r="L128" s="782"/>
      <c r="M128" s="783"/>
      <c r="N128" s="785">
        <v>12046.99</v>
      </c>
      <c r="O128" s="782"/>
      <c r="P128" s="783"/>
      <c r="Q128" s="785">
        <v>13048.16</v>
      </c>
      <c r="R128" s="782"/>
      <c r="S128" s="783"/>
      <c r="T128" s="785">
        <v>14110.2</v>
      </c>
      <c r="U128" s="782"/>
      <c r="V128" s="783"/>
      <c r="W128" s="785">
        <v>10820.29</v>
      </c>
      <c r="X128" s="782"/>
      <c r="Y128" s="783"/>
      <c r="Z128" s="785">
        <v>13291.11</v>
      </c>
      <c r="AA128" s="782"/>
      <c r="AB128" s="783"/>
      <c r="AC128" s="785">
        <v>12249.22</v>
      </c>
      <c r="AD128" s="782"/>
      <c r="AE128" s="783"/>
      <c r="AF128" s="785">
        <v>6286.83</v>
      </c>
      <c r="AG128" s="782"/>
      <c r="AH128" s="783"/>
      <c r="AI128" s="785">
        <v>5342.79</v>
      </c>
      <c r="AJ128" s="782"/>
      <c r="AK128" s="783"/>
      <c r="AL128" s="785">
        <v>4186</v>
      </c>
      <c r="AM128" s="782"/>
      <c r="AN128" s="783"/>
      <c r="AO128" s="785">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51285.100000000006</v>
      </c>
      <c r="F133" s="749"/>
      <c r="G133" s="759"/>
      <c r="H133" s="773">
        <v>4595.8</v>
      </c>
      <c r="I133" s="749"/>
      <c r="J133" s="759"/>
      <c r="K133" s="773">
        <v>1510.22</v>
      </c>
      <c r="L133" s="749"/>
      <c r="M133" s="759"/>
      <c r="N133" s="773">
        <v>3172.69</v>
      </c>
      <c r="O133" s="749"/>
      <c r="P133" s="759"/>
      <c r="Q133" s="773">
        <v>4042.86</v>
      </c>
      <c r="R133" s="749"/>
      <c r="S133" s="759"/>
      <c r="T133" s="773">
        <v>4797.91</v>
      </c>
      <c r="U133" s="749"/>
      <c r="V133" s="759"/>
      <c r="W133" s="773">
        <v>9064.58</v>
      </c>
      <c r="X133" s="749"/>
      <c r="Y133" s="759"/>
      <c r="Z133" s="773">
        <v>3725.02</v>
      </c>
      <c r="AA133" s="749"/>
      <c r="AB133" s="759"/>
      <c r="AC133" s="773">
        <v>3209.54</v>
      </c>
      <c r="AD133" s="749"/>
      <c r="AE133" s="759"/>
      <c r="AF133" s="773">
        <v>3616.31</v>
      </c>
      <c r="AG133" s="749"/>
      <c r="AH133" s="759"/>
      <c r="AI133" s="773">
        <v>4412.51</v>
      </c>
      <c r="AJ133" s="749"/>
      <c r="AK133" s="759"/>
      <c r="AL133" s="773">
        <v>2437.8000000000002</v>
      </c>
      <c r="AM133" s="749"/>
      <c r="AN133" s="759"/>
      <c r="AO133" s="773">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82978.789999999994</v>
      </c>
      <c r="F134" s="782"/>
      <c r="G134" s="783"/>
      <c r="H134" s="785">
        <v>5903.83</v>
      </c>
      <c r="I134" s="782"/>
      <c r="J134" s="783"/>
      <c r="K134" s="785">
        <v>5245.25</v>
      </c>
      <c r="L134" s="782"/>
      <c r="M134" s="783"/>
      <c r="N134" s="785">
        <v>6451</v>
      </c>
      <c r="O134" s="782"/>
      <c r="P134" s="783"/>
      <c r="Q134" s="785">
        <v>8576.25</v>
      </c>
      <c r="R134" s="782"/>
      <c r="S134" s="783"/>
      <c r="T134" s="785">
        <v>7606.16</v>
      </c>
      <c r="U134" s="782"/>
      <c r="V134" s="783"/>
      <c r="W134" s="785">
        <v>8664.81</v>
      </c>
      <c r="X134" s="782"/>
      <c r="Y134" s="783"/>
      <c r="Z134" s="785">
        <v>5997.26</v>
      </c>
      <c r="AA134" s="782"/>
      <c r="AB134" s="783"/>
      <c r="AC134" s="785">
        <v>7828.03</v>
      </c>
      <c r="AD134" s="782"/>
      <c r="AE134" s="783"/>
      <c r="AF134" s="785">
        <v>7425.03</v>
      </c>
      <c r="AG134" s="782"/>
      <c r="AH134" s="783"/>
      <c r="AI134" s="785">
        <v>6323.94</v>
      </c>
      <c r="AJ134" s="782"/>
      <c r="AK134" s="783"/>
      <c r="AL134" s="785">
        <v>5730.84</v>
      </c>
      <c r="AM134" s="782"/>
      <c r="AN134" s="783"/>
      <c r="AO134" s="785">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24794.709999999977</v>
      </c>
      <c r="F135" s="749"/>
      <c r="G135" s="759"/>
      <c r="H135" s="773">
        <v>1552.12</v>
      </c>
      <c r="I135" s="749"/>
      <c r="J135" s="759"/>
      <c r="K135" s="773">
        <v>1106.6099999999999</v>
      </c>
      <c r="L135" s="749"/>
      <c r="M135" s="759"/>
      <c r="N135" s="773">
        <v>1995.98999999999</v>
      </c>
      <c r="O135" s="749"/>
      <c r="P135" s="759"/>
      <c r="Q135" s="773">
        <v>2346.83</v>
      </c>
      <c r="R135" s="749"/>
      <c r="S135" s="759"/>
      <c r="T135" s="773">
        <v>-381.92999999999898</v>
      </c>
      <c r="U135" s="749"/>
      <c r="V135" s="759"/>
      <c r="W135" s="773">
        <v>3509.34</v>
      </c>
      <c r="X135" s="749"/>
      <c r="Y135" s="759"/>
      <c r="Z135" s="773">
        <v>2237.7599999999902</v>
      </c>
      <c r="AA135" s="749"/>
      <c r="AB135" s="759"/>
      <c r="AC135" s="773">
        <v>3804.14</v>
      </c>
      <c r="AD135" s="749"/>
      <c r="AE135" s="759"/>
      <c r="AF135" s="773">
        <v>2608.88</v>
      </c>
      <c r="AG135" s="749"/>
      <c r="AH135" s="759"/>
      <c r="AI135" s="773">
        <v>2622.87</v>
      </c>
      <c r="AJ135" s="749"/>
      <c r="AK135" s="759"/>
      <c r="AL135" s="773">
        <v>1906.19</v>
      </c>
      <c r="AM135" s="749"/>
      <c r="AN135" s="759"/>
      <c r="AO135" s="773">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15014.8</v>
      </c>
      <c r="F136" s="749"/>
      <c r="G136" s="759"/>
      <c r="H136" s="773">
        <v>914.94</v>
      </c>
      <c r="I136" s="749"/>
      <c r="J136" s="759"/>
      <c r="K136" s="773">
        <v>795.88</v>
      </c>
      <c r="L136" s="749"/>
      <c r="M136" s="759"/>
      <c r="N136" s="773">
        <v>1066.6600000000001</v>
      </c>
      <c r="O136" s="749"/>
      <c r="P136" s="759"/>
      <c r="Q136" s="773">
        <v>1442.59</v>
      </c>
      <c r="R136" s="749"/>
      <c r="S136" s="759"/>
      <c r="T136" s="773">
        <v>1262.03</v>
      </c>
      <c r="U136" s="749"/>
      <c r="V136" s="759"/>
      <c r="W136" s="773">
        <v>1964.95</v>
      </c>
      <c r="X136" s="749"/>
      <c r="Y136" s="759"/>
      <c r="Z136" s="773">
        <v>1223.1400000000001</v>
      </c>
      <c r="AA136" s="749"/>
      <c r="AB136" s="759"/>
      <c r="AC136" s="773">
        <v>1534.35</v>
      </c>
      <c r="AD136" s="749"/>
      <c r="AE136" s="759"/>
      <c r="AF136" s="773">
        <v>1265.72</v>
      </c>
      <c r="AG136" s="749"/>
      <c r="AH136" s="759"/>
      <c r="AI136" s="773">
        <v>1281.49</v>
      </c>
      <c r="AJ136" s="749"/>
      <c r="AK136" s="759"/>
      <c r="AL136" s="773">
        <v>1041.1500000000001</v>
      </c>
      <c r="AM136" s="749"/>
      <c r="AN136" s="759"/>
      <c r="AO136" s="773">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0.3447134595777186</v>
      </c>
      <c r="E138" s="781">
        <v>464013.59999999986</v>
      </c>
      <c r="F138" s="779" t="s">
        <v>119</v>
      </c>
      <c r="G138" s="780">
        <v>0.30442179136662645</v>
      </c>
      <c r="H138" s="781">
        <v>36100.400000000001</v>
      </c>
      <c r="I138" s="779" t="s">
        <v>119</v>
      </c>
      <c r="J138" s="780">
        <v>0.34381917424937564</v>
      </c>
      <c r="K138" s="781">
        <v>30347.000000000004</v>
      </c>
      <c r="L138" s="779" t="s">
        <v>119</v>
      </c>
      <c r="M138" s="780">
        <v>0.27258399476371942</v>
      </c>
      <c r="N138" s="781">
        <v>36039.959999999992</v>
      </c>
      <c r="O138" s="779" t="s">
        <v>119</v>
      </c>
      <c r="P138" s="780">
        <v>0.329523183464425</v>
      </c>
      <c r="Q138" s="781">
        <v>39601.19</v>
      </c>
      <c r="R138" s="779" t="s">
        <v>119</v>
      </c>
      <c r="S138" s="780">
        <v>0.32836137138493726</v>
      </c>
      <c r="T138" s="781">
        <v>41625.780000000006</v>
      </c>
      <c r="U138" s="779" t="s">
        <v>119</v>
      </c>
      <c r="V138" s="780">
        <v>0.30999332890852138</v>
      </c>
      <c r="W138" s="781">
        <v>47588.039999999994</v>
      </c>
      <c r="X138" s="779" t="s">
        <v>119</v>
      </c>
      <c r="Y138" s="780">
        <v>0.25351148719179351</v>
      </c>
      <c r="Z138" s="781">
        <v>34629.549999999988</v>
      </c>
      <c r="AA138" s="779" t="s">
        <v>119</v>
      </c>
      <c r="AB138" s="780">
        <v>0.41663215825561689</v>
      </c>
      <c r="AC138" s="781">
        <v>47901.02</v>
      </c>
      <c r="AD138" s="779" t="s">
        <v>119</v>
      </c>
      <c r="AE138" s="780">
        <v>0.28711593648974326</v>
      </c>
      <c r="AF138" s="781">
        <v>38717.050000000003</v>
      </c>
      <c r="AG138" s="779" t="s">
        <v>119</v>
      </c>
      <c r="AH138" s="780">
        <v>0.26947240987716337</v>
      </c>
      <c r="AI138" s="781">
        <v>35213.899999999994</v>
      </c>
      <c r="AJ138" s="779" t="s">
        <v>119</v>
      </c>
      <c r="AK138" s="780">
        <v>0.71052360127216518</v>
      </c>
      <c r="AL138" s="781">
        <v>36989.340000000004</v>
      </c>
      <c r="AM138" s="779" t="s">
        <v>119</v>
      </c>
      <c r="AN138" s="780">
        <v>1.0496555098374225</v>
      </c>
      <c r="AO138" s="781">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12205.75</v>
      </c>
      <c r="F141" s="787"/>
      <c r="G141" s="788"/>
      <c r="H141" s="790">
        <v>-176.64</v>
      </c>
      <c r="I141" s="787"/>
      <c r="J141" s="788"/>
      <c r="K141" s="790">
        <v>-108.84</v>
      </c>
      <c r="L141" s="787"/>
      <c r="M141" s="788"/>
      <c r="N141" s="790">
        <v>988.66</v>
      </c>
      <c r="O141" s="787"/>
      <c r="P141" s="788"/>
      <c r="Q141" s="790">
        <v>1353.95</v>
      </c>
      <c r="R141" s="787"/>
      <c r="S141" s="788"/>
      <c r="T141" s="790">
        <v>1878.99</v>
      </c>
      <c r="U141" s="787"/>
      <c r="V141" s="788"/>
      <c r="W141" s="790">
        <v>1622</v>
      </c>
      <c r="X141" s="787"/>
      <c r="Y141" s="788"/>
      <c r="Z141" s="790">
        <v>1692.94</v>
      </c>
      <c r="AA141" s="787"/>
      <c r="AB141" s="788"/>
      <c r="AC141" s="790">
        <v>1347.45</v>
      </c>
      <c r="AD141" s="787"/>
      <c r="AE141" s="788"/>
      <c r="AF141" s="790">
        <v>1464.28</v>
      </c>
      <c r="AG141" s="787"/>
      <c r="AH141" s="788"/>
      <c r="AI141" s="790">
        <v>1470.58</v>
      </c>
      <c r="AJ141" s="787"/>
      <c r="AK141" s="788"/>
      <c r="AL141" s="790">
        <v>561.08000000000004</v>
      </c>
      <c r="AM141" s="787"/>
      <c r="AN141" s="788"/>
      <c r="AO141" s="790">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42756.7</v>
      </c>
      <c r="F142" s="749"/>
      <c r="G142" s="759"/>
      <c r="H142" s="773">
        <v>2317.2800000000002</v>
      </c>
      <c r="I142" s="749"/>
      <c r="J142" s="759"/>
      <c r="K142" s="773">
        <v>4653.93</v>
      </c>
      <c r="L142" s="749"/>
      <c r="M142" s="759"/>
      <c r="N142" s="773">
        <v>3530.19</v>
      </c>
      <c r="O142" s="749"/>
      <c r="P142" s="759"/>
      <c r="Q142" s="773">
        <v>2787.21</v>
      </c>
      <c r="R142" s="749"/>
      <c r="S142" s="759"/>
      <c r="T142" s="773">
        <v>4765.4399999999996</v>
      </c>
      <c r="U142" s="749"/>
      <c r="V142" s="759"/>
      <c r="W142" s="773">
        <v>3390.32</v>
      </c>
      <c r="X142" s="749"/>
      <c r="Y142" s="759"/>
      <c r="Z142" s="773">
        <v>3593.59</v>
      </c>
      <c r="AA142" s="749"/>
      <c r="AB142" s="759"/>
      <c r="AC142" s="773">
        <v>3469.08</v>
      </c>
      <c r="AD142" s="749"/>
      <c r="AE142" s="759"/>
      <c r="AF142" s="773">
        <v>3651.6</v>
      </c>
      <c r="AG142" s="749"/>
      <c r="AH142" s="759"/>
      <c r="AI142" s="773">
        <v>3537.97</v>
      </c>
      <c r="AJ142" s="749"/>
      <c r="AK142" s="759"/>
      <c r="AL142" s="773">
        <v>3471.27</v>
      </c>
      <c r="AM142" s="749"/>
      <c r="AN142" s="759"/>
      <c r="AO142" s="773">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8244.9599999999991</v>
      </c>
      <c r="F143" s="749"/>
      <c r="G143" s="759"/>
      <c r="H143" s="773">
        <v>453.42</v>
      </c>
      <c r="I143" s="749"/>
      <c r="J143" s="759"/>
      <c r="K143" s="773">
        <v>882.36</v>
      </c>
      <c r="L143" s="749"/>
      <c r="M143" s="759"/>
      <c r="N143" s="773">
        <v>1166.95</v>
      </c>
      <c r="O143" s="749"/>
      <c r="P143" s="759"/>
      <c r="Q143" s="773">
        <v>347.09</v>
      </c>
      <c r="R143" s="749"/>
      <c r="S143" s="759"/>
      <c r="T143" s="773">
        <v>2206.02</v>
      </c>
      <c r="U143" s="749"/>
      <c r="V143" s="759"/>
      <c r="W143" s="773">
        <v>-6.81</v>
      </c>
      <c r="X143" s="749"/>
      <c r="Y143" s="759"/>
      <c r="Z143" s="773">
        <v>430.47</v>
      </c>
      <c r="AA143" s="749"/>
      <c r="AB143" s="759"/>
      <c r="AC143" s="773">
        <v>725.33</v>
      </c>
      <c r="AD143" s="749"/>
      <c r="AE143" s="759"/>
      <c r="AF143" s="773">
        <v>580.28</v>
      </c>
      <c r="AG143" s="749"/>
      <c r="AH143" s="759"/>
      <c r="AI143" s="773">
        <v>565.19000000000005</v>
      </c>
      <c r="AJ143" s="749"/>
      <c r="AK143" s="759"/>
      <c r="AL143" s="773">
        <v>491.66</v>
      </c>
      <c r="AM143" s="749"/>
      <c r="AN143" s="759"/>
      <c r="AO143" s="773">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17065.52</v>
      </c>
      <c r="F144" s="787"/>
      <c r="G144" s="788"/>
      <c r="H144" s="790">
        <v>1224.83</v>
      </c>
      <c r="I144" s="787"/>
      <c r="J144" s="788"/>
      <c r="K144" s="790">
        <v>1544.58</v>
      </c>
      <c r="L144" s="787"/>
      <c r="M144" s="788"/>
      <c r="N144" s="790">
        <v>767.46</v>
      </c>
      <c r="O144" s="787"/>
      <c r="P144" s="788"/>
      <c r="Q144" s="790">
        <v>2040.21</v>
      </c>
      <c r="R144" s="787"/>
      <c r="S144" s="788"/>
      <c r="T144" s="790">
        <v>2489.19</v>
      </c>
      <c r="U144" s="787"/>
      <c r="V144" s="788"/>
      <c r="W144" s="790">
        <v>1114.8</v>
      </c>
      <c r="X144" s="787"/>
      <c r="Y144" s="788"/>
      <c r="Z144" s="790">
        <v>1241.24</v>
      </c>
      <c r="AA144" s="787"/>
      <c r="AB144" s="788"/>
      <c r="AC144" s="790">
        <v>879.44</v>
      </c>
      <c r="AD144" s="787"/>
      <c r="AE144" s="788"/>
      <c r="AF144" s="790">
        <v>909.96</v>
      </c>
      <c r="AG144" s="787"/>
      <c r="AH144" s="788"/>
      <c r="AI144" s="790">
        <v>1543.92</v>
      </c>
      <c r="AJ144" s="787"/>
      <c r="AK144" s="788"/>
      <c r="AL144" s="790">
        <v>1983.25</v>
      </c>
      <c r="AM144" s="787"/>
      <c r="AN144" s="788"/>
      <c r="AO144" s="790">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243.2</v>
      </c>
      <c r="F145" s="749"/>
      <c r="G145" s="759"/>
      <c r="H145" s="773">
        <v>0</v>
      </c>
      <c r="I145" s="749"/>
      <c r="J145" s="759"/>
      <c r="K145" s="773">
        <v>0</v>
      </c>
      <c r="L145" s="749"/>
      <c r="M145" s="759"/>
      <c r="N145" s="773">
        <v>3.09</v>
      </c>
      <c r="O145" s="749"/>
      <c r="P145" s="759"/>
      <c r="Q145" s="773">
        <v>0</v>
      </c>
      <c r="R145" s="749"/>
      <c r="S145" s="759"/>
      <c r="T145" s="773">
        <v>0</v>
      </c>
      <c r="U145" s="749"/>
      <c r="V145" s="759"/>
      <c r="W145" s="773">
        <v>0</v>
      </c>
      <c r="X145" s="749"/>
      <c r="Y145" s="759"/>
      <c r="Z145" s="773">
        <v>0</v>
      </c>
      <c r="AA145" s="749"/>
      <c r="AB145" s="759"/>
      <c r="AC145" s="773">
        <v>0</v>
      </c>
      <c r="AD145" s="749"/>
      <c r="AE145" s="759"/>
      <c r="AF145" s="773">
        <v>52.94</v>
      </c>
      <c r="AG145" s="749"/>
      <c r="AH145" s="759"/>
      <c r="AI145" s="773">
        <v>0</v>
      </c>
      <c r="AJ145" s="749"/>
      <c r="AK145" s="759"/>
      <c r="AL145" s="773">
        <v>115.35</v>
      </c>
      <c r="AM145" s="749"/>
      <c r="AN145" s="759"/>
      <c r="AO145" s="773">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210</v>
      </c>
      <c r="F146" s="749"/>
      <c r="G146" s="759"/>
      <c r="H146" s="773">
        <v>210</v>
      </c>
      <c r="I146" s="749"/>
      <c r="J146" s="759"/>
      <c r="K146" s="773">
        <v>0</v>
      </c>
      <c r="L146" s="749"/>
      <c r="M146" s="759"/>
      <c r="N146" s="773">
        <v>0</v>
      </c>
      <c r="O146" s="749"/>
      <c r="P146" s="759"/>
      <c r="Q146" s="773">
        <v>0</v>
      </c>
      <c r="R146" s="749"/>
      <c r="S146" s="759"/>
      <c r="T146" s="773">
        <v>0</v>
      </c>
      <c r="U146" s="749"/>
      <c r="V146" s="759"/>
      <c r="W146" s="773">
        <v>0</v>
      </c>
      <c r="X146" s="749"/>
      <c r="Y146" s="759"/>
      <c r="Z146" s="773">
        <v>0</v>
      </c>
      <c r="AA146" s="749"/>
      <c r="AB146" s="759"/>
      <c r="AC146" s="773">
        <v>0</v>
      </c>
      <c r="AD146" s="749"/>
      <c r="AE146" s="759"/>
      <c r="AF146" s="773">
        <v>0</v>
      </c>
      <c r="AG146" s="749"/>
      <c r="AH146" s="759"/>
      <c r="AI146" s="773">
        <v>0</v>
      </c>
      <c r="AJ146" s="749"/>
      <c r="AK146" s="759"/>
      <c r="AL146" s="773">
        <v>0</v>
      </c>
      <c r="AM146" s="749"/>
      <c r="AN146" s="759"/>
      <c r="AO146" s="773">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4051.17</v>
      </c>
      <c r="F147" s="749"/>
      <c r="G147" s="759"/>
      <c r="H147" s="773">
        <v>145.4</v>
      </c>
      <c r="I147" s="749"/>
      <c r="J147" s="759"/>
      <c r="K147" s="773">
        <v>196.08</v>
      </c>
      <c r="L147" s="749"/>
      <c r="M147" s="759"/>
      <c r="N147" s="773">
        <v>802.61</v>
      </c>
      <c r="O147" s="749"/>
      <c r="P147" s="759"/>
      <c r="Q147" s="773">
        <v>293.77</v>
      </c>
      <c r="R147" s="749"/>
      <c r="S147" s="759"/>
      <c r="T147" s="773">
        <v>201.28</v>
      </c>
      <c r="U147" s="749"/>
      <c r="V147" s="759"/>
      <c r="W147" s="773">
        <v>227.16</v>
      </c>
      <c r="X147" s="749"/>
      <c r="Y147" s="759"/>
      <c r="Z147" s="773">
        <v>179.94</v>
      </c>
      <c r="AA147" s="749"/>
      <c r="AB147" s="759"/>
      <c r="AC147" s="773">
        <v>417.81</v>
      </c>
      <c r="AD147" s="749"/>
      <c r="AE147" s="759"/>
      <c r="AF147" s="773">
        <v>323.17</v>
      </c>
      <c r="AG147" s="749"/>
      <c r="AH147" s="759"/>
      <c r="AI147" s="773">
        <v>85.82</v>
      </c>
      <c r="AJ147" s="749"/>
      <c r="AK147" s="759"/>
      <c r="AL147" s="773">
        <v>774.66</v>
      </c>
      <c r="AM147" s="749"/>
      <c r="AN147" s="759"/>
      <c r="AO147" s="773">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1068.07</v>
      </c>
      <c r="F148" s="749"/>
      <c r="G148" s="759"/>
      <c r="H148" s="773">
        <v>74.17</v>
      </c>
      <c r="I148" s="749"/>
      <c r="J148" s="759"/>
      <c r="K148" s="773">
        <v>77.069999999999993</v>
      </c>
      <c r="L148" s="749"/>
      <c r="M148" s="759"/>
      <c r="N148" s="773">
        <v>36.14</v>
      </c>
      <c r="O148" s="749"/>
      <c r="P148" s="759"/>
      <c r="Q148" s="773">
        <v>36.03</v>
      </c>
      <c r="R148" s="749"/>
      <c r="S148" s="759"/>
      <c r="T148" s="773">
        <v>141.53</v>
      </c>
      <c r="U148" s="749"/>
      <c r="V148" s="759"/>
      <c r="W148" s="773">
        <v>35.96</v>
      </c>
      <c r="X148" s="749"/>
      <c r="Y148" s="759"/>
      <c r="Z148" s="773">
        <v>36.340000000000003</v>
      </c>
      <c r="AA148" s="749"/>
      <c r="AB148" s="759"/>
      <c r="AC148" s="773">
        <v>168.64</v>
      </c>
      <c r="AD148" s="749"/>
      <c r="AE148" s="759"/>
      <c r="AF148" s="773">
        <v>134.41999999999999</v>
      </c>
      <c r="AG148" s="749"/>
      <c r="AH148" s="759"/>
      <c r="AI148" s="773">
        <v>122.59</v>
      </c>
      <c r="AJ148" s="749"/>
      <c r="AK148" s="759"/>
      <c r="AL148" s="773">
        <v>113.83</v>
      </c>
      <c r="AM148" s="749"/>
      <c r="AN148" s="759"/>
      <c r="AO148" s="773">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948.14999999999986</v>
      </c>
      <c r="F149" s="749"/>
      <c r="G149" s="759"/>
      <c r="H149" s="773">
        <v>92.23</v>
      </c>
      <c r="I149" s="749"/>
      <c r="J149" s="759"/>
      <c r="K149" s="773">
        <v>33.19</v>
      </c>
      <c r="L149" s="749"/>
      <c r="M149" s="759"/>
      <c r="N149" s="773">
        <v>57.93</v>
      </c>
      <c r="O149" s="749"/>
      <c r="P149" s="759"/>
      <c r="Q149" s="773">
        <v>48.41</v>
      </c>
      <c r="R149" s="749"/>
      <c r="S149" s="759"/>
      <c r="T149" s="773">
        <v>113</v>
      </c>
      <c r="U149" s="749"/>
      <c r="V149" s="759"/>
      <c r="W149" s="773">
        <v>30.69</v>
      </c>
      <c r="X149" s="749"/>
      <c r="Y149" s="759"/>
      <c r="Z149" s="773">
        <v>92.28</v>
      </c>
      <c r="AA149" s="749"/>
      <c r="AB149" s="759"/>
      <c r="AC149" s="773">
        <v>56.38</v>
      </c>
      <c r="AD149" s="749"/>
      <c r="AE149" s="759"/>
      <c r="AF149" s="773">
        <v>119.77</v>
      </c>
      <c r="AG149" s="749"/>
      <c r="AH149" s="759"/>
      <c r="AI149" s="773">
        <v>133.26</v>
      </c>
      <c r="AJ149" s="749"/>
      <c r="AK149" s="759"/>
      <c r="AL149" s="773">
        <v>84.69</v>
      </c>
      <c r="AM149" s="749"/>
      <c r="AN149" s="759"/>
      <c r="AO149" s="773">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1838.9399999999996</v>
      </c>
      <c r="F150" s="749"/>
      <c r="G150" s="759"/>
      <c r="H150" s="773">
        <v>1327.62</v>
      </c>
      <c r="I150" s="749"/>
      <c r="J150" s="759"/>
      <c r="K150" s="773">
        <v>106.27</v>
      </c>
      <c r="L150" s="749"/>
      <c r="M150" s="759"/>
      <c r="N150" s="773">
        <v>24.86</v>
      </c>
      <c r="O150" s="749"/>
      <c r="P150" s="759"/>
      <c r="Q150" s="773">
        <v>43.83</v>
      </c>
      <c r="R150" s="749"/>
      <c r="S150" s="759"/>
      <c r="T150" s="773">
        <v>29.45</v>
      </c>
      <c r="U150" s="749"/>
      <c r="V150" s="759"/>
      <c r="W150" s="773">
        <v>41.75</v>
      </c>
      <c r="X150" s="749"/>
      <c r="Y150" s="759"/>
      <c r="Z150" s="773">
        <v>29.04</v>
      </c>
      <c r="AA150" s="749"/>
      <c r="AB150" s="759"/>
      <c r="AC150" s="773">
        <v>42.26</v>
      </c>
      <c r="AD150" s="749"/>
      <c r="AE150" s="759"/>
      <c r="AF150" s="773">
        <v>74.959999999999994</v>
      </c>
      <c r="AG150" s="749"/>
      <c r="AH150" s="759"/>
      <c r="AI150" s="773">
        <v>45.01</v>
      </c>
      <c r="AJ150" s="749"/>
      <c r="AK150" s="759"/>
      <c r="AL150" s="773">
        <v>38.549999999999997</v>
      </c>
      <c r="AM150" s="749"/>
      <c r="AN150" s="759"/>
      <c r="AO150" s="773">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6730.5099999999993</v>
      </c>
      <c r="F151" s="749"/>
      <c r="G151" s="759"/>
      <c r="H151" s="773">
        <v>1012.59</v>
      </c>
      <c r="I151" s="749"/>
      <c r="J151" s="759"/>
      <c r="K151" s="773">
        <v>886.55</v>
      </c>
      <c r="L151" s="749"/>
      <c r="M151" s="759"/>
      <c r="N151" s="773">
        <v>884.54</v>
      </c>
      <c r="O151" s="749"/>
      <c r="P151" s="759"/>
      <c r="Q151" s="773">
        <v>1259.51</v>
      </c>
      <c r="R151" s="749"/>
      <c r="S151" s="759"/>
      <c r="T151" s="773">
        <v>293.8</v>
      </c>
      <c r="U151" s="749"/>
      <c r="V151" s="759"/>
      <c r="W151" s="773">
        <v>182.97</v>
      </c>
      <c r="X151" s="749"/>
      <c r="Y151" s="759"/>
      <c r="Z151" s="773">
        <v>113.28</v>
      </c>
      <c r="AA151" s="749"/>
      <c r="AB151" s="759"/>
      <c r="AC151" s="773">
        <v>151.21</v>
      </c>
      <c r="AD151" s="749"/>
      <c r="AE151" s="759"/>
      <c r="AF151" s="773">
        <v>272.86</v>
      </c>
      <c r="AG151" s="749"/>
      <c r="AH151" s="759"/>
      <c r="AI151" s="773">
        <v>1082.42</v>
      </c>
      <c r="AJ151" s="749"/>
      <c r="AK151" s="759"/>
      <c r="AL151" s="773">
        <v>558.28</v>
      </c>
      <c r="AM151" s="749"/>
      <c r="AN151" s="759"/>
      <c r="AO151" s="773">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9411.4299999999985</v>
      </c>
      <c r="F152" s="749"/>
      <c r="G152" s="759"/>
      <c r="H152" s="773">
        <v>698.17</v>
      </c>
      <c r="I152" s="749"/>
      <c r="J152" s="759"/>
      <c r="K152" s="773">
        <v>551.88</v>
      </c>
      <c r="L152" s="749"/>
      <c r="M152" s="759"/>
      <c r="N152" s="773">
        <v>79.349999999999994</v>
      </c>
      <c r="O152" s="749"/>
      <c r="P152" s="759"/>
      <c r="Q152" s="773">
        <v>672.36</v>
      </c>
      <c r="R152" s="749"/>
      <c r="S152" s="759"/>
      <c r="T152" s="773">
        <v>1718.22</v>
      </c>
      <c r="U152" s="749"/>
      <c r="V152" s="759"/>
      <c r="W152" s="773">
        <v>786.04</v>
      </c>
      <c r="X152" s="749"/>
      <c r="Y152" s="759"/>
      <c r="Z152" s="773">
        <v>756.99</v>
      </c>
      <c r="AA152" s="749"/>
      <c r="AB152" s="759"/>
      <c r="AC152" s="773">
        <v>591.07000000000005</v>
      </c>
      <c r="AD152" s="749"/>
      <c r="AE152" s="759"/>
      <c r="AF152" s="773">
        <v>800.81</v>
      </c>
      <c r="AG152" s="749"/>
      <c r="AH152" s="759"/>
      <c r="AI152" s="773">
        <v>905.16</v>
      </c>
      <c r="AJ152" s="749"/>
      <c r="AK152" s="759"/>
      <c r="AL152" s="773">
        <v>1138.8699999999999</v>
      </c>
      <c r="AM152" s="749"/>
      <c r="AN152" s="759"/>
      <c r="AO152" s="773">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7.7836395095272473E-2</v>
      </c>
      <c r="E156" s="781">
        <v>104774.39999999998</v>
      </c>
      <c r="F156" s="779" t="s">
        <v>119</v>
      </c>
      <c r="G156" s="780">
        <v>6.2225064210361433E-2</v>
      </c>
      <c r="H156" s="781">
        <v>7379.07</v>
      </c>
      <c r="I156" s="779" t="s">
        <v>119</v>
      </c>
      <c r="J156" s="780">
        <v>9.9961796610684328E-2</v>
      </c>
      <c r="K156" s="781">
        <v>8823.0699999999979</v>
      </c>
      <c r="L156" s="779" t="s">
        <v>119</v>
      </c>
      <c r="M156" s="780">
        <v>6.3092071018949522E-2</v>
      </c>
      <c r="N156" s="781">
        <v>8341.7800000000007</v>
      </c>
      <c r="O156" s="779" t="s">
        <v>119</v>
      </c>
      <c r="P156" s="780">
        <v>7.3910577917201584E-2</v>
      </c>
      <c r="Q156" s="781">
        <v>8882.369999999999</v>
      </c>
      <c r="R156" s="779" t="s">
        <v>119</v>
      </c>
      <c r="S156" s="780">
        <v>0.10915134868208272</v>
      </c>
      <c r="T156" s="781">
        <v>13836.92</v>
      </c>
      <c r="U156" s="779" t="s">
        <v>119</v>
      </c>
      <c r="V156" s="780">
        <v>4.8366422906812354E-2</v>
      </c>
      <c r="W156" s="781">
        <v>7424.8799999999992</v>
      </c>
      <c r="X156" s="779" t="s">
        <v>119</v>
      </c>
      <c r="Y156" s="780">
        <v>5.9781391634363641E-2</v>
      </c>
      <c r="Z156" s="781">
        <v>8166.11</v>
      </c>
      <c r="AA156" s="779" t="s">
        <v>119</v>
      </c>
      <c r="AB156" s="780">
        <v>6.8265943429515974E-2</v>
      </c>
      <c r="AC156" s="781">
        <v>7848.67</v>
      </c>
      <c r="AD156" s="779" t="s">
        <v>119</v>
      </c>
      <c r="AE156" s="780">
        <v>6.218142867969851E-2</v>
      </c>
      <c r="AF156" s="781">
        <v>8385.0499999999993</v>
      </c>
      <c r="AG156" s="779" t="s">
        <v>119</v>
      </c>
      <c r="AH156" s="780">
        <v>7.2636389515539163E-2</v>
      </c>
      <c r="AI156" s="781">
        <v>9491.92</v>
      </c>
      <c r="AJ156" s="779" t="s">
        <v>119</v>
      </c>
      <c r="AK156" s="780">
        <v>0.17924742317746672</v>
      </c>
      <c r="AL156" s="781">
        <v>9331.4900000000016</v>
      </c>
      <c r="AM156" s="779" t="s">
        <v>119</v>
      </c>
      <c r="AN156" s="780">
        <v>0.18348933644537532</v>
      </c>
      <c r="AO156" s="781">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0.92742128199264162</v>
      </c>
      <c r="E158" s="791">
        <v>1248387.8299999996</v>
      </c>
      <c r="F158" s="779" t="s">
        <v>119</v>
      </c>
      <c r="G158" s="780">
        <v>0.70684733998174221</v>
      </c>
      <c r="H158" s="791">
        <v>83822.75</v>
      </c>
      <c r="I158" s="779" t="s">
        <v>119</v>
      </c>
      <c r="J158" s="780">
        <v>0.96262299123474893</v>
      </c>
      <c r="K158" s="791">
        <v>84965.36</v>
      </c>
      <c r="L158" s="779" t="s">
        <v>119</v>
      </c>
      <c r="M158" s="780">
        <v>0.83804627852094804</v>
      </c>
      <c r="N158" s="791">
        <v>110803.10999999999</v>
      </c>
      <c r="O158" s="779" t="s">
        <v>119</v>
      </c>
      <c r="P158" s="780">
        <v>0.8561533068862881</v>
      </c>
      <c r="Q158" s="791">
        <v>102890.15</v>
      </c>
      <c r="R158" s="779" t="s">
        <v>119</v>
      </c>
      <c r="S158" s="780">
        <v>1.0020900351981017</v>
      </c>
      <c r="T158" s="791">
        <v>127033.15000000001</v>
      </c>
      <c r="U158" s="779" t="s">
        <v>119</v>
      </c>
      <c r="V158" s="780">
        <v>0.76897425894114246</v>
      </c>
      <c r="W158" s="791">
        <v>118047.63</v>
      </c>
      <c r="X158" s="779" t="s">
        <v>119</v>
      </c>
      <c r="Y158" s="780">
        <v>0.81296809732800746</v>
      </c>
      <c r="Z158" s="791">
        <v>111051.06</v>
      </c>
      <c r="AA158" s="779" t="s">
        <v>119</v>
      </c>
      <c r="AB158" s="780">
        <v>1.0800776919800548</v>
      </c>
      <c r="AC158" s="791">
        <v>124178.65999999999</v>
      </c>
      <c r="AD158" s="779" t="s">
        <v>119</v>
      </c>
      <c r="AE158" s="780">
        <v>0.77700537804970837</v>
      </c>
      <c r="AF158" s="791">
        <v>104777.73</v>
      </c>
      <c r="AG158" s="779" t="s">
        <v>119</v>
      </c>
      <c r="AH158" s="780">
        <v>0.85683898951003057</v>
      </c>
      <c r="AI158" s="791">
        <v>111969.31999999999</v>
      </c>
      <c r="AJ158" s="779" t="s">
        <v>119</v>
      </c>
      <c r="AK158" s="780">
        <v>1.5823869600937543</v>
      </c>
      <c r="AL158" s="791">
        <v>82377.910000000018</v>
      </c>
      <c r="AM158" s="779" t="s">
        <v>119</v>
      </c>
      <c r="AN158" s="780">
        <v>2.3118671981734189</v>
      </c>
      <c r="AO158" s="791">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9"/>
      <c r="D162" s="759"/>
      <c r="E162" s="760"/>
      <c r="F162" s="749"/>
      <c r="G162" s="759"/>
      <c r="H162" s="773"/>
      <c r="I162" s="749"/>
      <c r="J162" s="759"/>
      <c r="K162" s="773"/>
      <c r="L162" s="749"/>
      <c r="M162" s="759"/>
      <c r="N162" s="773"/>
      <c r="O162" s="749"/>
      <c r="P162" s="759"/>
      <c r="Q162" s="773"/>
      <c r="R162" s="749"/>
      <c r="S162" s="759"/>
      <c r="T162" s="773"/>
      <c r="U162" s="749"/>
      <c r="V162" s="759"/>
      <c r="W162" s="773"/>
      <c r="X162" s="749"/>
      <c r="Y162" s="759"/>
      <c r="Z162" s="773"/>
      <c r="AA162" s="749"/>
      <c r="AB162" s="759"/>
      <c r="AC162" s="773"/>
      <c r="AD162" s="749"/>
      <c r="AE162" s="759"/>
      <c r="AF162" s="773"/>
      <c r="AG162" s="749"/>
      <c r="AH162" s="759"/>
      <c r="AI162" s="773"/>
      <c r="AJ162" s="749"/>
      <c r="AK162" s="759"/>
      <c r="AL162" s="773"/>
      <c r="AM162" s="749"/>
      <c r="AN162" s="759"/>
      <c r="AO162" s="773"/>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9"/>
      <c r="D163" s="759"/>
      <c r="E163" s="760">
        <v>0</v>
      </c>
      <c r="F163" s="749"/>
      <c r="G163" s="759"/>
      <c r="H163" s="773"/>
      <c r="I163" s="749"/>
      <c r="J163" s="759"/>
      <c r="K163" s="773"/>
      <c r="L163" s="749"/>
      <c r="M163" s="759"/>
      <c r="N163" s="773"/>
      <c r="O163" s="749"/>
      <c r="P163" s="759"/>
      <c r="Q163" s="773"/>
      <c r="R163" s="749"/>
      <c r="S163" s="759"/>
      <c r="T163" s="773"/>
      <c r="U163" s="749"/>
      <c r="V163" s="759"/>
      <c r="W163" s="773"/>
      <c r="X163" s="749"/>
      <c r="Y163" s="759"/>
      <c r="Z163" s="773"/>
      <c r="AA163" s="749"/>
      <c r="AB163" s="759"/>
      <c r="AC163" s="773"/>
      <c r="AD163" s="749"/>
      <c r="AE163" s="759"/>
      <c r="AF163" s="773"/>
      <c r="AG163" s="749"/>
      <c r="AH163" s="759"/>
      <c r="AI163" s="773"/>
      <c r="AJ163" s="749"/>
      <c r="AK163" s="759"/>
      <c r="AL163" s="773"/>
      <c r="AM163" s="749"/>
      <c r="AN163" s="759"/>
      <c r="AO163" s="773"/>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9"/>
      <c r="D164" s="759"/>
      <c r="E164" s="760">
        <v>0</v>
      </c>
      <c r="F164" s="749"/>
      <c r="G164" s="759"/>
      <c r="H164" s="773"/>
      <c r="I164" s="749"/>
      <c r="J164" s="759"/>
      <c r="K164" s="773"/>
      <c r="L164" s="749"/>
      <c r="M164" s="759"/>
      <c r="N164" s="773"/>
      <c r="O164" s="749"/>
      <c r="P164" s="759"/>
      <c r="Q164" s="773"/>
      <c r="R164" s="749"/>
      <c r="S164" s="759"/>
      <c r="T164" s="773"/>
      <c r="U164" s="749"/>
      <c r="V164" s="759"/>
      <c r="W164" s="773"/>
      <c r="X164" s="749"/>
      <c r="Y164" s="759"/>
      <c r="Z164" s="773"/>
      <c r="AA164" s="749"/>
      <c r="AB164" s="759"/>
      <c r="AC164" s="773"/>
      <c r="AD164" s="749"/>
      <c r="AE164" s="759"/>
      <c r="AF164" s="773"/>
      <c r="AG164" s="749"/>
      <c r="AH164" s="759"/>
      <c r="AI164" s="773"/>
      <c r="AJ164" s="749"/>
      <c r="AK164" s="759"/>
      <c r="AL164" s="773"/>
      <c r="AM164" s="749"/>
      <c r="AN164" s="759"/>
      <c r="AO164" s="773"/>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8"/>
      <c r="D165" s="786"/>
      <c r="E165" s="776">
        <v>128814</v>
      </c>
      <c r="F165" s="778"/>
      <c r="G165" s="786"/>
      <c r="H165" s="777">
        <v>9874</v>
      </c>
      <c r="I165" s="778"/>
      <c r="J165" s="786"/>
      <c r="K165" s="777">
        <v>8812</v>
      </c>
      <c r="L165" s="778"/>
      <c r="M165" s="786"/>
      <c r="N165" s="777">
        <v>13046</v>
      </c>
      <c r="O165" s="778"/>
      <c r="P165" s="786"/>
      <c r="Q165" s="777">
        <v>7645</v>
      </c>
      <c r="R165" s="778"/>
      <c r="S165" s="786"/>
      <c r="T165" s="777">
        <v>8919</v>
      </c>
      <c r="U165" s="778"/>
      <c r="V165" s="786"/>
      <c r="W165" s="777">
        <v>8552</v>
      </c>
      <c r="X165" s="778"/>
      <c r="Y165" s="786"/>
      <c r="Z165" s="777">
        <v>14460</v>
      </c>
      <c r="AA165" s="778"/>
      <c r="AB165" s="786"/>
      <c r="AC165" s="777">
        <v>16835</v>
      </c>
      <c r="AD165" s="778"/>
      <c r="AE165" s="786"/>
      <c r="AF165" s="777">
        <v>15069</v>
      </c>
      <c r="AG165" s="778"/>
      <c r="AH165" s="786"/>
      <c r="AI165" s="777">
        <v>10119</v>
      </c>
      <c r="AJ165" s="778"/>
      <c r="AK165" s="786"/>
      <c r="AL165" s="777">
        <v>7749</v>
      </c>
      <c r="AM165" s="778"/>
      <c r="AN165" s="786"/>
      <c r="AO165" s="777">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128814</v>
      </c>
      <c r="F166" s="816"/>
      <c r="G166" s="817"/>
      <c r="H166" s="791">
        <v>9874</v>
      </c>
      <c r="I166" s="816"/>
      <c r="J166" s="817"/>
      <c r="K166" s="791">
        <v>8812</v>
      </c>
      <c r="L166" s="816"/>
      <c r="M166" s="817"/>
      <c r="N166" s="791">
        <v>13046</v>
      </c>
      <c r="O166" s="816"/>
      <c r="P166" s="817"/>
      <c r="Q166" s="791">
        <v>7645</v>
      </c>
      <c r="R166" s="816"/>
      <c r="S166" s="817"/>
      <c r="T166" s="791">
        <v>8919</v>
      </c>
      <c r="U166" s="816"/>
      <c r="V166" s="817"/>
      <c r="W166" s="791">
        <v>8552</v>
      </c>
      <c r="X166" s="816"/>
      <c r="Y166" s="817"/>
      <c r="Z166" s="791">
        <v>14460</v>
      </c>
      <c r="AA166" s="816"/>
      <c r="AB166" s="817"/>
      <c r="AC166" s="791">
        <v>16835</v>
      </c>
      <c r="AD166" s="816"/>
      <c r="AE166" s="817"/>
      <c r="AF166" s="791">
        <v>15069</v>
      </c>
      <c r="AG166" s="816"/>
      <c r="AH166" s="817"/>
      <c r="AI166" s="791">
        <v>10119</v>
      </c>
      <c r="AJ166" s="816"/>
      <c r="AK166" s="817"/>
      <c r="AL166" s="791">
        <v>7749</v>
      </c>
      <c r="AM166" s="816"/>
      <c r="AN166" s="817"/>
      <c r="AO166" s="791">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8"/>
      <c r="D168" s="819"/>
      <c r="E168" s="800">
        <v>226511.11999999895</v>
      </c>
      <c r="F168" s="818"/>
      <c r="G168" s="819"/>
      <c r="H168" s="800">
        <v>44638.029999999912</v>
      </c>
      <c r="I168" s="818"/>
      <c r="J168" s="819"/>
      <c r="K168" s="800">
        <v>12111.059999999794</v>
      </c>
      <c r="L168" s="818"/>
      <c r="M168" s="819"/>
      <c r="N168" s="800">
        <v>34458.869999999879</v>
      </c>
      <c r="O168" s="818"/>
      <c r="P168" s="819"/>
      <c r="Q168" s="800">
        <v>24932.099999999802</v>
      </c>
      <c r="R168" s="818"/>
      <c r="S168" s="819"/>
      <c r="T168" s="800">
        <v>8654.0500000000029</v>
      </c>
      <c r="U168" s="818"/>
      <c r="V168" s="819"/>
      <c r="W168" s="800">
        <v>44017.479999999894</v>
      </c>
      <c r="X168" s="818"/>
      <c r="Y168" s="819"/>
      <c r="Z168" s="800">
        <v>40008.469999999914</v>
      </c>
      <c r="AA168" s="818"/>
      <c r="AB168" s="819"/>
      <c r="AC168" s="800">
        <v>7628.3099999999104</v>
      </c>
      <c r="AD168" s="818"/>
      <c r="AE168" s="819"/>
      <c r="AF168" s="800">
        <v>45139.409999999989</v>
      </c>
      <c r="AG168" s="818"/>
      <c r="AH168" s="819"/>
      <c r="AI168" s="800">
        <v>28826.879999999801</v>
      </c>
      <c r="AJ168" s="818"/>
      <c r="AK168" s="819"/>
      <c r="AL168" s="800">
        <v>-22569.64</v>
      </c>
      <c r="AM168" s="818"/>
      <c r="AN168" s="819"/>
      <c r="AO168" s="800">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3873</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71">
        <v>2023</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5672</v>
      </c>
      <c r="D175" s="772">
        <v>1794757.1899999969</v>
      </c>
      <c r="E175" s="760">
        <v>1365745.6399999978</v>
      </c>
      <c r="F175" s="822">
        <v>306</v>
      </c>
      <c r="G175" s="823">
        <v>99375.66</v>
      </c>
      <c r="H175" s="773">
        <v>73499.429999999993</v>
      </c>
      <c r="I175" s="822">
        <v>260</v>
      </c>
      <c r="J175" s="823">
        <v>88638.59</v>
      </c>
      <c r="K175" s="773">
        <v>67573.42</v>
      </c>
      <c r="L175" s="822">
        <v>324</v>
      </c>
      <c r="M175" s="823">
        <v>116309.069999999</v>
      </c>
      <c r="N175" s="773">
        <v>89120.03</v>
      </c>
      <c r="O175" s="822">
        <v>649</v>
      </c>
      <c r="P175" s="823">
        <v>206618.41</v>
      </c>
      <c r="Q175" s="773">
        <v>159399.99</v>
      </c>
      <c r="R175" s="822">
        <v>630</v>
      </c>
      <c r="S175" s="823">
        <v>205419.62999999899</v>
      </c>
      <c r="T175" s="773">
        <v>160181.58999999901</v>
      </c>
      <c r="U175" s="822">
        <v>424</v>
      </c>
      <c r="V175" s="823">
        <v>163560.49</v>
      </c>
      <c r="W175" s="773">
        <v>130305.849999999</v>
      </c>
      <c r="X175" s="822">
        <v>376</v>
      </c>
      <c r="Y175" s="823">
        <v>134675.75999999899</v>
      </c>
      <c r="Z175" s="773">
        <v>98157.879999999903</v>
      </c>
      <c r="AA175" s="822">
        <v>346</v>
      </c>
      <c r="AB175" s="823">
        <v>124231.09</v>
      </c>
      <c r="AC175" s="773">
        <v>94401.34</v>
      </c>
      <c r="AD175" s="822">
        <v>351</v>
      </c>
      <c r="AE175" s="823">
        <v>121290.73</v>
      </c>
      <c r="AF175" s="773">
        <v>89262.04</v>
      </c>
      <c r="AG175" s="822">
        <v>584</v>
      </c>
      <c r="AH175" s="823">
        <v>160196.75</v>
      </c>
      <c r="AI175" s="773">
        <v>122881.74</v>
      </c>
      <c r="AJ175" s="822">
        <v>1003</v>
      </c>
      <c r="AK175" s="823">
        <v>245740.65</v>
      </c>
      <c r="AL175" s="773">
        <v>184881.37</v>
      </c>
      <c r="AM175" s="822">
        <v>419</v>
      </c>
      <c r="AN175" s="823">
        <v>128700.36</v>
      </c>
      <c r="AO175" s="773">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0.76096401653083789</v>
      </c>
      <c r="F176" s="821"/>
      <c r="G176" s="759"/>
      <c r="H176" s="824">
        <v>0.73961199352034479</v>
      </c>
      <c r="I176" s="821"/>
      <c r="J176" s="759"/>
      <c r="K176" s="824">
        <v>0.76234764113463449</v>
      </c>
      <c r="L176" s="821"/>
      <c r="M176" s="759"/>
      <c r="N176" s="824">
        <v>0.76623456794900657</v>
      </c>
      <c r="O176" s="821"/>
      <c r="P176" s="759"/>
      <c r="Q176" s="824">
        <v>0.77147041253487525</v>
      </c>
      <c r="R176" s="821"/>
      <c r="S176" s="759"/>
      <c r="T176" s="824">
        <v>0.77977742438733721</v>
      </c>
      <c r="U176" s="821"/>
      <c r="V176" s="759"/>
      <c r="W176" s="824">
        <v>0.79668292752118197</v>
      </c>
      <c r="X176" s="821"/>
      <c r="Y176" s="759"/>
      <c r="Z176" s="824">
        <v>0.72884593337361259</v>
      </c>
      <c r="AA176" s="821"/>
      <c r="AB176" s="759"/>
      <c r="AC176" s="824">
        <v>0.75988498531245274</v>
      </c>
      <c r="AD176" s="821"/>
      <c r="AE176" s="759"/>
      <c r="AF176" s="824">
        <v>0.7359345598793906</v>
      </c>
      <c r="AG176" s="821"/>
      <c r="AH176" s="759"/>
      <c r="AI176" s="824">
        <v>0.76706762153414476</v>
      </c>
      <c r="AJ176" s="821"/>
      <c r="AK176" s="759"/>
      <c r="AL176" s="824">
        <v>0.75234345640413991</v>
      </c>
      <c r="AM176" s="821"/>
      <c r="AN176" s="759"/>
      <c r="AO176" s="824">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316.42404619181895</v>
      </c>
      <c r="E177" s="827"/>
      <c r="F177" s="825"/>
      <c r="G177" s="826">
        <v>324.75705882352941</v>
      </c>
      <c r="H177" s="827"/>
      <c r="I177" s="825"/>
      <c r="J177" s="826">
        <v>340.91765384615383</v>
      </c>
      <c r="K177" s="827"/>
      <c r="L177" s="825"/>
      <c r="M177" s="826">
        <v>358.97861111110802</v>
      </c>
      <c r="N177" s="827"/>
      <c r="O177" s="825"/>
      <c r="P177" s="826">
        <v>318.36426810477656</v>
      </c>
      <c r="Q177" s="827"/>
      <c r="R177" s="825"/>
      <c r="S177" s="826">
        <v>326.06290476190316</v>
      </c>
      <c r="T177" s="827"/>
      <c r="U177" s="825"/>
      <c r="V177" s="826">
        <v>385.75587264150943</v>
      </c>
      <c r="W177" s="827"/>
      <c r="X177" s="825"/>
      <c r="Y177" s="826">
        <v>358.18021276595476</v>
      </c>
      <c r="Z177" s="827"/>
      <c r="AA177" s="825"/>
      <c r="AB177" s="826">
        <v>359.04939306358381</v>
      </c>
      <c r="AC177" s="827"/>
      <c r="AD177" s="825"/>
      <c r="AE177" s="826">
        <v>345.5576353276353</v>
      </c>
      <c r="AF177" s="827"/>
      <c r="AG177" s="825"/>
      <c r="AH177" s="826">
        <v>274.30950342465752</v>
      </c>
      <c r="AI177" s="827"/>
      <c r="AJ177" s="825"/>
      <c r="AK177" s="826">
        <v>245.00563310069791</v>
      </c>
      <c r="AL177" s="827"/>
      <c r="AM177" s="825"/>
      <c r="AN177" s="826">
        <v>307.16076372315035</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1295</v>
      </c>
      <c r="D178" s="829">
        <v>340943.76</v>
      </c>
      <c r="E178" s="784">
        <v>205916.44999999969</v>
      </c>
      <c r="F178" s="830">
        <v>116</v>
      </c>
      <c r="G178" s="831">
        <v>26426.29</v>
      </c>
      <c r="H178" s="785">
        <v>15576.71</v>
      </c>
      <c r="I178" s="830">
        <v>104</v>
      </c>
      <c r="J178" s="831">
        <v>26193.41</v>
      </c>
      <c r="K178" s="785">
        <v>14568.82</v>
      </c>
      <c r="L178" s="830">
        <v>104</v>
      </c>
      <c r="M178" s="831">
        <v>24148.27</v>
      </c>
      <c r="N178" s="785">
        <v>14611.85</v>
      </c>
      <c r="O178" s="830">
        <v>76</v>
      </c>
      <c r="P178" s="831">
        <v>19537.28</v>
      </c>
      <c r="Q178" s="785">
        <v>11548.07</v>
      </c>
      <c r="R178" s="830">
        <v>84</v>
      </c>
      <c r="S178" s="831">
        <v>18769.009999999998</v>
      </c>
      <c r="T178" s="785">
        <v>12245.8999999999</v>
      </c>
      <c r="U178" s="830">
        <v>93</v>
      </c>
      <c r="V178" s="831">
        <v>23312.13</v>
      </c>
      <c r="W178" s="785">
        <v>14886.99</v>
      </c>
      <c r="X178" s="830">
        <v>127</v>
      </c>
      <c r="Y178" s="831">
        <v>31627.03</v>
      </c>
      <c r="Z178" s="785">
        <v>20159.589999999898</v>
      </c>
      <c r="AA178" s="830">
        <v>112</v>
      </c>
      <c r="AB178" s="831">
        <v>47082.720000000001</v>
      </c>
      <c r="AC178" s="785">
        <v>28555.8</v>
      </c>
      <c r="AD178" s="830">
        <v>118</v>
      </c>
      <c r="AE178" s="831">
        <v>34071.730000000003</v>
      </c>
      <c r="AF178" s="785">
        <v>20940.57</v>
      </c>
      <c r="AG178" s="830">
        <v>98</v>
      </c>
      <c r="AH178" s="831">
        <v>29283.51</v>
      </c>
      <c r="AI178" s="785">
        <v>17174.5</v>
      </c>
      <c r="AJ178" s="830">
        <v>116</v>
      </c>
      <c r="AK178" s="831">
        <v>22849.53</v>
      </c>
      <c r="AL178" s="785">
        <v>12512.06</v>
      </c>
      <c r="AM178" s="830">
        <v>147</v>
      </c>
      <c r="AN178" s="831">
        <v>37642.85</v>
      </c>
      <c r="AO178" s="785">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0.60396016633359029</v>
      </c>
      <c r="F179" s="749"/>
      <c r="G179" s="759"/>
      <c r="H179" s="824">
        <v>0.58943991002898999</v>
      </c>
      <c r="I179" s="749"/>
      <c r="J179" s="759"/>
      <c r="K179" s="824">
        <v>0.55620173165693199</v>
      </c>
      <c r="L179" s="749"/>
      <c r="M179" s="759"/>
      <c r="N179" s="824">
        <v>0.60508889456677439</v>
      </c>
      <c r="O179" s="749"/>
      <c r="P179" s="759"/>
      <c r="Q179" s="824">
        <v>0.59107869672748714</v>
      </c>
      <c r="R179" s="749"/>
      <c r="S179" s="759"/>
      <c r="T179" s="824">
        <v>0.65245316614994087</v>
      </c>
      <c r="U179" s="749"/>
      <c r="V179" s="759"/>
      <c r="W179" s="824">
        <v>0.63859415677589304</v>
      </c>
      <c r="X179" s="749"/>
      <c r="Y179" s="759"/>
      <c r="Z179" s="824">
        <v>0.63741647571712867</v>
      </c>
      <c r="AA179" s="749"/>
      <c r="AB179" s="759"/>
      <c r="AC179" s="824">
        <v>0.60650276789446311</v>
      </c>
      <c r="AD179" s="749"/>
      <c r="AE179" s="759"/>
      <c r="AF179" s="824">
        <v>0.61460248716457888</v>
      </c>
      <c r="AG179" s="749"/>
      <c r="AH179" s="759"/>
      <c r="AI179" s="824">
        <v>0.58649048560094064</v>
      </c>
      <c r="AJ179" s="749"/>
      <c r="AK179" s="759"/>
      <c r="AL179" s="824">
        <v>0.54758500503073804</v>
      </c>
      <c r="AM179" s="749"/>
      <c r="AN179" s="759"/>
      <c r="AO179" s="824">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263.27703474903478</v>
      </c>
      <c r="E180" s="827"/>
      <c r="F180" s="778"/>
      <c r="G180" s="826">
        <v>227.81284482758622</v>
      </c>
      <c r="H180" s="827"/>
      <c r="I180" s="778"/>
      <c r="J180" s="826">
        <v>251.85971153846154</v>
      </c>
      <c r="K180" s="827"/>
      <c r="L180" s="778"/>
      <c r="M180" s="826">
        <v>232.19490384615386</v>
      </c>
      <c r="N180" s="827"/>
      <c r="O180" s="778"/>
      <c r="P180" s="826">
        <v>257.06947368421049</v>
      </c>
      <c r="Q180" s="827"/>
      <c r="R180" s="778"/>
      <c r="S180" s="826">
        <v>223.44059523809523</v>
      </c>
      <c r="T180" s="827"/>
      <c r="U180" s="778"/>
      <c r="V180" s="826">
        <v>250.66806451612905</v>
      </c>
      <c r="W180" s="827"/>
      <c r="X180" s="778"/>
      <c r="Y180" s="826">
        <v>249.03173228346455</v>
      </c>
      <c r="Z180" s="827"/>
      <c r="AA180" s="778"/>
      <c r="AB180" s="826">
        <v>420.38142857142856</v>
      </c>
      <c r="AC180" s="827"/>
      <c r="AD180" s="778"/>
      <c r="AE180" s="826">
        <v>288.74347457627124</v>
      </c>
      <c r="AF180" s="827"/>
      <c r="AG180" s="778"/>
      <c r="AH180" s="826">
        <v>298.81132653061223</v>
      </c>
      <c r="AI180" s="827"/>
      <c r="AJ180" s="778"/>
      <c r="AK180" s="826">
        <v>196.97870689655173</v>
      </c>
      <c r="AL180" s="827"/>
      <c r="AM180" s="778"/>
      <c r="AN180" s="826">
        <v>256.07380952380953</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2616</v>
      </c>
      <c r="D181" s="772">
        <v>774983.94999999984</v>
      </c>
      <c r="E181" s="760">
        <v>522451.40999999957</v>
      </c>
      <c r="F181" s="822">
        <v>147</v>
      </c>
      <c r="G181" s="823">
        <v>41247.18</v>
      </c>
      <c r="H181" s="773">
        <v>27655.16</v>
      </c>
      <c r="I181" s="822">
        <v>153</v>
      </c>
      <c r="J181" s="823">
        <v>44287.68</v>
      </c>
      <c r="K181" s="773">
        <v>24875.26</v>
      </c>
      <c r="L181" s="822">
        <v>209</v>
      </c>
      <c r="M181" s="823">
        <v>44954.73</v>
      </c>
      <c r="N181" s="773">
        <v>29428.93</v>
      </c>
      <c r="O181" s="822">
        <v>141</v>
      </c>
      <c r="P181" s="823">
        <v>39589.24</v>
      </c>
      <c r="Q181" s="773">
        <v>28469.120000000003</v>
      </c>
      <c r="R181" s="822">
        <v>218</v>
      </c>
      <c r="S181" s="823">
        <v>70537.03</v>
      </c>
      <c r="T181" s="773">
        <v>51061.659999999902</v>
      </c>
      <c r="U181" s="822">
        <v>207</v>
      </c>
      <c r="V181" s="823">
        <v>61936.79</v>
      </c>
      <c r="W181" s="773">
        <v>45575.42</v>
      </c>
      <c r="X181" s="822">
        <v>205</v>
      </c>
      <c r="Y181" s="823">
        <v>71469.95</v>
      </c>
      <c r="Z181" s="773">
        <v>47106.679999999898</v>
      </c>
      <c r="AA181" s="822">
        <v>207</v>
      </c>
      <c r="AB181" s="823">
        <v>64628.659999999902</v>
      </c>
      <c r="AC181" s="773">
        <v>40631.67</v>
      </c>
      <c r="AD181" s="822">
        <v>246</v>
      </c>
      <c r="AE181" s="823">
        <v>70784.98</v>
      </c>
      <c r="AF181" s="773">
        <v>49450.3299999999</v>
      </c>
      <c r="AG181" s="822">
        <v>319</v>
      </c>
      <c r="AH181" s="823">
        <v>100162.52</v>
      </c>
      <c r="AI181" s="773">
        <v>59641.43</v>
      </c>
      <c r="AJ181" s="822">
        <v>339</v>
      </c>
      <c r="AK181" s="823">
        <v>94484.31</v>
      </c>
      <c r="AL181" s="773">
        <v>69294.319999999905</v>
      </c>
      <c r="AM181" s="822">
        <v>225</v>
      </c>
      <c r="AN181" s="823">
        <v>70900.88</v>
      </c>
      <c r="AO181" s="773">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0.67414481293451256</v>
      </c>
      <c r="F182" s="821"/>
      <c r="G182" s="832"/>
      <c r="H182" s="824">
        <v>0.67047395724992598</v>
      </c>
      <c r="I182" s="821"/>
      <c r="J182" s="832"/>
      <c r="K182" s="824">
        <v>0.5616744882549729</v>
      </c>
      <c r="L182" s="821"/>
      <c r="M182" s="832"/>
      <c r="N182" s="824">
        <v>0.65463478481574677</v>
      </c>
      <c r="O182" s="821"/>
      <c r="P182" s="832"/>
      <c r="Q182" s="824">
        <v>0.7191125669500098</v>
      </c>
      <c r="R182" s="821"/>
      <c r="S182" s="832"/>
      <c r="T182" s="824">
        <v>0.72389863877171889</v>
      </c>
      <c r="U182" s="821"/>
      <c r="V182" s="832"/>
      <c r="W182" s="824">
        <v>0.73583761767440636</v>
      </c>
      <c r="X182" s="821"/>
      <c r="Y182" s="832"/>
      <c r="Z182" s="824">
        <v>0.65911169659416158</v>
      </c>
      <c r="AA182" s="821"/>
      <c r="AB182" s="832"/>
      <c r="AC182" s="824">
        <v>0.6286942975453933</v>
      </c>
      <c r="AD182" s="821"/>
      <c r="AE182" s="832"/>
      <c r="AF182" s="824">
        <v>0.6985991943488562</v>
      </c>
      <c r="AG182" s="821"/>
      <c r="AH182" s="832"/>
      <c r="AI182" s="824">
        <v>0.59544658021782992</v>
      </c>
      <c r="AJ182" s="821"/>
      <c r="AK182" s="832"/>
      <c r="AL182" s="824">
        <v>0.73339499436467182</v>
      </c>
      <c r="AM182" s="821"/>
      <c r="AN182" s="832"/>
      <c r="AO182" s="824">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296.24768730886842</v>
      </c>
      <c r="E183" s="824"/>
      <c r="F183" s="821"/>
      <c r="G183" s="833">
        <v>280.59306122448982</v>
      </c>
      <c r="H183" s="824"/>
      <c r="I183" s="821"/>
      <c r="J183" s="833">
        <v>289.4619607843137</v>
      </c>
      <c r="K183" s="824"/>
      <c r="L183" s="821"/>
      <c r="M183" s="833">
        <v>215.0944019138756</v>
      </c>
      <c r="N183" s="824"/>
      <c r="O183" s="821"/>
      <c r="P183" s="833">
        <v>280.77475177304962</v>
      </c>
      <c r="Q183" s="824"/>
      <c r="R183" s="821"/>
      <c r="S183" s="833">
        <v>323.56435779816513</v>
      </c>
      <c r="T183" s="824"/>
      <c r="U183" s="821"/>
      <c r="V183" s="833">
        <v>299.2115458937198</v>
      </c>
      <c r="W183" s="824"/>
      <c r="X183" s="821"/>
      <c r="Y183" s="833">
        <v>348.63390243902438</v>
      </c>
      <c r="Z183" s="824"/>
      <c r="AA183" s="821"/>
      <c r="AB183" s="833">
        <v>312.21574879227006</v>
      </c>
      <c r="AC183" s="824"/>
      <c r="AD183" s="821"/>
      <c r="AE183" s="833">
        <v>287.74382113821139</v>
      </c>
      <c r="AF183" s="824"/>
      <c r="AG183" s="821"/>
      <c r="AH183" s="833">
        <v>313.98909090909092</v>
      </c>
      <c r="AI183" s="824"/>
      <c r="AJ183" s="821"/>
      <c r="AK183" s="833">
        <v>278.71477876106195</v>
      </c>
      <c r="AL183" s="824"/>
      <c r="AM183" s="821"/>
      <c r="AN183" s="833">
        <v>315.11502222222225</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0</v>
      </c>
      <c r="D184" s="829">
        <v>115951.84999999998</v>
      </c>
      <c r="E184" s="784">
        <v>91317.869999999937</v>
      </c>
      <c r="F184" s="830">
        <v>0</v>
      </c>
      <c r="G184" s="831">
        <v>0</v>
      </c>
      <c r="H184" s="785">
        <v>0</v>
      </c>
      <c r="I184" s="830">
        <v>0</v>
      </c>
      <c r="J184" s="831">
        <v>119.9</v>
      </c>
      <c r="K184" s="785">
        <v>76.7</v>
      </c>
      <c r="L184" s="830">
        <v>0</v>
      </c>
      <c r="M184" s="831">
        <v>2307.7399999999998</v>
      </c>
      <c r="N184" s="785">
        <v>2088.8599999999901</v>
      </c>
      <c r="O184" s="830">
        <v>0</v>
      </c>
      <c r="P184" s="831">
        <v>4257.78</v>
      </c>
      <c r="Q184" s="785">
        <v>3429.3799999999901</v>
      </c>
      <c r="R184" s="830">
        <v>0</v>
      </c>
      <c r="S184" s="831">
        <v>18455.04</v>
      </c>
      <c r="T184" s="785">
        <v>14338.96</v>
      </c>
      <c r="U184" s="830">
        <v>0</v>
      </c>
      <c r="V184" s="831">
        <v>12535.35</v>
      </c>
      <c r="W184" s="785">
        <v>9643.2099999999991</v>
      </c>
      <c r="X184" s="830">
        <v>0</v>
      </c>
      <c r="Y184" s="831">
        <v>12357.23</v>
      </c>
      <c r="Z184" s="785">
        <v>9196.53999999999</v>
      </c>
      <c r="AA184" s="830">
        <v>0</v>
      </c>
      <c r="AB184" s="831">
        <v>16369.69</v>
      </c>
      <c r="AC184" s="785">
        <v>14346.63</v>
      </c>
      <c r="AD184" s="830">
        <v>0</v>
      </c>
      <c r="AE184" s="831">
        <v>11861.54</v>
      </c>
      <c r="AF184" s="785">
        <v>9783.99</v>
      </c>
      <c r="AG184" s="830">
        <v>0</v>
      </c>
      <c r="AH184" s="831">
        <v>14474.65</v>
      </c>
      <c r="AI184" s="785">
        <v>11844.48</v>
      </c>
      <c r="AJ184" s="830">
        <v>0</v>
      </c>
      <c r="AK184" s="831">
        <v>17546.61</v>
      </c>
      <c r="AL184" s="785">
        <v>12159.81</v>
      </c>
      <c r="AM184" s="830">
        <v>0</v>
      </c>
      <c r="AN184" s="831">
        <v>5666.32</v>
      </c>
      <c r="AO184" s="785">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0.78754991834972843</v>
      </c>
      <c r="F185" s="834"/>
      <c r="G185" s="835">
        <v>0</v>
      </c>
      <c r="H185" s="824">
        <v>0</v>
      </c>
      <c r="I185" s="834"/>
      <c r="J185" s="835">
        <v>0</v>
      </c>
      <c r="K185" s="824">
        <v>0.63969974979149291</v>
      </c>
      <c r="L185" s="834"/>
      <c r="M185" s="835">
        <v>0</v>
      </c>
      <c r="N185" s="824">
        <v>0.90515396015148597</v>
      </c>
      <c r="O185" s="834"/>
      <c r="P185" s="835">
        <v>0</v>
      </c>
      <c r="Q185" s="824">
        <v>0.80543851490682705</v>
      </c>
      <c r="R185" s="834"/>
      <c r="S185" s="835">
        <v>0</v>
      </c>
      <c r="T185" s="824">
        <v>0.77696715910667213</v>
      </c>
      <c r="U185" s="834"/>
      <c r="V185" s="835">
        <v>0</v>
      </c>
      <c r="W185" s="824">
        <v>0.76928127256119683</v>
      </c>
      <c r="X185" s="834"/>
      <c r="Y185" s="835">
        <v>0</v>
      </c>
      <c r="Z185" s="824">
        <v>0.74422342223944926</v>
      </c>
      <c r="AA185" s="834"/>
      <c r="AB185" s="835">
        <v>0</v>
      </c>
      <c r="AC185" s="824">
        <v>0.87641427540778105</v>
      </c>
      <c r="AD185" s="834"/>
      <c r="AE185" s="835">
        <v>0</v>
      </c>
      <c r="AF185" s="824">
        <v>0.82484989301557798</v>
      </c>
      <c r="AG185" s="834"/>
      <c r="AH185" s="835">
        <v>0</v>
      </c>
      <c r="AI185" s="824">
        <v>0.81829128856310862</v>
      </c>
      <c r="AJ185" s="834"/>
      <c r="AK185" s="835">
        <v>0</v>
      </c>
      <c r="AL185" s="824">
        <v>0.69300052830717718</v>
      </c>
      <c r="AM185" s="834"/>
      <c r="AN185" s="835">
        <v>0</v>
      </c>
      <c r="AO185" s="824">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0</v>
      </c>
      <c r="E186" s="827"/>
      <c r="F186" s="836"/>
      <c r="G186" s="837">
        <v>0</v>
      </c>
      <c r="H186" s="827"/>
      <c r="I186" s="836"/>
      <c r="J186" s="837">
        <v>0</v>
      </c>
      <c r="K186" s="827"/>
      <c r="L186" s="836"/>
      <c r="M186" s="837">
        <v>0</v>
      </c>
      <c r="N186" s="827"/>
      <c r="O186" s="836"/>
      <c r="P186" s="837">
        <v>0</v>
      </c>
      <c r="Q186" s="827"/>
      <c r="R186" s="836"/>
      <c r="S186" s="837">
        <v>0</v>
      </c>
      <c r="T186" s="827"/>
      <c r="U186" s="836"/>
      <c r="V186" s="837">
        <v>0</v>
      </c>
      <c r="W186" s="827"/>
      <c r="X186" s="836"/>
      <c r="Y186" s="837">
        <v>0</v>
      </c>
      <c r="Z186" s="827"/>
      <c r="AA186" s="836"/>
      <c r="AB186" s="837">
        <v>0</v>
      </c>
      <c r="AC186" s="827"/>
      <c r="AD186" s="836"/>
      <c r="AE186" s="837">
        <v>0</v>
      </c>
      <c r="AF186" s="827"/>
      <c r="AG186" s="836"/>
      <c r="AH186" s="837">
        <v>0</v>
      </c>
      <c r="AI186" s="827"/>
      <c r="AJ186" s="836"/>
      <c r="AK186" s="837">
        <v>0</v>
      </c>
      <c r="AL186" s="827"/>
      <c r="AM186" s="836"/>
      <c r="AN186" s="837">
        <v>0</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21"/>
      <c r="D187" s="772"/>
      <c r="E187" s="760">
        <v>-32056.45</v>
      </c>
      <c r="F187" s="822"/>
      <c r="G187" s="823"/>
      <c r="H187" s="773">
        <v>-2262.14</v>
      </c>
      <c r="I187" s="822"/>
      <c r="J187" s="823"/>
      <c r="K187" s="773">
        <v>-2759.96</v>
      </c>
      <c r="L187" s="822"/>
      <c r="M187" s="823"/>
      <c r="N187" s="773">
        <v>-1643.12</v>
      </c>
      <c r="O187" s="822"/>
      <c r="P187" s="823"/>
      <c r="Q187" s="773">
        <v>-3057.78</v>
      </c>
      <c r="R187" s="822"/>
      <c r="S187" s="823"/>
      <c r="T187" s="773">
        <v>-211.89</v>
      </c>
      <c r="U187" s="822"/>
      <c r="V187" s="823"/>
      <c r="W187" s="773">
        <v>-2801.5</v>
      </c>
      <c r="X187" s="822"/>
      <c r="Y187" s="823"/>
      <c r="Z187" s="773">
        <v>-1305.82</v>
      </c>
      <c r="AA187" s="822"/>
      <c r="AB187" s="823"/>
      <c r="AC187" s="773">
        <v>-1755.16</v>
      </c>
      <c r="AD187" s="822"/>
      <c r="AE187" s="823"/>
      <c r="AF187" s="773">
        <v>-6099.74</v>
      </c>
      <c r="AG187" s="822"/>
      <c r="AH187" s="823"/>
      <c r="AI187" s="773">
        <v>-3152.12</v>
      </c>
      <c r="AJ187" s="822"/>
      <c r="AK187" s="823"/>
      <c r="AL187" s="773">
        <v>-1433.5</v>
      </c>
      <c r="AM187" s="822"/>
      <c r="AN187" s="823"/>
      <c r="AO187" s="773">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8">
        <v>9583</v>
      </c>
      <c r="D188" s="839">
        <v>3026636.7499999967</v>
      </c>
      <c r="E188" s="840">
        <v>2153374.9199999971</v>
      </c>
      <c r="F188" s="838">
        <v>569</v>
      </c>
      <c r="G188" s="839">
        <v>167049.13</v>
      </c>
      <c r="H188" s="840">
        <v>114469.15999999999</v>
      </c>
      <c r="I188" s="838">
        <v>517</v>
      </c>
      <c r="J188" s="839">
        <v>159239.57999999999</v>
      </c>
      <c r="K188" s="840">
        <v>104334.23999999998</v>
      </c>
      <c r="L188" s="838">
        <v>637</v>
      </c>
      <c r="M188" s="839">
        <v>187719.80999999901</v>
      </c>
      <c r="N188" s="840">
        <v>133606.54999999999</v>
      </c>
      <c r="O188" s="838">
        <v>866</v>
      </c>
      <c r="P188" s="839">
        <v>270002.71000000002</v>
      </c>
      <c r="Q188" s="840">
        <v>199788.78</v>
      </c>
      <c r="R188" s="838">
        <v>932</v>
      </c>
      <c r="S188" s="839">
        <v>313180.70999999897</v>
      </c>
      <c r="T188" s="840">
        <v>237616.21999999878</v>
      </c>
      <c r="U188" s="838">
        <v>724</v>
      </c>
      <c r="V188" s="839">
        <v>261344.76</v>
      </c>
      <c r="W188" s="840">
        <v>197609.96999999901</v>
      </c>
      <c r="X188" s="838">
        <v>708</v>
      </c>
      <c r="Y188" s="839">
        <v>250129.96999999901</v>
      </c>
      <c r="Z188" s="840">
        <v>173314.86999999968</v>
      </c>
      <c r="AA188" s="838">
        <v>665</v>
      </c>
      <c r="AB188" s="839">
        <v>252312.15999999992</v>
      </c>
      <c r="AC188" s="840">
        <v>176180.28</v>
      </c>
      <c r="AD188" s="838">
        <v>715</v>
      </c>
      <c r="AE188" s="839">
        <v>238008.98</v>
      </c>
      <c r="AF188" s="840">
        <v>163337.18999999989</v>
      </c>
      <c r="AG188" s="838">
        <v>1001</v>
      </c>
      <c r="AH188" s="839">
        <v>304117.43000000005</v>
      </c>
      <c r="AI188" s="840">
        <v>208390.03</v>
      </c>
      <c r="AJ188" s="838">
        <v>1458</v>
      </c>
      <c r="AK188" s="839">
        <v>380621.1</v>
      </c>
      <c r="AL188" s="840">
        <v>277414.05999999988</v>
      </c>
      <c r="AM188" s="838">
        <v>791</v>
      </c>
      <c r="AN188" s="839">
        <v>242910.41</v>
      </c>
      <c r="AO188" s="840">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315.83395074611258</v>
      </c>
      <c r="E189" s="843">
        <v>0.71147451705263254</v>
      </c>
      <c r="F189" s="841"/>
      <c r="G189" s="842">
        <v>293.58370826010548</v>
      </c>
      <c r="H189" s="843">
        <v>0.68524247926343573</v>
      </c>
      <c r="I189" s="841"/>
      <c r="J189" s="842">
        <v>308.00692456479686</v>
      </c>
      <c r="K189" s="843">
        <v>0.65520293384345762</v>
      </c>
      <c r="L189" s="841"/>
      <c r="M189" s="842">
        <v>294.69357927786342</v>
      </c>
      <c r="N189" s="843">
        <v>0.71173388679650107</v>
      </c>
      <c r="O189" s="841"/>
      <c r="P189" s="842">
        <v>311.78142032332568</v>
      </c>
      <c r="Q189" s="843">
        <v>0.73995101752867587</v>
      </c>
      <c r="R189" s="841"/>
      <c r="S189" s="842">
        <v>336.03080472102891</v>
      </c>
      <c r="T189" s="843">
        <v>0.75871920719510333</v>
      </c>
      <c r="U189" s="841"/>
      <c r="V189" s="842">
        <v>360.97342541436467</v>
      </c>
      <c r="W189" s="843">
        <v>0.75612753819896372</v>
      </c>
      <c r="X189" s="841"/>
      <c r="Y189" s="842">
        <v>353.29091807909464</v>
      </c>
      <c r="Z189" s="843">
        <v>0.69289925553503384</v>
      </c>
      <c r="AA189" s="841"/>
      <c r="AB189" s="842">
        <v>379.41678195488709</v>
      </c>
      <c r="AC189" s="843">
        <v>0.69826313563325704</v>
      </c>
      <c r="AD189" s="841"/>
      <c r="AE189" s="842">
        <v>332.87969230769232</v>
      </c>
      <c r="AF189" s="843">
        <v>0.68626482076432527</v>
      </c>
      <c r="AG189" s="841"/>
      <c r="AH189" s="842">
        <v>303.81361638361642</v>
      </c>
      <c r="AI189" s="843">
        <v>0.68522882756177428</v>
      </c>
      <c r="AJ189" s="841"/>
      <c r="AK189" s="842">
        <v>261.05699588477364</v>
      </c>
      <c r="AL189" s="843">
        <v>0.7288457208494219</v>
      </c>
      <c r="AM189" s="841"/>
      <c r="AN189" s="842">
        <v>307.09280657395703</v>
      </c>
      <c r="AO189" s="843">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153688.8599999999</v>
      </c>
      <c r="E191" s="760">
        <v>29772.999999999953</v>
      </c>
      <c r="F191" s="822">
        <v>0</v>
      </c>
      <c r="G191" s="845">
        <v>13993.6899999999</v>
      </c>
      <c r="H191" s="773">
        <v>2908.0899999999901</v>
      </c>
      <c r="I191" s="822">
        <v>0</v>
      </c>
      <c r="J191" s="845">
        <v>15319.49</v>
      </c>
      <c r="K191" s="773">
        <v>3499.79</v>
      </c>
      <c r="L191" s="822">
        <v>0</v>
      </c>
      <c r="M191" s="845">
        <v>13379.64</v>
      </c>
      <c r="N191" s="773">
        <v>2737.98</v>
      </c>
      <c r="O191" s="822">
        <v>0</v>
      </c>
      <c r="P191" s="845">
        <v>10677.2</v>
      </c>
      <c r="Q191" s="773">
        <v>345.05000000000098</v>
      </c>
      <c r="R191" s="822">
        <v>0</v>
      </c>
      <c r="S191" s="845">
        <v>11573.04</v>
      </c>
      <c r="T191" s="773">
        <v>1454.89</v>
      </c>
      <c r="U191" s="822">
        <v>0</v>
      </c>
      <c r="V191" s="845">
        <v>11169.3</v>
      </c>
      <c r="W191" s="773">
        <v>2446.3999999999901</v>
      </c>
      <c r="X191" s="822">
        <v>0</v>
      </c>
      <c r="Y191" s="845">
        <v>13313.75</v>
      </c>
      <c r="Z191" s="773">
        <v>2687.7799999999902</v>
      </c>
      <c r="AA191" s="822">
        <v>0</v>
      </c>
      <c r="AB191" s="845">
        <v>14003.68</v>
      </c>
      <c r="AC191" s="773">
        <v>2238.2399999999998</v>
      </c>
      <c r="AD191" s="822">
        <v>0</v>
      </c>
      <c r="AE191" s="845">
        <v>12633.65</v>
      </c>
      <c r="AF191" s="773">
        <v>2733.9</v>
      </c>
      <c r="AG191" s="822">
        <v>0</v>
      </c>
      <c r="AH191" s="845">
        <v>12600.7</v>
      </c>
      <c r="AI191" s="773">
        <v>2662.37</v>
      </c>
      <c r="AJ191" s="822">
        <v>0</v>
      </c>
      <c r="AK191" s="845">
        <v>15124.4</v>
      </c>
      <c r="AL191" s="773">
        <v>3157.1899999999901</v>
      </c>
      <c r="AM191" s="822">
        <v>0</v>
      </c>
      <c r="AN191" s="845">
        <v>9900.32</v>
      </c>
      <c r="AO191" s="773">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0.19372256388654305</v>
      </c>
      <c r="F192" s="821"/>
      <c r="G192" s="832"/>
      <c r="H192" s="824">
        <v>0.20781437919519519</v>
      </c>
      <c r="I192" s="821"/>
      <c r="J192" s="832"/>
      <c r="K192" s="824">
        <v>0.22845342762715992</v>
      </c>
      <c r="L192" s="821"/>
      <c r="M192" s="832"/>
      <c r="N192" s="824">
        <v>0.20463779294510168</v>
      </c>
      <c r="O192" s="821"/>
      <c r="P192" s="832"/>
      <c r="Q192" s="824">
        <v>3.2316524931630106E-2</v>
      </c>
      <c r="R192" s="821"/>
      <c r="S192" s="832"/>
      <c r="T192" s="824">
        <v>0.12571372776729364</v>
      </c>
      <c r="U192" s="821"/>
      <c r="V192" s="832"/>
      <c r="W192" s="824">
        <v>0.21902894541287191</v>
      </c>
      <c r="X192" s="821"/>
      <c r="Y192" s="832"/>
      <c r="Z192" s="824">
        <v>0.201880011266547</v>
      </c>
      <c r="AA192" s="821"/>
      <c r="AB192" s="832"/>
      <c r="AC192" s="824">
        <v>0.159832272659758</v>
      </c>
      <c r="AD192" s="821"/>
      <c r="AE192" s="832"/>
      <c r="AF192" s="824">
        <v>0.21639826970036372</v>
      </c>
      <c r="AG192" s="821"/>
      <c r="AH192" s="832"/>
      <c r="AI192" s="824">
        <v>0.21128746815653096</v>
      </c>
      <c r="AJ192" s="821"/>
      <c r="AK192" s="832"/>
      <c r="AL192" s="824">
        <v>0.20874811562772672</v>
      </c>
      <c r="AM192" s="821"/>
      <c r="AN192" s="832"/>
      <c r="AO192" s="824">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361</v>
      </c>
      <c r="D194" s="846">
        <v>67720.11</v>
      </c>
      <c r="E194" s="784">
        <v>48459.05</v>
      </c>
      <c r="F194" s="830">
        <v>0</v>
      </c>
      <c r="G194" s="847">
        <v>0</v>
      </c>
      <c r="H194" s="785">
        <v>0</v>
      </c>
      <c r="I194" s="830">
        <v>0</v>
      </c>
      <c r="J194" s="847">
        <v>0</v>
      </c>
      <c r="K194" s="785">
        <v>0</v>
      </c>
      <c r="L194" s="830">
        <v>0</v>
      </c>
      <c r="M194" s="847">
        <v>0</v>
      </c>
      <c r="N194" s="785">
        <v>0</v>
      </c>
      <c r="O194" s="830">
        <v>0</v>
      </c>
      <c r="P194" s="847">
        <v>0</v>
      </c>
      <c r="Q194" s="785">
        <v>0</v>
      </c>
      <c r="R194" s="830">
        <v>0</v>
      </c>
      <c r="S194" s="847">
        <v>0</v>
      </c>
      <c r="T194" s="785">
        <v>0</v>
      </c>
      <c r="U194" s="830">
        <v>0</v>
      </c>
      <c r="V194" s="847">
        <v>0</v>
      </c>
      <c r="W194" s="785">
        <v>0</v>
      </c>
      <c r="X194" s="830">
        <v>37</v>
      </c>
      <c r="Y194" s="847">
        <v>6269.36</v>
      </c>
      <c r="Z194" s="785">
        <v>4401.66</v>
      </c>
      <c r="AA194" s="830">
        <v>67</v>
      </c>
      <c r="AB194" s="847">
        <v>10767.44</v>
      </c>
      <c r="AC194" s="785">
        <v>7120.63</v>
      </c>
      <c r="AD194" s="830">
        <v>72</v>
      </c>
      <c r="AE194" s="847">
        <v>12594.24</v>
      </c>
      <c r="AF194" s="785">
        <v>8569.1299999999992</v>
      </c>
      <c r="AG194" s="830">
        <v>63</v>
      </c>
      <c r="AH194" s="847">
        <v>12649.56</v>
      </c>
      <c r="AI194" s="785">
        <v>9369.09</v>
      </c>
      <c r="AJ194" s="830">
        <v>58</v>
      </c>
      <c r="AK194" s="847">
        <v>12814.91</v>
      </c>
      <c r="AL194" s="785">
        <v>9705.07</v>
      </c>
      <c r="AM194" s="830">
        <v>64</v>
      </c>
      <c r="AN194" s="847">
        <v>12624.6</v>
      </c>
      <c r="AO194" s="785">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0.71557843010001021</v>
      </c>
      <c r="F195" s="825"/>
      <c r="G195" s="848"/>
      <c r="H195" s="827">
        <v>0</v>
      </c>
      <c r="I195" s="825"/>
      <c r="J195" s="848"/>
      <c r="K195" s="827">
        <v>0</v>
      </c>
      <c r="L195" s="825"/>
      <c r="M195" s="848"/>
      <c r="N195" s="827">
        <v>0</v>
      </c>
      <c r="O195" s="825"/>
      <c r="P195" s="848"/>
      <c r="Q195" s="827">
        <v>0</v>
      </c>
      <c r="R195" s="825"/>
      <c r="S195" s="848"/>
      <c r="T195" s="827">
        <v>0</v>
      </c>
      <c r="U195" s="825"/>
      <c r="V195" s="848"/>
      <c r="W195" s="827">
        <v>0</v>
      </c>
      <c r="X195" s="825"/>
      <c r="Y195" s="848"/>
      <c r="Z195" s="827">
        <v>0.70209080352699482</v>
      </c>
      <c r="AA195" s="825"/>
      <c r="AB195" s="848"/>
      <c r="AC195" s="827">
        <v>0.66131132376869528</v>
      </c>
      <c r="AD195" s="825"/>
      <c r="AE195" s="848"/>
      <c r="AF195" s="827">
        <v>0.68040072287013742</v>
      </c>
      <c r="AG195" s="825"/>
      <c r="AH195" s="848"/>
      <c r="AI195" s="827">
        <v>0.74066528796258535</v>
      </c>
      <c r="AJ195" s="825"/>
      <c r="AK195" s="848"/>
      <c r="AL195" s="827">
        <v>0.75732642679503792</v>
      </c>
      <c r="AM195" s="825"/>
      <c r="AN195" s="848"/>
      <c r="AO195" s="827">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61"/>
      <c r="D197" s="852">
        <v>3248045.7199999965</v>
      </c>
      <c r="E197" s="763">
        <v>2231606.9699999969</v>
      </c>
      <c r="F197" s="761"/>
      <c r="G197" s="852">
        <v>181042.81999999989</v>
      </c>
      <c r="H197" s="763">
        <v>117377.24999999999</v>
      </c>
      <c r="I197" s="761"/>
      <c r="J197" s="852">
        <v>174559.06999999998</v>
      </c>
      <c r="K197" s="763">
        <v>107834.02999999997</v>
      </c>
      <c r="L197" s="761"/>
      <c r="M197" s="852">
        <v>201099.44999999902</v>
      </c>
      <c r="N197" s="763">
        <v>136344.53</v>
      </c>
      <c r="O197" s="761"/>
      <c r="P197" s="852">
        <v>280679.91000000003</v>
      </c>
      <c r="Q197" s="763">
        <v>200133.83</v>
      </c>
      <c r="R197" s="761"/>
      <c r="S197" s="852">
        <v>324753.74999999895</v>
      </c>
      <c r="T197" s="763">
        <v>239071.10999999879</v>
      </c>
      <c r="U197" s="761"/>
      <c r="V197" s="852">
        <v>272514.06</v>
      </c>
      <c r="W197" s="763">
        <v>200056.36999999901</v>
      </c>
      <c r="X197" s="761"/>
      <c r="Y197" s="852">
        <v>269713.07999999903</v>
      </c>
      <c r="Z197" s="763">
        <v>180404.30999999968</v>
      </c>
      <c r="AA197" s="761"/>
      <c r="AB197" s="852">
        <v>277083.27999999991</v>
      </c>
      <c r="AC197" s="763">
        <v>185539.15</v>
      </c>
      <c r="AD197" s="761"/>
      <c r="AE197" s="852">
        <v>263236.87</v>
      </c>
      <c r="AF197" s="763">
        <v>174640.21999999988</v>
      </c>
      <c r="AG197" s="761"/>
      <c r="AH197" s="852">
        <v>329367.69000000006</v>
      </c>
      <c r="AI197" s="763">
        <v>220421.49</v>
      </c>
      <c r="AJ197" s="761"/>
      <c r="AK197" s="852">
        <v>408560.41</v>
      </c>
      <c r="AL197" s="763">
        <v>290276.31999999989</v>
      </c>
      <c r="AM197" s="761"/>
      <c r="AN197" s="852">
        <v>265435.33</v>
      </c>
      <c r="AO197" s="763">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4"/>
      <c r="D198" s="765"/>
      <c r="E198" s="853">
        <v>0.68706144013268367</v>
      </c>
      <c r="F198" s="764"/>
      <c r="G198" s="765"/>
      <c r="H198" s="853">
        <v>0.64833971322364536</v>
      </c>
      <c r="I198" s="764"/>
      <c r="J198" s="765"/>
      <c r="K198" s="853">
        <v>0.61775094241737183</v>
      </c>
      <c r="L198" s="764"/>
      <c r="M198" s="765"/>
      <c r="N198" s="853">
        <v>0.6779955390231085</v>
      </c>
      <c r="O198" s="764"/>
      <c r="P198" s="765"/>
      <c r="Q198" s="853">
        <v>0.71303225799096193</v>
      </c>
      <c r="R198" s="764"/>
      <c r="S198" s="765"/>
      <c r="T198" s="853">
        <v>0.7361611990623651</v>
      </c>
      <c r="U198" s="764"/>
      <c r="V198" s="765"/>
      <c r="W198" s="853">
        <v>0.73411393892850518</v>
      </c>
      <c r="X198" s="764"/>
      <c r="Y198" s="765"/>
      <c r="Z198" s="853">
        <v>0.66887490217382239</v>
      </c>
      <c r="AA198" s="764"/>
      <c r="AB198" s="765"/>
      <c r="AC198" s="853">
        <v>0.66961510633193044</v>
      </c>
      <c r="AD198" s="764"/>
      <c r="AE198" s="765"/>
      <c r="AF198" s="853">
        <v>0.66343373555535701</v>
      </c>
      <c r="AG198" s="764"/>
      <c r="AH198" s="765"/>
      <c r="AI198" s="853">
        <v>0.66922620734292415</v>
      </c>
      <c r="AJ198" s="764"/>
      <c r="AK198" s="765"/>
      <c r="AL198" s="853">
        <v>0.71048567823788877</v>
      </c>
      <c r="AM198" s="764"/>
      <c r="AN198" s="765"/>
      <c r="AO198" s="853">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138678.93999999997</v>
      </c>
      <c r="F201" s="749"/>
      <c r="G201" s="759"/>
      <c r="H201" s="773">
        <v>9975.99</v>
      </c>
      <c r="I201" s="749"/>
      <c r="J201" s="759"/>
      <c r="K201" s="773">
        <v>4892.75</v>
      </c>
      <c r="L201" s="749"/>
      <c r="M201" s="759"/>
      <c r="N201" s="773">
        <v>6801.06</v>
      </c>
      <c r="O201" s="749"/>
      <c r="P201" s="759"/>
      <c r="Q201" s="773">
        <v>6865.75</v>
      </c>
      <c r="R201" s="749"/>
      <c r="S201" s="759"/>
      <c r="T201" s="773">
        <v>16331.68</v>
      </c>
      <c r="U201" s="749"/>
      <c r="V201" s="759"/>
      <c r="W201" s="773">
        <v>10048.370000000001</v>
      </c>
      <c r="X201" s="749"/>
      <c r="Y201" s="759"/>
      <c r="Z201" s="773">
        <v>15471.14</v>
      </c>
      <c r="AA201" s="749"/>
      <c r="AB201" s="759"/>
      <c r="AC201" s="773">
        <v>8860.06</v>
      </c>
      <c r="AD201" s="749"/>
      <c r="AE201" s="759"/>
      <c r="AF201" s="773">
        <v>11257.65</v>
      </c>
      <c r="AG201" s="749"/>
      <c r="AH201" s="759"/>
      <c r="AI201" s="773">
        <v>8835.52</v>
      </c>
      <c r="AJ201" s="749"/>
      <c r="AK201" s="759"/>
      <c r="AL201" s="773">
        <v>20516.509999999998</v>
      </c>
      <c r="AM201" s="749"/>
      <c r="AN201" s="759"/>
      <c r="AO201" s="773">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87087.040000000008</v>
      </c>
      <c r="F202" s="749"/>
      <c r="G202" s="759"/>
      <c r="H202" s="773">
        <v>6224.23</v>
      </c>
      <c r="I202" s="749"/>
      <c r="J202" s="759"/>
      <c r="K202" s="773">
        <v>6776.61</v>
      </c>
      <c r="L202" s="749"/>
      <c r="M202" s="759"/>
      <c r="N202" s="773">
        <v>6148.97</v>
      </c>
      <c r="O202" s="749"/>
      <c r="P202" s="759"/>
      <c r="Q202" s="773">
        <v>6119.29</v>
      </c>
      <c r="R202" s="749"/>
      <c r="S202" s="759"/>
      <c r="T202" s="773">
        <v>7247.63</v>
      </c>
      <c r="U202" s="749"/>
      <c r="V202" s="759"/>
      <c r="W202" s="773">
        <v>4392.7299999999996</v>
      </c>
      <c r="X202" s="749"/>
      <c r="Y202" s="759"/>
      <c r="Z202" s="773">
        <v>7065.61</v>
      </c>
      <c r="AA202" s="749"/>
      <c r="AB202" s="759"/>
      <c r="AC202" s="773">
        <v>8762.59</v>
      </c>
      <c r="AD202" s="749"/>
      <c r="AE202" s="759"/>
      <c r="AF202" s="773">
        <v>9437.7800000000007</v>
      </c>
      <c r="AG202" s="749"/>
      <c r="AH202" s="759"/>
      <c r="AI202" s="773">
        <v>8026.69</v>
      </c>
      <c r="AJ202" s="749"/>
      <c r="AK202" s="759"/>
      <c r="AL202" s="773">
        <v>8125.49</v>
      </c>
      <c r="AM202" s="749"/>
      <c r="AN202" s="759"/>
      <c r="AO202" s="773">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170123.82</v>
      </c>
      <c r="F203" s="782"/>
      <c r="G203" s="783"/>
      <c r="H203" s="785">
        <v>4806.96</v>
      </c>
      <c r="I203" s="782"/>
      <c r="J203" s="783"/>
      <c r="K203" s="785">
        <v>11006.09</v>
      </c>
      <c r="L203" s="782"/>
      <c r="M203" s="783"/>
      <c r="N203" s="785">
        <v>6650.9</v>
      </c>
      <c r="O203" s="782"/>
      <c r="P203" s="783"/>
      <c r="Q203" s="785">
        <v>10219.44</v>
      </c>
      <c r="R203" s="782"/>
      <c r="S203" s="783"/>
      <c r="T203" s="785">
        <v>11269.4</v>
      </c>
      <c r="U203" s="782"/>
      <c r="V203" s="783"/>
      <c r="W203" s="785">
        <v>4935.46</v>
      </c>
      <c r="X203" s="782"/>
      <c r="Y203" s="783"/>
      <c r="Z203" s="785">
        <v>5232</v>
      </c>
      <c r="AA203" s="782"/>
      <c r="AB203" s="783"/>
      <c r="AC203" s="785">
        <v>3894</v>
      </c>
      <c r="AD203" s="782"/>
      <c r="AE203" s="783"/>
      <c r="AF203" s="785">
        <v>22744.12</v>
      </c>
      <c r="AG203" s="782"/>
      <c r="AH203" s="783"/>
      <c r="AI203" s="785">
        <v>18675.060000000001</v>
      </c>
      <c r="AJ203" s="782"/>
      <c r="AK203" s="783"/>
      <c r="AL203" s="785">
        <v>49361.41</v>
      </c>
      <c r="AM203" s="782"/>
      <c r="AN203" s="783"/>
      <c r="AO203" s="785">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338254.12</v>
      </c>
      <c r="F204" s="749"/>
      <c r="G204" s="759"/>
      <c r="H204" s="773">
        <v>27507.4</v>
      </c>
      <c r="I204" s="749"/>
      <c r="J204" s="759"/>
      <c r="K204" s="773">
        <v>19052.349999999999</v>
      </c>
      <c r="L204" s="749"/>
      <c r="M204" s="759"/>
      <c r="N204" s="773">
        <v>29586.65</v>
      </c>
      <c r="O204" s="749"/>
      <c r="P204" s="759"/>
      <c r="Q204" s="773">
        <v>30326</v>
      </c>
      <c r="R204" s="749"/>
      <c r="S204" s="759"/>
      <c r="T204" s="773">
        <v>30365.98</v>
      </c>
      <c r="U204" s="749"/>
      <c r="V204" s="759"/>
      <c r="W204" s="773">
        <v>33595.35</v>
      </c>
      <c r="X204" s="749"/>
      <c r="Y204" s="759"/>
      <c r="Z204" s="773">
        <v>23983.360000000001</v>
      </c>
      <c r="AA204" s="749"/>
      <c r="AB204" s="759"/>
      <c r="AC204" s="773">
        <v>23569.11</v>
      </c>
      <c r="AD204" s="749"/>
      <c r="AE204" s="759"/>
      <c r="AF204" s="773">
        <v>28337.21</v>
      </c>
      <c r="AG204" s="749"/>
      <c r="AH204" s="759"/>
      <c r="AI204" s="773">
        <v>34817.24</v>
      </c>
      <c r="AJ204" s="749"/>
      <c r="AK204" s="759"/>
      <c r="AL204" s="773">
        <v>20706.29</v>
      </c>
      <c r="AM204" s="749"/>
      <c r="AN204" s="759"/>
      <c r="AO204" s="773">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197825.93999999997</v>
      </c>
      <c r="F208" s="749"/>
      <c r="G208" s="759"/>
      <c r="H208" s="773">
        <v>20436.990000000002</v>
      </c>
      <c r="I208" s="749"/>
      <c r="J208" s="759"/>
      <c r="K208" s="773">
        <v>11116.91</v>
      </c>
      <c r="L208" s="749"/>
      <c r="M208" s="759"/>
      <c r="N208" s="773">
        <v>17570.07</v>
      </c>
      <c r="O208" s="749"/>
      <c r="P208" s="759"/>
      <c r="Q208" s="773">
        <v>15596.8</v>
      </c>
      <c r="R208" s="749"/>
      <c r="S208" s="759"/>
      <c r="T208" s="773">
        <v>20039.23</v>
      </c>
      <c r="U208" s="749"/>
      <c r="V208" s="759"/>
      <c r="W208" s="773">
        <v>17366.91</v>
      </c>
      <c r="X208" s="749"/>
      <c r="Y208" s="759"/>
      <c r="Z208" s="773">
        <v>16870.189999999999</v>
      </c>
      <c r="AA208" s="749"/>
      <c r="AB208" s="759"/>
      <c r="AC208" s="773">
        <v>14383.58</v>
      </c>
      <c r="AD208" s="749"/>
      <c r="AE208" s="759"/>
      <c r="AF208" s="773">
        <v>17917.86</v>
      </c>
      <c r="AG208" s="749"/>
      <c r="AH208" s="759"/>
      <c r="AI208" s="773">
        <v>20926.18</v>
      </c>
      <c r="AJ208" s="749"/>
      <c r="AK208" s="759"/>
      <c r="AL208" s="773">
        <v>11221.96</v>
      </c>
      <c r="AM208" s="749"/>
      <c r="AN208" s="759"/>
      <c r="AO208" s="773">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238785.46</v>
      </c>
      <c r="F209" s="782"/>
      <c r="G209" s="783"/>
      <c r="H209" s="785">
        <v>19677.78</v>
      </c>
      <c r="I209" s="782"/>
      <c r="J209" s="783"/>
      <c r="K209" s="785">
        <v>17388.43</v>
      </c>
      <c r="L209" s="782"/>
      <c r="M209" s="783"/>
      <c r="N209" s="785">
        <v>18915.009999999998</v>
      </c>
      <c r="O209" s="782"/>
      <c r="P209" s="783"/>
      <c r="Q209" s="785">
        <v>19500.03</v>
      </c>
      <c r="R209" s="782"/>
      <c r="S209" s="783"/>
      <c r="T209" s="785">
        <v>20335.98</v>
      </c>
      <c r="U209" s="782"/>
      <c r="V209" s="783"/>
      <c r="W209" s="785">
        <v>16373.82</v>
      </c>
      <c r="X209" s="782"/>
      <c r="Y209" s="783"/>
      <c r="Z209" s="785">
        <v>20788.66</v>
      </c>
      <c r="AA209" s="782"/>
      <c r="AB209" s="783"/>
      <c r="AC209" s="785">
        <v>18817.25</v>
      </c>
      <c r="AD209" s="782"/>
      <c r="AE209" s="783"/>
      <c r="AF209" s="785">
        <v>17844.88</v>
      </c>
      <c r="AG209" s="782"/>
      <c r="AH209" s="783"/>
      <c r="AI209" s="785">
        <v>21642.75</v>
      </c>
      <c r="AJ209" s="782"/>
      <c r="AK209" s="783"/>
      <c r="AL209" s="785">
        <v>22418.080000000002</v>
      </c>
      <c r="AM209" s="782"/>
      <c r="AN209" s="783"/>
      <c r="AO209" s="785">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133124.79</v>
      </c>
      <c r="F210" s="749"/>
      <c r="G210" s="759"/>
      <c r="H210" s="773">
        <v>10850.44</v>
      </c>
      <c r="I210" s="749"/>
      <c r="J210" s="759"/>
      <c r="K210" s="773">
        <v>10001.790000000001</v>
      </c>
      <c r="L210" s="749"/>
      <c r="M210" s="759"/>
      <c r="N210" s="773">
        <v>11491.31</v>
      </c>
      <c r="O210" s="749"/>
      <c r="P210" s="759"/>
      <c r="Q210" s="773">
        <v>10358.59</v>
      </c>
      <c r="R210" s="749"/>
      <c r="S210" s="759"/>
      <c r="T210" s="773">
        <v>11033.41</v>
      </c>
      <c r="U210" s="749"/>
      <c r="V210" s="759"/>
      <c r="W210" s="773">
        <v>11498.83</v>
      </c>
      <c r="X210" s="749"/>
      <c r="Y210" s="759"/>
      <c r="Z210" s="773">
        <v>10049.94</v>
      </c>
      <c r="AA210" s="749"/>
      <c r="AB210" s="759"/>
      <c r="AC210" s="773">
        <v>8987.86</v>
      </c>
      <c r="AD210" s="749"/>
      <c r="AE210" s="759"/>
      <c r="AF210" s="773">
        <v>11268.55</v>
      </c>
      <c r="AG210" s="749"/>
      <c r="AH210" s="759"/>
      <c r="AI210" s="773">
        <v>12794.84</v>
      </c>
      <c r="AJ210" s="749"/>
      <c r="AK210" s="759"/>
      <c r="AL210" s="773">
        <v>10662.57</v>
      </c>
      <c r="AM210" s="749"/>
      <c r="AN210" s="759"/>
      <c r="AO210" s="773">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52334.76</v>
      </c>
      <c r="F211" s="749"/>
      <c r="G211" s="759"/>
      <c r="H211" s="773">
        <v>3284.48</v>
      </c>
      <c r="I211" s="749"/>
      <c r="J211" s="759"/>
      <c r="K211" s="773">
        <v>2876.05</v>
      </c>
      <c r="L211" s="749"/>
      <c r="M211" s="759"/>
      <c r="N211" s="773">
        <v>3268.14</v>
      </c>
      <c r="O211" s="749"/>
      <c r="P211" s="759"/>
      <c r="Q211" s="773">
        <v>3311.66</v>
      </c>
      <c r="R211" s="749"/>
      <c r="S211" s="759"/>
      <c r="T211" s="773">
        <v>3472.88</v>
      </c>
      <c r="U211" s="749"/>
      <c r="V211" s="759"/>
      <c r="W211" s="773">
        <v>5572.29</v>
      </c>
      <c r="X211" s="749"/>
      <c r="Y211" s="759"/>
      <c r="Z211" s="773">
        <v>3934.27</v>
      </c>
      <c r="AA211" s="749"/>
      <c r="AB211" s="759"/>
      <c r="AC211" s="773">
        <v>6530.55</v>
      </c>
      <c r="AD211" s="749"/>
      <c r="AE211" s="759"/>
      <c r="AF211" s="773">
        <v>5954.05</v>
      </c>
      <c r="AG211" s="749"/>
      <c r="AH211" s="759"/>
      <c r="AI211" s="773">
        <v>4122.1000000000004</v>
      </c>
      <c r="AJ211" s="749"/>
      <c r="AK211" s="759"/>
      <c r="AL211" s="773">
        <v>4648.37</v>
      </c>
      <c r="AM211" s="749"/>
      <c r="AN211" s="759"/>
      <c r="AO211" s="773">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0.60773016406199953</v>
      </c>
      <c r="E213" s="781">
        <v>1356214.8699999999</v>
      </c>
      <c r="F213" s="779" t="s">
        <v>175</v>
      </c>
      <c r="G213" s="780">
        <v>0.87550415433995954</v>
      </c>
      <c r="H213" s="781">
        <v>102764.27</v>
      </c>
      <c r="I213" s="779" t="s">
        <v>175</v>
      </c>
      <c r="J213" s="780">
        <v>0.77073053840239536</v>
      </c>
      <c r="K213" s="781">
        <v>83110.980000000025</v>
      </c>
      <c r="L213" s="779" t="s">
        <v>175</v>
      </c>
      <c r="M213" s="780">
        <v>0.73660534823069168</v>
      </c>
      <c r="N213" s="781">
        <v>100432.10999999999</v>
      </c>
      <c r="O213" s="779" t="s">
        <v>175</v>
      </c>
      <c r="P213" s="780">
        <v>0.51114576681013901</v>
      </c>
      <c r="Q213" s="781">
        <v>102297.56</v>
      </c>
      <c r="R213" s="779" t="s">
        <v>175</v>
      </c>
      <c r="S213" s="780">
        <v>0.50234505541050367</v>
      </c>
      <c r="T213" s="781">
        <v>120096.19</v>
      </c>
      <c r="U213" s="779" t="s">
        <v>175</v>
      </c>
      <c r="V213" s="780">
        <v>0.51877258394721715</v>
      </c>
      <c r="W213" s="781">
        <v>103783.76000000001</v>
      </c>
      <c r="X213" s="779" t="s">
        <v>175</v>
      </c>
      <c r="Y213" s="780">
        <v>0.57313026501417952</v>
      </c>
      <c r="Z213" s="781">
        <v>103395.17000000001</v>
      </c>
      <c r="AA213" s="779" t="s">
        <v>175</v>
      </c>
      <c r="AB213" s="780">
        <v>0.505580628131583</v>
      </c>
      <c r="AC213" s="781">
        <v>93805</v>
      </c>
      <c r="AD213" s="779" t="s">
        <v>175</v>
      </c>
      <c r="AE213" s="780">
        <v>0.71439500018953306</v>
      </c>
      <c r="AF213" s="781">
        <v>124762.10000000002</v>
      </c>
      <c r="AG213" s="779" t="s">
        <v>175</v>
      </c>
      <c r="AH213" s="780">
        <v>0.58905499640711079</v>
      </c>
      <c r="AI213" s="781">
        <v>129840.38</v>
      </c>
      <c r="AJ213" s="779" t="s">
        <v>175</v>
      </c>
      <c r="AK213" s="780">
        <v>0.50869006469421985</v>
      </c>
      <c r="AL213" s="781">
        <v>147660.68</v>
      </c>
      <c r="AM213" s="779" t="s">
        <v>175</v>
      </c>
      <c r="AN213" s="780">
        <v>0.80367660871059221</v>
      </c>
      <c r="AO213" s="781">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130898.63999999998</v>
      </c>
      <c r="F214" s="749"/>
      <c r="G214" s="759"/>
      <c r="H214" s="773">
        <v>10730.64</v>
      </c>
      <c r="I214" s="749"/>
      <c r="J214" s="759"/>
      <c r="K214" s="773">
        <v>11330.17</v>
      </c>
      <c r="L214" s="749"/>
      <c r="M214" s="759"/>
      <c r="N214" s="773">
        <v>10144.01</v>
      </c>
      <c r="O214" s="749"/>
      <c r="P214" s="759"/>
      <c r="Q214" s="773">
        <v>11679.54</v>
      </c>
      <c r="R214" s="749"/>
      <c r="S214" s="759"/>
      <c r="T214" s="773">
        <v>9272.43</v>
      </c>
      <c r="U214" s="749"/>
      <c r="V214" s="759"/>
      <c r="W214" s="773">
        <v>11043.03</v>
      </c>
      <c r="X214" s="749"/>
      <c r="Y214" s="759"/>
      <c r="Z214" s="773">
        <v>12593.62</v>
      </c>
      <c r="AA214" s="749"/>
      <c r="AB214" s="759"/>
      <c r="AC214" s="773">
        <v>11909.29</v>
      </c>
      <c r="AD214" s="749"/>
      <c r="AE214" s="759"/>
      <c r="AF214" s="773">
        <v>10155.48</v>
      </c>
      <c r="AG214" s="749"/>
      <c r="AH214" s="759"/>
      <c r="AI214" s="773">
        <v>9632.07</v>
      </c>
      <c r="AJ214" s="749"/>
      <c r="AK214" s="759"/>
      <c r="AL214" s="773">
        <v>11066.65</v>
      </c>
      <c r="AM214" s="749"/>
      <c r="AN214" s="759"/>
      <c r="AO214" s="773">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53458.459999999977</v>
      </c>
      <c r="F215" s="749"/>
      <c r="G215" s="759"/>
      <c r="H215" s="773">
        <v>-1490.82</v>
      </c>
      <c r="I215" s="749"/>
      <c r="J215" s="759"/>
      <c r="K215" s="773">
        <v>2508.5299999999902</v>
      </c>
      <c r="L215" s="749"/>
      <c r="M215" s="759"/>
      <c r="N215" s="773">
        <v>2340</v>
      </c>
      <c r="O215" s="749"/>
      <c r="P215" s="759"/>
      <c r="Q215" s="773">
        <v>4362.38</v>
      </c>
      <c r="R215" s="749"/>
      <c r="S215" s="759"/>
      <c r="T215" s="773">
        <v>3846.09</v>
      </c>
      <c r="U215" s="749"/>
      <c r="V215" s="759"/>
      <c r="W215" s="773">
        <v>4858.63</v>
      </c>
      <c r="X215" s="749"/>
      <c r="Y215" s="759"/>
      <c r="Z215" s="773">
        <v>4847.43</v>
      </c>
      <c r="AA215" s="749"/>
      <c r="AB215" s="759"/>
      <c r="AC215" s="773">
        <v>6855.65</v>
      </c>
      <c r="AD215" s="749"/>
      <c r="AE215" s="759"/>
      <c r="AF215" s="773">
        <v>5835.12</v>
      </c>
      <c r="AG215" s="749"/>
      <c r="AH215" s="759"/>
      <c r="AI215" s="773">
        <v>7925.8499999999904</v>
      </c>
      <c r="AJ215" s="749"/>
      <c r="AK215" s="759"/>
      <c r="AL215" s="773">
        <v>9363.8799999999901</v>
      </c>
      <c r="AM215" s="749"/>
      <c r="AN215" s="759"/>
      <c r="AO215" s="773">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154655.71</v>
      </c>
      <c r="F216" s="778"/>
      <c r="G216" s="786"/>
      <c r="H216" s="777">
        <v>11086.63</v>
      </c>
      <c r="I216" s="778"/>
      <c r="J216" s="786"/>
      <c r="K216" s="777">
        <v>8832.82</v>
      </c>
      <c r="L216" s="778"/>
      <c r="M216" s="786"/>
      <c r="N216" s="777">
        <v>12925.28</v>
      </c>
      <c r="O216" s="778"/>
      <c r="P216" s="786"/>
      <c r="Q216" s="777">
        <v>12465.7</v>
      </c>
      <c r="R216" s="778"/>
      <c r="S216" s="786"/>
      <c r="T216" s="777">
        <v>15091.41</v>
      </c>
      <c r="U216" s="778"/>
      <c r="V216" s="786"/>
      <c r="W216" s="777">
        <v>14198.73</v>
      </c>
      <c r="X216" s="778"/>
      <c r="Y216" s="786"/>
      <c r="Z216" s="777">
        <v>14517.16</v>
      </c>
      <c r="AA216" s="778"/>
      <c r="AB216" s="786"/>
      <c r="AC216" s="777">
        <v>9564.31</v>
      </c>
      <c r="AD216" s="778"/>
      <c r="AE216" s="786"/>
      <c r="AF216" s="777">
        <v>8344.8799999999992</v>
      </c>
      <c r="AG216" s="778"/>
      <c r="AH216" s="786"/>
      <c r="AI216" s="777">
        <v>11694.57</v>
      </c>
      <c r="AJ216" s="778"/>
      <c r="AK216" s="786"/>
      <c r="AL216" s="777">
        <v>16921.98</v>
      </c>
      <c r="AM216" s="778"/>
      <c r="AN216" s="786"/>
      <c r="AO216" s="777">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62213.120000000003</v>
      </c>
      <c r="F217" s="749"/>
      <c r="G217" s="759"/>
      <c r="H217" s="773">
        <v>4061.38</v>
      </c>
      <c r="I217" s="749"/>
      <c r="J217" s="759"/>
      <c r="K217" s="773">
        <v>4080.5</v>
      </c>
      <c r="L217" s="749"/>
      <c r="M217" s="759"/>
      <c r="N217" s="773">
        <v>4201</v>
      </c>
      <c r="O217" s="749"/>
      <c r="P217" s="759"/>
      <c r="Q217" s="773">
        <v>4576.83</v>
      </c>
      <c r="R217" s="749"/>
      <c r="S217" s="759"/>
      <c r="T217" s="773">
        <v>4404.96</v>
      </c>
      <c r="U217" s="749"/>
      <c r="V217" s="759"/>
      <c r="W217" s="773">
        <v>3979.91</v>
      </c>
      <c r="X217" s="749"/>
      <c r="Y217" s="759"/>
      <c r="Z217" s="773">
        <v>4994.3100000000004</v>
      </c>
      <c r="AA217" s="749"/>
      <c r="AB217" s="759"/>
      <c r="AC217" s="773">
        <v>4019.67</v>
      </c>
      <c r="AD217" s="749"/>
      <c r="AE217" s="759"/>
      <c r="AF217" s="773">
        <v>5085.4399999999996</v>
      </c>
      <c r="AG217" s="749"/>
      <c r="AH217" s="759"/>
      <c r="AI217" s="773">
        <v>10021.040000000001</v>
      </c>
      <c r="AJ217" s="749"/>
      <c r="AK217" s="759"/>
      <c r="AL217" s="773">
        <v>5124.75</v>
      </c>
      <c r="AM217" s="749"/>
      <c r="AN217" s="759"/>
      <c r="AO217" s="773">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19208.180000000004</v>
      </c>
      <c r="F218" s="749"/>
      <c r="G218" s="759"/>
      <c r="H218" s="773">
        <v>848.87</v>
      </c>
      <c r="I218" s="749"/>
      <c r="J218" s="759"/>
      <c r="K218" s="773">
        <v>1229.74</v>
      </c>
      <c r="L218" s="749"/>
      <c r="M218" s="759"/>
      <c r="N218" s="773">
        <v>1981.24</v>
      </c>
      <c r="O218" s="749"/>
      <c r="P218" s="759"/>
      <c r="Q218" s="773">
        <v>1653.06</v>
      </c>
      <c r="R218" s="749"/>
      <c r="S218" s="759"/>
      <c r="T218" s="773">
        <v>2432.6799999999998</v>
      </c>
      <c r="U218" s="749"/>
      <c r="V218" s="759"/>
      <c r="W218" s="773">
        <v>2116.58</v>
      </c>
      <c r="X218" s="749"/>
      <c r="Y218" s="759"/>
      <c r="Z218" s="773">
        <v>1758.01</v>
      </c>
      <c r="AA218" s="749"/>
      <c r="AB218" s="759"/>
      <c r="AC218" s="773">
        <v>1234.68</v>
      </c>
      <c r="AD218" s="749"/>
      <c r="AE218" s="759"/>
      <c r="AF218" s="773">
        <v>1896.44</v>
      </c>
      <c r="AG218" s="749"/>
      <c r="AH218" s="759"/>
      <c r="AI218" s="773">
        <v>1980.16</v>
      </c>
      <c r="AJ218" s="749"/>
      <c r="AK218" s="759"/>
      <c r="AL218" s="773">
        <v>1212.22</v>
      </c>
      <c r="AM218" s="749"/>
      <c r="AN218" s="759"/>
      <c r="AO218" s="773">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58171.479999999996</v>
      </c>
      <c r="F219" s="778"/>
      <c r="G219" s="786"/>
      <c r="H219" s="777">
        <v>2604.36</v>
      </c>
      <c r="I219" s="778"/>
      <c r="J219" s="786"/>
      <c r="K219" s="777">
        <v>3394.18</v>
      </c>
      <c r="L219" s="778"/>
      <c r="M219" s="786"/>
      <c r="N219" s="777">
        <v>2923.97</v>
      </c>
      <c r="O219" s="778"/>
      <c r="P219" s="786"/>
      <c r="Q219" s="777">
        <v>4098.16</v>
      </c>
      <c r="R219" s="778"/>
      <c r="S219" s="786"/>
      <c r="T219" s="777">
        <v>3220.42</v>
      </c>
      <c r="U219" s="778"/>
      <c r="V219" s="786"/>
      <c r="W219" s="777">
        <v>4130.46</v>
      </c>
      <c r="X219" s="778"/>
      <c r="Y219" s="786"/>
      <c r="Z219" s="777">
        <v>2838</v>
      </c>
      <c r="AA219" s="778"/>
      <c r="AB219" s="786"/>
      <c r="AC219" s="777">
        <v>1928.3</v>
      </c>
      <c r="AD219" s="778"/>
      <c r="AE219" s="786"/>
      <c r="AF219" s="777">
        <v>3260.09</v>
      </c>
      <c r="AG219" s="778"/>
      <c r="AH219" s="786"/>
      <c r="AI219" s="777">
        <v>8980.36</v>
      </c>
      <c r="AJ219" s="778"/>
      <c r="AK219" s="786"/>
      <c r="AL219" s="777">
        <v>11810.48</v>
      </c>
      <c r="AM219" s="778"/>
      <c r="AN219" s="786"/>
      <c r="AO219" s="777">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9"/>
      <c r="D221" s="759"/>
      <c r="E221" s="760">
        <v>80118.310000000012</v>
      </c>
      <c r="F221" s="749"/>
      <c r="G221" s="759"/>
      <c r="H221" s="773">
        <v>3871.25</v>
      </c>
      <c r="I221" s="749"/>
      <c r="J221" s="759"/>
      <c r="K221" s="773">
        <v>2302.6799999999998</v>
      </c>
      <c r="L221" s="749"/>
      <c r="M221" s="759"/>
      <c r="N221" s="773">
        <v>1992.75</v>
      </c>
      <c r="O221" s="749"/>
      <c r="P221" s="759"/>
      <c r="Q221" s="773">
        <v>8832.08</v>
      </c>
      <c r="R221" s="749"/>
      <c r="S221" s="759"/>
      <c r="T221" s="773">
        <v>5864</v>
      </c>
      <c r="U221" s="749"/>
      <c r="V221" s="759"/>
      <c r="W221" s="773">
        <v>4394.93</v>
      </c>
      <c r="X221" s="749"/>
      <c r="Y221" s="759"/>
      <c r="Z221" s="773">
        <v>8929.44</v>
      </c>
      <c r="AA221" s="749"/>
      <c r="AB221" s="759"/>
      <c r="AC221" s="773">
        <v>5618.51</v>
      </c>
      <c r="AD221" s="749"/>
      <c r="AE221" s="759"/>
      <c r="AF221" s="773">
        <v>10685.23</v>
      </c>
      <c r="AG221" s="749"/>
      <c r="AH221" s="759"/>
      <c r="AI221" s="773">
        <v>13015.97</v>
      </c>
      <c r="AJ221" s="749"/>
      <c r="AK221" s="759"/>
      <c r="AL221" s="773">
        <v>10655.23</v>
      </c>
      <c r="AM221" s="749"/>
      <c r="AN221" s="759"/>
      <c r="AO221" s="773">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9"/>
      <c r="D222" s="759"/>
      <c r="E222" s="760">
        <v>15312.959999999997</v>
      </c>
      <c r="F222" s="749"/>
      <c r="G222" s="759"/>
      <c r="H222" s="773">
        <v>5487.43</v>
      </c>
      <c r="I222" s="749"/>
      <c r="J222" s="759"/>
      <c r="K222" s="773">
        <v>860.45</v>
      </c>
      <c r="L222" s="749"/>
      <c r="M222" s="759"/>
      <c r="N222" s="773">
        <v>725.99</v>
      </c>
      <c r="O222" s="749"/>
      <c r="P222" s="759"/>
      <c r="Q222" s="773">
        <v>619.66999999999996</v>
      </c>
      <c r="R222" s="749"/>
      <c r="S222" s="759"/>
      <c r="T222" s="773">
        <v>822.42</v>
      </c>
      <c r="U222" s="749"/>
      <c r="V222" s="759"/>
      <c r="W222" s="773">
        <v>788.71</v>
      </c>
      <c r="X222" s="749"/>
      <c r="Y222" s="759"/>
      <c r="Z222" s="773">
        <v>1535.27</v>
      </c>
      <c r="AA222" s="749"/>
      <c r="AB222" s="759"/>
      <c r="AC222" s="773">
        <v>460.85</v>
      </c>
      <c r="AD222" s="749"/>
      <c r="AE222" s="759"/>
      <c r="AF222" s="773">
        <v>608.80999999999995</v>
      </c>
      <c r="AG222" s="749"/>
      <c r="AH222" s="759"/>
      <c r="AI222" s="773">
        <v>679.32</v>
      </c>
      <c r="AJ222" s="749"/>
      <c r="AK222" s="759"/>
      <c r="AL222" s="773">
        <v>1903.87</v>
      </c>
      <c r="AM222" s="749"/>
      <c r="AN222" s="759"/>
      <c r="AO222" s="773">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9"/>
      <c r="D223" s="759"/>
      <c r="E223" s="760">
        <v>11275.07</v>
      </c>
      <c r="F223" s="749"/>
      <c r="G223" s="759"/>
      <c r="H223" s="773">
        <v>290.82</v>
      </c>
      <c r="I223" s="749"/>
      <c r="J223" s="759"/>
      <c r="K223" s="773">
        <v>1711.96</v>
      </c>
      <c r="L223" s="749"/>
      <c r="M223" s="759"/>
      <c r="N223" s="773">
        <v>748.1</v>
      </c>
      <c r="O223" s="749"/>
      <c r="P223" s="759"/>
      <c r="Q223" s="773">
        <v>587.58000000000004</v>
      </c>
      <c r="R223" s="749"/>
      <c r="S223" s="759"/>
      <c r="T223" s="773">
        <v>660.28</v>
      </c>
      <c r="U223" s="749"/>
      <c r="V223" s="759"/>
      <c r="W223" s="773">
        <v>1170.8699999999999</v>
      </c>
      <c r="X223" s="749"/>
      <c r="Y223" s="759"/>
      <c r="Z223" s="773">
        <v>359.87</v>
      </c>
      <c r="AA223" s="749"/>
      <c r="AB223" s="759"/>
      <c r="AC223" s="773">
        <v>982.57</v>
      </c>
      <c r="AD223" s="749"/>
      <c r="AE223" s="759"/>
      <c r="AF223" s="773">
        <v>904.35</v>
      </c>
      <c r="AG223" s="749"/>
      <c r="AH223" s="759"/>
      <c r="AI223" s="773">
        <v>1502.42</v>
      </c>
      <c r="AJ223" s="749"/>
      <c r="AK223" s="759"/>
      <c r="AL223" s="773">
        <v>1549.31</v>
      </c>
      <c r="AM223" s="749"/>
      <c r="AN223" s="759"/>
      <c r="AO223" s="773">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9"/>
      <c r="D224" s="759"/>
      <c r="E224" s="760">
        <v>2320.3100000000004</v>
      </c>
      <c r="F224" s="749"/>
      <c r="G224" s="759"/>
      <c r="H224" s="773">
        <v>218.72</v>
      </c>
      <c r="I224" s="749"/>
      <c r="J224" s="759"/>
      <c r="K224" s="773">
        <v>118.95</v>
      </c>
      <c r="L224" s="749"/>
      <c r="M224" s="759"/>
      <c r="N224" s="773">
        <v>177.86</v>
      </c>
      <c r="O224" s="749"/>
      <c r="P224" s="759"/>
      <c r="Q224" s="773">
        <v>353.57</v>
      </c>
      <c r="R224" s="749"/>
      <c r="S224" s="759"/>
      <c r="T224" s="773">
        <v>247.88</v>
      </c>
      <c r="U224" s="749"/>
      <c r="V224" s="759"/>
      <c r="W224" s="773">
        <v>177.5</v>
      </c>
      <c r="X224" s="749"/>
      <c r="Y224" s="759"/>
      <c r="Z224" s="773">
        <v>248.63</v>
      </c>
      <c r="AA224" s="749"/>
      <c r="AB224" s="759"/>
      <c r="AC224" s="773">
        <v>222.93</v>
      </c>
      <c r="AD224" s="749"/>
      <c r="AE224" s="759"/>
      <c r="AF224" s="773">
        <v>129.49</v>
      </c>
      <c r="AG224" s="749"/>
      <c r="AH224" s="759"/>
      <c r="AI224" s="773">
        <v>115.96</v>
      </c>
      <c r="AJ224" s="749"/>
      <c r="AK224" s="759"/>
      <c r="AL224" s="773">
        <v>153.81</v>
      </c>
      <c r="AM224" s="749"/>
      <c r="AN224" s="759"/>
      <c r="AO224" s="773">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9"/>
      <c r="D225" s="759"/>
      <c r="E225" s="760">
        <v>1475.2500000000002</v>
      </c>
      <c r="F225" s="749"/>
      <c r="G225" s="759"/>
      <c r="H225" s="773">
        <v>76.69</v>
      </c>
      <c r="I225" s="749"/>
      <c r="J225" s="759"/>
      <c r="K225" s="773">
        <v>91.11</v>
      </c>
      <c r="L225" s="749"/>
      <c r="M225" s="759"/>
      <c r="N225" s="773">
        <v>63.74</v>
      </c>
      <c r="O225" s="749"/>
      <c r="P225" s="759"/>
      <c r="Q225" s="773">
        <v>371.82</v>
      </c>
      <c r="R225" s="749"/>
      <c r="S225" s="759"/>
      <c r="T225" s="773">
        <v>86.7</v>
      </c>
      <c r="U225" s="749"/>
      <c r="V225" s="759"/>
      <c r="W225" s="773">
        <v>-15.61</v>
      </c>
      <c r="X225" s="749"/>
      <c r="Y225" s="759"/>
      <c r="Z225" s="773">
        <v>97.59</v>
      </c>
      <c r="AA225" s="749"/>
      <c r="AB225" s="759"/>
      <c r="AC225" s="773">
        <v>77.650000000000006</v>
      </c>
      <c r="AD225" s="749"/>
      <c r="AE225" s="759"/>
      <c r="AF225" s="773">
        <v>100.09</v>
      </c>
      <c r="AG225" s="749"/>
      <c r="AH225" s="759"/>
      <c r="AI225" s="773">
        <v>203.61</v>
      </c>
      <c r="AJ225" s="749"/>
      <c r="AK225" s="759"/>
      <c r="AL225" s="773">
        <v>127.41</v>
      </c>
      <c r="AM225" s="749"/>
      <c r="AN225" s="759"/>
      <c r="AO225" s="773">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9"/>
      <c r="D226" s="759"/>
      <c r="E226" s="760">
        <v>1398.8899999999999</v>
      </c>
      <c r="F226" s="749"/>
      <c r="G226" s="759"/>
      <c r="H226" s="773">
        <v>425.28</v>
      </c>
      <c r="I226" s="749"/>
      <c r="J226" s="759"/>
      <c r="K226" s="773">
        <v>212.54</v>
      </c>
      <c r="L226" s="749"/>
      <c r="M226" s="759"/>
      <c r="N226" s="773">
        <v>49.72</v>
      </c>
      <c r="O226" s="749"/>
      <c r="P226" s="759"/>
      <c r="Q226" s="773">
        <v>163.63</v>
      </c>
      <c r="R226" s="749"/>
      <c r="S226" s="759"/>
      <c r="T226" s="773">
        <v>58.9</v>
      </c>
      <c r="U226" s="749"/>
      <c r="V226" s="759"/>
      <c r="W226" s="773">
        <v>83.51</v>
      </c>
      <c r="X226" s="749"/>
      <c r="Y226" s="759"/>
      <c r="Z226" s="773">
        <v>58.08</v>
      </c>
      <c r="AA226" s="749"/>
      <c r="AB226" s="759"/>
      <c r="AC226" s="773">
        <v>84.53</v>
      </c>
      <c r="AD226" s="749"/>
      <c r="AE226" s="759"/>
      <c r="AF226" s="773">
        <v>274.92</v>
      </c>
      <c r="AG226" s="749"/>
      <c r="AH226" s="759"/>
      <c r="AI226" s="773">
        <v>90</v>
      </c>
      <c r="AJ226" s="749"/>
      <c r="AK226" s="759"/>
      <c r="AL226" s="773">
        <v>-172.89</v>
      </c>
      <c r="AM226" s="749"/>
      <c r="AN226" s="759"/>
      <c r="AO226" s="773">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9"/>
      <c r="D227" s="759"/>
      <c r="E227" s="760">
        <v>58713.009999999995</v>
      </c>
      <c r="F227" s="749"/>
      <c r="G227" s="759"/>
      <c r="H227" s="773">
        <v>4107.62</v>
      </c>
      <c r="I227" s="749"/>
      <c r="J227" s="759"/>
      <c r="K227" s="773">
        <v>6175.92</v>
      </c>
      <c r="L227" s="749"/>
      <c r="M227" s="759"/>
      <c r="N227" s="773">
        <v>7145.58</v>
      </c>
      <c r="O227" s="749"/>
      <c r="P227" s="759"/>
      <c r="Q227" s="773">
        <v>5330.26</v>
      </c>
      <c r="R227" s="749"/>
      <c r="S227" s="759"/>
      <c r="T227" s="773">
        <v>4373.49</v>
      </c>
      <c r="U227" s="749"/>
      <c r="V227" s="759"/>
      <c r="W227" s="773">
        <v>3115.28</v>
      </c>
      <c r="X227" s="749"/>
      <c r="Y227" s="759"/>
      <c r="Z227" s="773">
        <v>5450.1</v>
      </c>
      <c r="AA227" s="749"/>
      <c r="AB227" s="759"/>
      <c r="AC227" s="773">
        <v>4247.2700000000004</v>
      </c>
      <c r="AD227" s="749"/>
      <c r="AE227" s="759"/>
      <c r="AF227" s="773">
        <v>4354.53</v>
      </c>
      <c r="AG227" s="749"/>
      <c r="AH227" s="759"/>
      <c r="AI227" s="773">
        <v>2578.59</v>
      </c>
      <c r="AJ227" s="749"/>
      <c r="AK227" s="759"/>
      <c r="AL227" s="773">
        <v>8573.24</v>
      </c>
      <c r="AM227" s="749"/>
      <c r="AN227" s="759"/>
      <c r="AO227" s="773">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9"/>
      <c r="D228" s="759"/>
      <c r="E228" s="760">
        <v>21142.239999999998</v>
      </c>
      <c r="F228" s="749"/>
      <c r="G228" s="759"/>
      <c r="H228" s="773">
        <v>1570.87</v>
      </c>
      <c r="I228" s="749"/>
      <c r="J228" s="759"/>
      <c r="K228" s="773">
        <v>1241.71</v>
      </c>
      <c r="L228" s="749"/>
      <c r="M228" s="759"/>
      <c r="N228" s="773">
        <v>178.54</v>
      </c>
      <c r="O228" s="749"/>
      <c r="P228" s="759"/>
      <c r="Q228" s="773">
        <v>1512.81</v>
      </c>
      <c r="R228" s="749"/>
      <c r="S228" s="759"/>
      <c r="T228" s="773">
        <v>3865.97</v>
      </c>
      <c r="U228" s="749"/>
      <c r="V228" s="759"/>
      <c r="W228" s="773">
        <v>1768.57</v>
      </c>
      <c r="X228" s="749"/>
      <c r="Y228" s="759"/>
      <c r="Z228" s="773">
        <v>1703.22</v>
      </c>
      <c r="AA228" s="749"/>
      <c r="AB228" s="759"/>
      <c r="AC228" s="773">
        <v>1329.91</v>
      </c>
      <c r="AD228" s="749"/>
      <c r="AE228" s="759"/>
      <c r="AF228" s="773">
        <v>1801.79</v>
      </c>
      <c r="AG228" s="749"/>
      <c r="AH228" s="759"/>
      <c r="AI228" s="773">
        <v>2003.28</v>
      </c>
      <c r="AJ228" s="749"/>
      <c r="AK228" s="759"/>
      <c r="AL228" s="773">
        <v>2562.4</v>
      </c>
      <c r="AM228" s="749"/>
      <c r="AN228" s="759"/>
      <c r="AO228" s="773">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9" t="s">
        <v>175</v>
      </c>
      <c r="D232" s="780">
        <v>0.30039412809326405</v>
      </c>
      <c r="E232" s="781">
        <v>670361.62999999989</v>
      </c>
      <c r="F232" s="779" t="s">
        <v>175</v>
      </c>
      <c r="G232" s="780">
        <v>0.37392032953574916</v>
      </c>
      <c r="H232" s="781">
        <v>43889.740000000005</v>
      </c>
      <c r="I232" s="779" t="s">
        <v>175</v>
      </c>
      <c r="J232" s="780">
        <v>0.40888075869927137</v>
      </c>
      <c r="K232" s="781">
        <v>44091.25999999998</v>
      </c>
      <c r="L232" s="779" t="s">
        <v>175</v>
      </c>
      <c r="M232" s="780">
        <v>0.33443057818307781</v>
      </c>
      <c r="N232" s="781">
        <v>45597.78</v>
      </c>
      <c r="O232" s="779" t="s">
        <v>175</v>
      </c>
      <c r="P232" s="780">
        <v>0.28284618347632684</v>
      </c>
      <c r="Q232" s="781">
        <v>56607.09</v>
      </c>
      <c r="R232" s="779" t="s">
        <v>175</v>
      </c>
      <c r="S232" s="780">
        <v>0.22691001852963441</v>
      </c>
      <c r="T232" s="781">
        <v>54247.62999999999</v>
      </c>
      <c r="U232" s="779" t="s">
        <v>175</v>
      </c>
      <c r="V232" s="780">
        <v>0.258982505780747</v>
      </c>
      <c r="W232" s="781">
        <v>51811.100000000006</v>
      </c>
      <c r="X232" s="779" t="s">
        <v>175</v>
      </c>
      <c r="Y232" s="780">
        <v>0.33220231822621149</v>
      </c>
      <c r="Z232" s="781">
        <v>59930.73</v>
      </c>
      <c r="AA232" s="779" t="s">
        <v>175</v>
      </c>
      <c r="AB232" s="780">
        <v>0.26159503263866418</v>
      </c>
      <c r="AC232" s="781">
        <v>48536.12000000001</v>
      </c>
      <c r="AD232" s="779" t="s">
        <v>175</v>
      </c>
      <c r="AE232" s="780">
        <v>0.30598140565787202</v>
      </c>
      <c r="AF232" s="781">
        <v>53436.659999999982</v>
      </c>
      <c r="AG232" s="779" t="s">
        <v>175</v>
      </c>
      <c r="AH232" s="780">
        <v>0.31949334885632069</v>
      </c>
      <c r="AI232" s="781">
        <v>70423.199999999997</v>
      </c>
      <c r="AJ232" s="779" t="s">
        <v>175</v>
      </c>
      <c r="AK232" s="780">
        <v>0.27853577584282457</v>
      </c>
      <c r="AL232" s="781">
        <v>80852.339999999982</v>
      </c>
      <c r="AM232" s="779" t="s">
        <v>175</v>
      </c>
      <c r="AN232" s="780">
        <v>0.33947154327519918</v>
      </c>
      <c r="AO232" s="781">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9" t="s">
        <v>119</v>
      </c>
      <c r="D234" s="817">
        <v>0.90812429215526358</v>
      </c>
      <c r="E234" s="791">
        <v>2026576.4999999998</v>
      </c>
      <c r="F234" s="779" t="s">
        <v>119</v>
      </c>
      <c r="G234" s="817">
        <v>1.2494244838757087</v>
      </c>
      <c r="H234" s="791">
        <v>146654.01</v>
      </c>
      <c r="I234" s="779" t="s">
        <v>119</v>
      </c>
      <c r="J234" s="817">
        <v>1.1796112971016668</v>
      </c>
      <c r="K234" s="791">
        <v>127202.24000000001</v>
      </c>
      <c r="L234" s="779" t="s">
        <v>119</v>
      </c>
      <c r="M234" s="817">
        <v>1.0710359264137694</v>
      </c>
      <c r="N234" s="791">
        <v>146029.88999999998</v>
      </c>
      <c r="O234" s="779" t="s">
        <v>119</v>
      </c>
      <c r="P234" s="817">
        <v>0.79399195028646585</v>
      </c>
      <c r="Q234" s="791">
        <v>158904.65</v>
      </c>
      <c r="R234" s="779" t="s">
        <v>119</v>
      </c>
      <c r="S234" s="817">
        <v>0.72925507394013811</v>
      </c>
      <c r="T234" s="791">
        <v>174343.82</v>
      </c>
      <c r="U234" s="779" t="s">
        <v>119</v>
      </c>
      <c r="V234" s="817">
        <v>0.77775508972796414</v>
      </c>
      <c r="W234" s="791">
        <v>155594.86000000002</v>
      </c>
      <c r="X234" s="779" t="s">
        <v>119</v>
      </c>
      <c r="Y234" s="817">
        <v>0.90533258324039112</v>
      </c>
      <c r="Z234" s="791">
        <v>163325.90000000002</v>
      </c>
      <c r="AA234" s="779" t="s">
        <v>119</v>
      </c>
      <c r="AB234" s="817">
        <v>0.76717566077024713</v>
      </c>
      <c r="AC234" s="791">
        <v>142341.12</v>
      </c>
      <c r="AD234" s="779" t="s">
        <v>119</v>
      </c>
      <c r="AE234" s="817">
        <v>1.0203764058474052</v>
      </c>
      <c r="AF234" s="791">
        <v>178198.76</v>
      </c>
      <c r="AG234" s="779" t="s">
        <v>119</v>
      </c>
      <c r="AH234" s="817">
        <v>0.90854834526343153</v>
      </c>
      <c r="AI234" s="791">
        <v>200263.58000000002</v>
      </c>
      <c r="AJ234" s="779" t="s">
        <v>119</v>
      </c>
      <c r="AK234" s="817">
        <v>0.78722584053704436</v>
      </c>
      <c r="AL234" s="791">
        <v>228513.01999999996</v>
      </c>
      <c r="AM234" s="779" t="s">
        <v>119</v>
      </c>
      <c r="AN234" s="817">
        <v>1.1431481519857913</v>
      </c>
      <c r="AO234" s="791">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8"/>
      <c r="D236" s="819"/>
      <c r="E236" s="800">
        <v>205030.46999999718</v>
      </c>
      <c r="F236" s="818"/>
      <c r="G236" s="819"/>
      <c r="H236" s="800">
        <v>-29276.760000000024</v>
      </c>
      <c r="I236" s="818"/>
      <c r="J236" s="819"/>
      <c r="K236" s="800">
        <v>-19368.210000000036</v>
      </c>
      <c r="L236" s="818"/>
      <c r="M236" s="819"/>
      <c r="N236" s="800">
        <v>-9685.359999999986</v>
      </c>
      <c r="O236" s="818"/>
      <c r="P236" s="819"/>
      <c r="Q236" s="800">
        <v>41229.179999999993</v>
      </c>
      <c r="R236" s="818"/>
      <c r="S236" s="819"/>
      <c r="T236" s="800">
        <v>64727.289999998786</v>
      </c>
      <c r="U236" s="818"/>
      <c r="V236" s="819"/>
      <c r="W236" s="800">
        <v>44461.509999998991</v>
      </c>
      <c r="X236" s="818"/>
      <c r="Y236" s="819"/>
      <c r="Z236" s="800">
        <v>17078.409999999654</v>
      </c>
      <c r="AA236" s="818"/>
      <c r="AB236" s="819"/>
      <c r="AC236" s="800">
        <v>43198.03</v>
      </c>
      <c r="AD236" s="818"/>
      <c r="AE236" s="819"/>
      <c r="AF236" s="800">
        <v>-3558.5400000001246</v>
      </c>
      <c r="AG236" s="818"/>
      <c r="AH236" s="819"/>
      <c r="AI236" s="800">
        <v>20157.909999999974</v>
      </c>
      <c r="AJ236" s="818"/>
      <c r="AK236" s="819"/>
      <c r="AL236" s="800">
        <v>61763.29999999993</v>
      </c>
      <c r="AM236" s="818"/>
      <c r="AN236" s="819"/>
      <c r="AO236" s="800">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3873</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71">
        <v>2023</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21">
        <v>506</v>
      </c>
      <c r="D244" s="772">
        <v>911810.67999999772</v>
      </c>
      <c r="E244" s="760">
        <v>186467.59999999951</v>
      </c>
      <c r="F244" s="822">
        <v>62</v>
      </c>
      <c r="G244" s="823">
        <v>125402.079999999</v>
      </c>
      <c r="H244" s="773">
        <v>28396.889999999901</v>
      </c>
      <c r="I244" s="822">
        <v>54</v>
      </c>
      <c r="J244" s="823">
        <v>80938.570000000007</v>
      </c>
      <c r="K244" s="773">
        <v>12421.9</v>
      </c>
      <c r="L244" s="822">
        <v>43</v>
      </c>
      <c r="M244" s="823">
        <v>100057.5</v>
      </c>
      <c r="N244" s="773">
        <v>13104.05</v>
      </c>
      <c r="O244" s="822">
        <v>21</v>
      </c>
      <c r="P244" s="823">
        <v>20068.84</v>
      </c>
      <c r="Q244" s="773">
        <v>6932.34</v>
      </c>
      <c r="R244" s="822">
        <v>53</v>
      </c>
      <c r="S244" s="823">
        <v>81827.360000000001</v>
      </c>
      <c r="T244" s="773">
        <v>22554.99</v>
      </c>
      <c r="U244" s="822">
        <v>35</v>
      </c>
      <c r="V244" s="823">
        <v>61602.33</v>
      </c>
      <c r="W244" s="773">
        <v>12667</v>
      </c>
      <c r="X244" s="822">
        <v>43</v>
      </c>
      <c r="Y244" s="823">
        <v>93198.95</v>
      </c>
      <c r="Z244" s="773">
        <v>23146.659999999902</v>
      </c>
      <c r="AA244" s="822">
        <v>61</v>
      </c>
      <c r="AB244" s="823">
        <v>123808.129999999</v>
      </c>
      <c r="AC244" s="773">
        <v>26996.3299999999</v>
      </c>
      <c r="AD244" s="822">
        <v>32</v>
      </c>
      <c r="AE244" s="823">
        <v>43872.799999999901</v>
      </c>
      <c r="AF244" s="773">
        <v>7855.5599999999904</v>
      </c>
      <c r="AG244" s="822">
        <v>44</v>
      </c>
      <c r="AH244" s="823">
        <v>82403.109999999899</v>
      </c>
      <c r="AI244" s="773">
        <v>16545.369999999901</v>
      </c>
      <c r="AJ244" s="822">
        <v>42</v>
      </c>
      <c r="AK244" s="823">
        <v>66881.5</v>
      </c>
      <c r="AL244" s="773">
        <v>11630.529999999901</v>
      </c>
      <c r="AM244" s="822">
        <v>16</v>
      </c>
      <c r="AN244" s="823">
        <v>31749.51</v>
      </c>
      <c r="AO244" s="773">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21"/>
      <c r="D245" s="759"/>
      <c r="E245" s="824">
        <v>0.20450253993515405</v>
      </c>
      <c r="F245" s="821"/>
      <c r="G245" s="759"/>
      <c r="H245" s="824">
        <v>0.22644672241481265</v>
      </c>
      <c r="I245" s="821"/>
      <c r="J245" s="759"/>
      <c r="K245" s="824">
        <v>0.15347318342787622</v>
      </c>
      <c r="L245" s="821"/>
      <c r="M245" s="759"/>
      <c r="N245" s="824">
        <v>0.1309651950128676</v>
      </c>
      <c r="O245" s="821"/>
      <c r="P245" s="759"/>
      <c r="Q245" s="824">
        <v>0.34542803669768657</v>
      </c>
      <c r="R245" s="821"/>
      <c r="S245" s="759"/>
      <c r="T245" s="824">
        <v>0.27564117918505499</v>
      </c>
      <c r="U245" s="821"/>
      <c r="V245" s="759"/>
      <c r="W245" s="824">
        <v>0.2056253391714242</v>
      </c>
      <c r="X245" s="821"/>
      <c r="Y245" s="759"/>
      <c r="Z245" s="824">
        <v>0.24835751904930153</v>
      </c>
      <c r="AA245" s="821"/>
      <c r="AB245" s="759"/>
      <c r="AC245" s="824">
        <v>0.21804973550606183</v>
      </c>
      <c r="AD245" s="821"/>
      <c r="AE245" s="759"/>
      <c r="AF245" s="824">
        <v>0.17905308072427581</v>
      </c>
      <c r="AG245" s="821"/>
      <c r="AH245" s="759"/>
      <c r="AI245" s="824">
        <v>0.20078574704279875</v>
      </c>
      <c r="AJ245" s="821"/>
      <c r="AK245" s="759"/>
      <c r="AL245" s="824">
        <v>0.17389756509647511</v>
      </c>
      <c r="AM245" s="821"/>
      <c r="AN245" s="759"/>
      <c r="AO245" s="824">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8">
        <v>0</v>
      </c>
      <c r="D247" s="829">
        <v>0</v>
      </c>
      <c r="E247" s="784">
        <v>0</v>
      </c>
      <c r="F247" s="830">
        <v>0</v>
      </c>
      <c r="G247" s="831">
        <v>0</v>
      </c>
      <c r="H247" s="785">
        <v>0</v>
      </c>
      <c r="I247" s="830">
        <v>0</v>
      </c>
      <c r="J247" s="831">
        <v>0</v>
      </c>
      <c r="K247" s="785">
        <v>0</v>
      </c>
      <c r="L247" s="830">
        <v>0</v>
      </c>
      <c r="M247" s="831">
        <v>0</v>
      </c>
      <c r="N247" s="785">
        <v>0</v>
      </c>
      <c r="O247" s="830">
        <v>0</v>
      </c>
      <c r="P247" s="831">
        <v>0</v>
      </c>
      <c r="Q247" s="785">
        <v>0</v>
      </c>
      <c r="R247" s="830">
        <v>0</v>
      </c>
      <c r="S247" s="831">
        <v>0</v>
      </c>
      <c r="T247" s="785">
        <v>0</v>
      </c>
      <c r="U247" s="830">
        <v>0</v>
      </c>
      <c r="V247" s="831">
        <v>0</v>
      </c>
      <c r="W247" s="785">
        <v>0</v>
      </c>
      <c r="X247" s="830">
        <v>0</v>
      </c>
      <c r="Y247" s="831">
        <v>0</v>
      </c>
      <c r="Z247" s="785">
        <v>0</v>
      </c>
      <c r="AA247" s="830">
        <v>0</v>
      </c>
      <c r="AB247" s="831">
        <v>0</v>
      </c>
      <c r="AC247" s="785">
        <v>0</v>
      </c>
      <c r="AD247" s="830">
        <v>0</v>
      </c>
      <c r="AE247" s="831">
        <v>0</v>
      </c>
      <c r="AF247" s="785">
        <v>0</v>
      </c>
      <c r="AG247" s="830">
        <v>0</v>
      </c>
      <c r="AH247" s="831">
        <v>0</v>
      </c>
      <c r="AI247" s="785">
        <v>0</v>
      </c>
      <c r="AJ247" s="830">
        <v>0</v>
      </c>
      <c r="AK247" s="831">
        <v>0</v>
      </c>
      <c r="AL247" s="785">
        <v>0</v>
      </c>
      <c r="AM247" s="830">
        <v>0</v>
      </c>
      <c r="AN247" s="831">
        <v>0</v>
      </c>
      <c r="AO247" s="785">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8">
        <v>0</v>
      </c>
      <c r="D250" s="829">
        <v>0</v>
      </c>
      <c r="E250" s="784">
        <v>0</v>
      </c>
      <c r="F250" s="830">
        <v>0</v>
      </c>
      <c r="G250" s="831">
        <v>0</v>
      </c>
      <c r="H250" s="785">
        <v>0</v>
      </c>
      <c r="I250" s="830">
        <v>0</v>
      </c>
      <c r="J250" s="831">
        <v>0</v>
      </c>
      <c r="K250" s="785">
        <v>0</v>
      </c>
      <c r="L250" s="830">
        <v>0</v>
      </c>
      <c r="M250" s="831">
        <v>0</v>
      </c>
      <c r="N250" s="785">
        <v>0</v>
      </c>
      <c r="O250" s="830">
        <v>0</v>
      </c>
      <c r="P250" s="831">
        <v>0</v>
      </c>
      <c r="Q250" s="785">
        <v>0</v>
      </c>
      <c r="R250" s="830">
        <v>0</v>
      </c>
      <c r="S250" s="831">
        <v>0</v>
      </c>
      <c r="T250" s="785">
        <v>0</v>
      </c>
      <c r="U250" s="830">
        <v>0</v>
      </c>
      <c r="V250" s="831">
        <v>0</v>
      </c>
      <c r="W250" s="785">
        <v>0</v>
      </c>
      <c r="X250" s="830">
        <v>0</v>
      </c>
      <c r="Y250" s="831">
        <v>0</v>
      </c>
      <c r="Z250" s="785">
        <v>0</v>
      </c>
      <c r="AA250" s="830">
        <v>0</v>
      </c>
      <c r="AB250" s="831">
        <v>0</v>
      </c>
      <c r="AC250" s="785">
        <v>0</v>
      </c>
      <c r="AD250" s="830">
        <v>0</v>
      </c>
      <c r="AE250" s="831">
        <v>0</v>
      </c>
      <c r="AF250" s="785">
        <v>0</v>
      </c>
      <c r="AG250" s="830">
        <v>0</v>
      </c>
      <c r="AH250" s="831">
        <v>0</v>
      </c>
      <c r="AI250" s="785">
        <v>0</v>
      </c>
      <c r="AJ250" s="830">
        <v>0</v>
      </c>
      <c r="AK250" s="831">
        <v>0</v>
      </c>
      <c r="AL250" s="785">
        <v>0</v>
      </c>
      <c r="AM250" s="830">
        <v>0</v>
      </c>
      <c r="AN250" s="831">
        <v>0</v>
      </c>
      <c r="AO250" s="785">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61"/>
      <c r="D253" s="852">
        <v>911810.67999999772</v>
      </c>
      <c r="E253" s="763">
        <v>186467.59999999951</v>
      </c>
      <c r="F253" s="761"/>
      <c r="G253" s="852">
        <v>125402.079999999</v>
      </c>
      <c r="H253" s="763">
        <v>28396.889999999901</v>
      </c>
      <c r="I253" s="761"/>
      <c r="J253" s="852">
        <v>80938.570000000007</v>
      </c>
      <c r="K253" s="763">
        <v>12421.9</v>
      </c>
      <c r="L253" s="761"/>
      <c r="M253" s="852">
        <v>100057.5</v>
      </c>
      <c r="N253" s="763">
        <v>13104.05</v>
      </c>
      <c r="O253" s="761"/>
      <c r="P253" s="852">
        <v>20068.84</v>
      </c>
      <c r="Q253" s="763">
        <v>6932.34</v>
      </c>
      <c r="R253" s="761"/>
      <c r="S253" s="852">
        <v>81827.360000000001</v>
      </c>
      <c r="T253" s="763">
        <v>22554.99</v>
      </c>
      <c r="U253" s="761"/>
      <c r="V253" s="852">
        <v>61602.33</v>
      </c>
      <c r="W253" s="763">
        <v>12667</v>
      </c>
      <c r="X253" s="761"/>
      <c r="Y253" s="852">
        <v>93198.95</v>
      </c>
      <c r="Z253" s="763">
        <v>23146.659999999902</v>
      </c>
      <c r="AA253" s="761"/>
      <c r="AB253" s="852">
        <v>123808.129999999</v>
      </c>
      <c r="AC253" s="763">
        <v>26996.3299999999</v>
      </c>
      <c r="AD253" s="761"/>
      <c r="AE253" s="852">
        <v>43872.799999999901</v>
      </c>
      <c r="AF253" s="763">
        <v>7855.5599999999904</v>
      </c>
      <c r="AG253" s="761"/>
      <c r="AH253" s="852">
        <v>82403.109999999899</v>
      </c>
      <c r="AI253" s="763">
        <v>16545.369999999901</v>
      </c>
      <c r="AJ253" s="761"/>
      <c r="AK253" s="852">
        <v>66881.5</v>
      </c>
      <c r="AL253" s="763">
        <v>11630.529999999901</v>
      </c>
      <c r="AM253" s="761"/>
      <c r="AN253" s="852">
        <v>31749.51</v>
      </c>
      <c r="AO253" s="763">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4"/>
      <c r="D254" s="765"/>
      <c r="E254" s="853">
        <v>0.20450253993515405</v>
      </c>
      <c r="F254" s="764"/>
      <c r="G254" s="765"/>
      <c r="H254" s="853">
        <v>0.22644672241481265</v>
      </c>
      <c r="I254" s="764"/>
      <c r="J254" s="765"/>
      <c r="K254" s="853">
        <v>0.15347318342787622</v>
      </c>
      <c r="L254" s="764"/>
      <c r="M254" s="765"/>
      <c r="N254" s="853">
        <v>0.1309651950128676</v>
      </c>
      <c r="O254" s="764"/>
      <c r="P254" s="765"/>
      <c r="Q254" s="853">
        <v>0.34542803669768657</v>
      </c>
      <c r="R254" s="764"/>
      <c r="S254" s="765"/>
      <c r="T254" s="853">
        <v>0.27564117918505499</v>
      </c>
      <c r="U254" s="764"/>
      <c r="V254" s="765"/>
      <c r="W254" s="853">
        <v>0.2056253391714242</v>
      </c>
      <c r="X254" s="764"/>
      <c r="Y254" s="765"/>
      <c r="Z254" s="853">
        <v>0.24835751904930153</v>
      </c>
      <c r="AA254" s="764"/>
      <c r="AB254" s="765"/>
      <c r="AC254" s="853">
        <v>0.21804973550606183</v>
      </c>
      <c r="AD254" s="764"/>
      <c r="AE254" s="765"/>
      <c r="AF254" s="853">
        <v>0.17905308072427581</v>
      </c>
      <c r="AG254" s="764"/>
      <c r="AH254" s="765"/>
      <c r="AI254" s="853">
        <v>0.20078574704279875</v>
      </c>
      <c r="AJ254" s="764"/>
      <c r="AK254" s="765"/>
      <c r="AL254" s="853">
        <v>0.17389756509647511</v>
      </c>
      <c r="AM254" s="764"/>
      <c r="AN254" s="765"/>
      <c r="AO254" s="853">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9"/>
      <c r="D257" s="759"/>
      <c r="E257" s="760">
        <v>10822.56</v>
      </c>
      <c r="F257" s="749"/>
      <c r="G257" s="759"/>
      <c r="H257" s="773">
        <v>1901.88</v>
      </c>
      <c r="I257" s="749"/>
      <c r="J257" s="759"/>
      <c r="K257" s="773">
        <v>-98.12</v>
      </c>
      <c r="L257" s="749"/>
      <c r="M257" s="759"/>
      <c r="N257" s="773">
        <v>901.88</v>
      </c>
      <c r="O257" s="749"/>
      <c r="P257" s="759"/>
      <c r="Q257" s="773">
        <v>901.88</v>
      </c>
      <c r="R257" s="749"/>
      <c r="S257" s="759"/>
      <c r="T257" s="773">
        <v>1785.72</v>
      </c>
      <c r="U257" s="749"/>
      <c r="V257" s="759"/>
      <c r="W257" s="773">
        <v>768.04</v>
      </c>
      <c r="X257" s="749"/>
      <c r="Y257" s="759"/>
      <c r="Z257" s="773">
        <v>651.88</v>
      </c>
      <c r="AA257" s="749"/>
      <c r="AB257" s="759"/>
      <c r="AC257" s="773">
        <v>1401.88</v>
      </c>
      <c r="AD257" s="749"/>
      <c r="AE257" s="759"/>
      <c r="AF257" s="773">
        <v>-98.12</v>
      </c>
      <c r="AG257" s="749"/>
      <c r="AH257" s="759"/>
      <c r="AI257" s="773">
        <v>901.88</v>
      </c>
      <c r="AJ257" s="749"/>
      <c r="AK257" s="759"/>
      <c r="AL257" s="773">
        <v>901.88</v>
      </c>
      <c r="AM257" s="749"/>
      <c r="AN257" s="759"/>
      <c r="AO257" s="773">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9"/>
      <c r="D258" s="759"/>
      <c r="E258" s="760">
        <v>0</v>
      </c>
      <c r="F258" s="749"/>
      <c r="G258" s="759"/>
      <c r="H258" s="773">
        <v>0</v>
      </c>
      <c r="I258" s="749"/>
      <c r="J258" s="759"/>
      <c r="K258" s="773">
        <v>0</v>
      </c>
      <c r="L258" s="749"/>
      <c r="M258" s="759"/>
      <c r="N258" s="773">
        <v>0</v>
      </c>
      <c r="O258" s="749"/>
      <c r="P258" s="759"/>
      <c r="Q258" s="773">
        <v>0</v>
      </c>
      <c r="R258" s="749"/>
      <c r="S258" s="759"/>
      <c r="T258" s="773">
        <v>0</v>
      </c>
      <c r="U258" s="749"/>
      <c r="V258" s="759"/>
      <c r="W258" s="773">
        <v>0</v>
      </c>
      <c r="X258" s="749"/>
      <c r="Y258" s="759"/>
      <c r="Z258" s="773">
        <v>0</v>
      </c>
      <c r="AA258" s="749"/>
      <c r="AB258" s="759"/>
      <c r="AC258" s="773">
        <v>0</v>
      </c>
      <c r="AD258" s="749"/>
      <c r="AE258" s="759"/>
      <c r="AF258" s="773">
        <v>0</v>
      </c>
      <c r="AG258" s="749"/>
      <c r="AH258" s="759"/>
      <c r="AI258" s="773">
        <v>0</v>
      </c>
      <c r="AJ258" s="749"/>
      <c r="AK258" s="759"/>
      <c r="AL258" s="773">
        <v>0</v>
      </c>
      <c r="AM258" s="749"/>
      <c r="AN258" s="759"/>
      <c r="AO258" s="773">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2"/>
      <c r="D259" s="783"/>
      <c r="E259" s="784">
        <v>0.98999999999999977</v>
      </c>
      <c r="F259" s="782"/>
      <c r="G259" s="783"/>
      <c r="H259" s="785">
        <v>0.08</v>
      </c>
      <c r="I259" s="782"/>
      <c r="J259" s="783"/>
      <c r="K259" s="785">
        <v>0.08</v>
      </c>
      <c r="L259" s="782"/>
      <c r="M259" s="783"/>
      <c r="N259" s="785">
        <v>0.08</v>
      </c>
      <c r="O259" s="782"/>
      <c r="P259" s="783"/>
      <c r="Q259" s="785">
        <v>0.08</v>
      </c>
      <c r="R259" s="782"/>
      <c r="S259" s="783"/>
      <c r="T259" s="785">
        <v>0.08</v>
      </c>
      <c r="U259" s="782"/>
      <c r="V259" s="783"/>
      <c r="W259" s="785">
        <v>0.21</v>
      </c>
      <c r="X259" s="782"/>
      <c r="Y259" s="783"/>
      <c r="Z259" s="785">
        <v>-0.02</v>
      </c>
      <c r="AA259" s="782"/>
      <c r="AB259" s="783"/>
      <c r="AC259" s="785">
        <v>0.08</v>
      </c>
      <c r="AD259" s="782"/>
      <c r="AE259" s="783"/>
      <c r="AF259" s="785">
        <v>0.08</v>
      </c>
      <c r="AG259" s="782"/>
      <c r="AH259" s="783"/>
      <c r="AI259" s="785">
        <v>0.08</v>
      </c>
      <c r="AJ259" s="782"/>
      <c r="AK259" s="783"/>
      <c r="AL259" s="785">
        <v>0.08</v>
      </c>
      <c r="AM259" s="782"/>
      <c r="AN259" s="783"/>
      <c r="AO259" s="785">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9"/>
      <c r="D260" s="759"/>
      <c r="E260" s="760">
        <v>52208.659999999996</v>
      </c>
      <c r="F260" s="749"/>
      <c r="G260" s="759"/>
      <c r="H260" s="773">
        <v>3922.4</v>
      </c>
      <c r="I260" s="749"/>
      <c r="J260" s="759"/>
      <c r="K260" s="773">
        <v>6212.1</v>
      </c>
      <c r="L260" s="749"/>
      <c r="M260" s="759"/>
      <c r="N260" s="773">
        <v>4474.6000000000004</v>
      </c>
      <c r="O260" s="749"/>
      <c r="P260" s="759"/>
      <c r="Q260" s="773">
        <v>1862.6</v>
      </c>
      <c r="R260" s="749"/>
      <c r="S260" s="759"/>
      <c r="T260" s="773">
        <v>3887.6</v>
      </c>
      <c r="U260" s="749"/>
      <c r="V260" s="759"/>
      <c r="W260" s="773">
        <v>5032.4399999999996</v>
      </c>
      <c r="X260" s="749"/>
      <c r="Y260" s="759"/>
      <c r="Z260" s="773">
        <v>4550.6000000000004</v>
      </c>
      <c r="AA260" s="749"/>
      <c r="AB260" s="759"/>
      <c r="AC260" s="773">
        <v>4343.3599999999997</v>
      </c>
      <c r="AD260" s="749"/>
      <c r="AE260" s="759"/>
      <c r="AF260" s="773">
        <v>3832.35</v>
      </c>
      <c r="AG260" s="749"/>
      <c r="AH260" s="759"/>
      <c r="AI260" s="773">
        <v>4192.29</v>
      </c>
      <c r="AJ260" s="749"/>
      <c r="AK260" s="759"/>
      <c r="AL260" s="773">
        <v>4680.32</v>
      </c>
      <c r="AM260" s="749"/>
      <c r="AN260" s="759"/>
      <c r="AO260" s="773">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9"/>
      <c r="D264" s="759"/>
      <c r="E264" s="760">
        <v>5022.6899999999996</v>
      </c>
      <c r="F264" s="749"/>
      <c r="G264" s="759"/>
      <c r="H264" s="773">
        <v>618.65</v>
      </c>
      <c r="I264" s="749"/>
      <c r="J264" s="759"/>
      <c r="K264" s="773">
        <v>312.42</v>
      </c>
      <c r="L264" s="749"/>
      <c r="M264" s="759"/>
      <c r="N264" s="773">
        <v>350.09</v>
      </c>
      <c r="O264" s="749"/>
      <c r="P264" s="759"/>
      <c r="Q264" s="773">
        <v>331.33</v>
      </c>
      <c r="R264" s="749"/>
      <c r="S264" s="759"/>
      <c r="T264" s="773">
        <v>303.48</v>
      </c>
      <c r="U264" s="749"/>
      <c r="V264" s="759"/>
      <c r="W264" s="773">
        <v>352.77</v>
      </c>
      <c r="X264" s="749"/>
      <c r="Y264" s="759"/>
      <c r="Z264" s="773">
        <v>382.81</v>
      </c>
      <c r="AA264" s="749"/>
      <c r="AB264" s="759"/>
      <c r="AC264" s="773">
        <v>240.79</v>
      </c>
      <c r="AD264" s="749"/>
      <c r="AE264" s="759"/>
      <c r="AF264" s="773">
        <v>384.29</v>
      </c>
      <c r="AG264" s="749"/>
      <c r="AH264" s="759"/>
      <c r="AI264" s="773">
        <v>506.89</v>
      </c>
      <c r="AJ264" s="749"/>
      <c r="AK264" s="759"/>
      <c r="AL264" s="773">
        <v>259.37</v>
      </c>
      <c r="AM264" s="749"/>
      <c r="AN264" s="759"/>
      <c r="AO264" s="773">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2"/>
      <c r="D265" s="783"/>
      <c r="E265" s="784">
        <v>15798.319999999998</v>
      </c>
      <c r="F265" s="782"/>
      <c r="G265" s="783"/>
      <c r="H265" s="785">
        <v>1359.12</v>
      </c>
      <c r="I265" s="782"/>
      <c r="J265" s="783"/>
      <c r="K265" s="785">
        <v>1627.6</v>
      </c>
      <c r="L265" s="782"/>
      <c r="M265" s="783"/>
      <c r="N265" s="785">
        <v>1266.97</v>
      </c>
      <c r="O265" s="782"/>
      <c r="P265" s="783"/>
      <c r="Q265" s="785">
        <v>946.77</v>
      </c>
      <c r="R265" s="782"/>
      <c r="S265" s="783"/>
      <c r="T265" s="785">
        <v>1200.4100000000001</v>
      </c>
      <c r="U265" s="782"/>
      <c r="V265" s="783"/>
      <c r="W265" s="785">
        <v>1340.49</v>
      </c>
      <c r="X265" s="782"/>
      <c r="Y265" s="783"/>
      <c r="Z265" s="785">
        <v>1298.79</v>
      </c>
      <c r="AA265" s="782"/>
      <c r="AB265" s="783"/>
      <c r="AC265" s="785">
        <v>1254.0999999999999</v>
      </c>
      <c r="AD265" s="782"/>
      <c r="AE265" s="783"/>
      <c r="AF265" s="785">
        <v>1454.76</v>
      </c>
      <c r="AG265" s="782"/>
      <c r="AH265" s="783"/>
      <c r="AI265" s="785">
        <v>1262.6099999999999</v>
      </c>
      <c r="AJ265" s="782"/>
      <c r="AK265" s="783"/>
      <c r="AL265" s="785">
        <v>1309.81</v>
      </c>
      <c r="AM265" s="782"/>
      <c r="AN265" s="783"/>
      <c r="AO265" s="785">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9"/>
      <c r="D266" s="759"/>
      <c r="E266" s="760">
        <v>3471.46</v>
      </c>
      <c r="F266" s="749"/>
      <c r="G266" s="759"/>
      <c r="H266" s="773">
        <v>351.75</v>
      </c>
      <c r="I266" s="749"/>
      <c r="J266" s="759"/>
      <c r="K266" s="773">
        <v>258.60000000000002</v>
      </c>
      <c r="L266" s="749"/>
      <c r="M266" s="759"/>
      <c r="N266" s="773">
        <v>56.92</v>
      </c>
      <c r="O266" s="749"/>
      <c r="P266" s="759"/>
      <c r="Q266" s="773">
        <v>34.520000000000003</v>
      </c>
      <c r="R266" s="749"/>
      <c r="S266" s="759"/>
      <c r="T266" s="773">
        <v>300.10000000000002</v>
      </c>
      <c r="U266" s="749"/>
      <c r="V266" s="759"/>
      <c r="W266" s="773">
        <v>122.31</v>
      </c>
      <c r="X266" s="749"/>
      <c r="Y266" s="759"/>
      <c r="Z266" s="773">
        <v>46.81</v>
      </c>
      <c r="AA266" s="749"/>
      <c r="AB266" s="759"/>
      <c r="AC266" s="773">
        <v>896.14</v>
      </c>
      <c r="AD266" s="749"/>
      <c r="AE266" s="759"/>
      <c r="AF266" s="773">
        <v>453.78</v>
      </c>
      <c r="AG266" s="749"/>
      <c r="AH266" s="759"/>
      <c r="AI266" s="773">
        <v>174.49</v>
      </c>
      <c r="AJ266" s="749"/>
      <c r="AK266" s="759"/>
      <c r="AL266" s="773">
        <v>345.19</v>
      </c>
      <c r="AM266" s="749"/>
      <c r="AN266" s="759"/>
      <c r="AO266" s="773">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9"/>
      <c r="D267" s="759"/>
      <c r="E267" s="760">
        <v>1919.8799999999999</v>
      </c>
      <c r="F267" s="749"/>
      <c r="G267" s="759"/>
      <c r="H267" s="773">
        <v>133</v>
      </c>
      <c r="I267" s="749"/>
      <c r="J267" s="759"/>
      <c r="K267" s="773">
        <v>175.67</v>
      </c>
      <c r="L267" s="749"/>
      <c r="M267" s="759"/>
      <c r="N267" s="773">
        <v>128.44</v>
      </c>
      <c r="O267" s="749"/>
      <c r="P267" s="759"/>
      <c r="Q267" s="773">
        <v>49.08</v>
      </c>
      <c r="R267" s="749"/>
      <c r="S267" s="759"/>
      <c r="T267" s="773">
        <v>98.15</v>
      </c>
      <c r="U267" s="749"/>
      <c r="V267" s="759"/>
      <c r="W267" s="773">
        <v>419.85</v>
      </c>
      <c r="X267" s="749"/>
      <c r="Y267" s="759"/>
      <c r="Z267" s="773">
        <v>170.57</v>
      </c>
      <c r="AA267" s="749"/>
      <c r="AB267" s="759"/>
      <c r="AC267" s="773">
        <v>117.7</v>
      </c>
      <c r="AD267" s="749"/>
      <c r="AE267" s="759"/>
      <c r="AF267" s="773">
        <v>172.1</v>
      </c>
      <c r="AG267" s="749"/>
      <c r="AH267" s="759"/>
      <c r="AI267" s="773">
        <v>119.83</v>
      </c>
      <c r="AJ267" s="749"/>
      <c r="AK267" s="759"/>
      <c r="AL267" s="773">
        <v>120.56</v>
      </c>
      <c r="AM267" s="749"/>
      <c r="AN267" s="759"/>
      <c r="AO267" s="773">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9" t="s">
        <v>119</v>
      </c>
      <c r="D269" s="780">
        <v>0</v>
      </c>
      <c r="E269" s="781">
        <v>89244.56</v>
      </c>
      <c r="F269" s="779" t="s">
        <v>119</v>
      </c>
      <c r="G269" s="780">
        <v>0</v>
      </c>
      <c r="H269" s="781">
        <v>8286.880000000001</v>
      </c>
      <c r="I269" s="779" t="s">
        <v>119</v>
      </c>
      <c r="J269" s="780">
        <v>0</v>
      </c>
      <c r="K269" s="781">
        <v>8488.35</v>
      </c>
      <c r="L269" s="779" t="s">
        <v>119</v>
      </c>
      <c r="M269" s="780">
        <v>0</v>
      </c>
      <c r="N269" s="781">
        <v>7178.9800000000005</v>
      </c>
      <c r="O269" s="779" t="s">
        <v>119</v>
      </c>
      <c r="P269" s="780">
        <v>0</v>
      </c>
      <c r="Q269" s="781">
        <v>4126.26</v>
      </c>
      <c r="R269" s="779" t="s">
        <v>119</v>
      </c>
      <c r="S269" s="780">
        <v>0</v>
      </c>
      <c r="T269" s="781">
        <v>7575.5399999999991</v>
      </c>
      <c r="U269" s="779" t="s">
        <v>119</v>
      </c>
      <c r="V269" s="780">
        <v>0</v>
      </c>
      <c r="W269" s="781">
        <v>8036.11</v>
      </c>
      <c r="X269" s="779" t="s">
        <v>119</v>
      </c>
      <c r="Y269" s="780">
        <v>0</v>
      </c>
      <c r="Z269" s="781">
        <v>7101.4400000000005</v>
      </c>
      <c r="AA269" s="779" t="s">
        <v>119</v>
      </c>
      <c r="AB269" s="780">
        <v>0</v>
      </c>
      <c r="AC269" s="781">
        <v>8254.0499999999993</v>
      </c>
      <c r="AD269" s="779" t="s">
        <v>119</v>
      </c>
      <c r="AE269" s="780">
        <v>0</v>
      </c>
      <c r="AF269" s="781">
        <v>6199.2400000000007</v>
      </c>
      <c r="AG269" s="779" t="s">
        <v>119</v>
      </c>
      <c r="AH269" s="780">
        <v>0</v>
      </c>
      <c r="AI269" s="781">
        <v>7158.07</v>
      </c>
      <c r="AJ269" s="779" t="s">
        <v>119</v>
      </c>
      <c r="AK269" s="780">
        <v>0</v>
      </c>
      <c r="AL269" s="781">
        <v>7617.2099999999991</v>
      </c>
      <c r="AM269" s="779" t="s">
        <v>119</v>
      </c>
      <c r="AN269" s="780">
        <v>0</v>
      </c>
      <c r="AO269" s="781">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9"/>
      <c r="D270" s="759"/>
      <c r="E270" s="760">
        <v>887.27</v>
      </c>
      <c r="F270" s="749"/>
      <c r="G270" s="759"/>
      <c r="H270" s="773">
        <v>70.069999999999993</v>
      </c>
      <c r="I270" s="749"/>
      <c r="J270" s="759"/>
      <c r="K270" s="773">
        <v>0.05</v>
      </c>
      <c r="L270" s="749"/>
      <c r="M270" s="759"/>
      <c r="N270" s="773">
        <v>173.45</v>
      </c>
      <c r="O270" s="749"/>
      <c r="P270" s="759"/>
      <c r="Q270" s="773">
        <v>24.52</v>
      </c>
      <c r="R270" s="749"/>
      <c r="S270" s="759"/>
      <c r="T270" s="773">
        <v>10.5</v>
      </c>
      <c r="U270" s="749"/>
      <c r="V270" s="759"/>
      <c r="W270" s="773">
        <v>168.82</v>
      </c>
      <c r="X270" s="749"/>
      <c r="Y270" s="759"/>
      <c r="Z270" s="773">
        <v>24.55</v>
      </c>
      <c r="AA270" s="749"/>
      <c r="AB270" s="759"/>
      <c r="AC270" s="773">
        <v>117.3</v>
      </c>
      <c r="AD270" s="749"/>
      <c r="AE270" s="759"/>
      <c r="AF270" s="773">
        <v>119.6</v>
      </c>
      <c r="AG270" s="749"/>
      <c r="AH270" s="759"/>
      <c r="AI270" s="773">
        <v>140.03</v>
      </c>
      <c r="AJ270" s="749"/>
      <c r="AK270" s="759"/>
      <c r="AL270" s="773">
        <v>35.03</v>
      </c>
      <c r="AM270" s="749"/>
      <c r="AN270" s="759"/>
      <c r="AO270" s="773">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9"/>
      <c r="D271" s="759"/>
      <c r="E271" s="760">
        <v>17814.03</v>
      </c>
      <c r="F271" s="749"/>
      <c r="G271" s="759"/>
      <c r="H271" s="773">
        <v>-126.43</v>
      </c>
      <c r="I271" s="749"/>
      <c r="J271" s="759"/>
      <c r="K271" s="773">
        <v>264.18</v>
      </c>
      <c r="L271" s="749"/>
      <c r="M271" s="759"/>
      <c r="N271" s="773">
        <v>-1123.1199999999999</v>
      </c>
      <c r="O271" s="749"/>
      <c r="P271" s="759"/>
      <c r="Q271" s="773">
        <v>453.76</v>
      </c>
      <c r="R271" s="749"/>
      <c r="S271" s="759"/>
      <c r="T271" s="773">
        <v>2419.17</v>
      </c>
      <c r="U271" s="749"/>
      <c r="V271" s="759"/>
      <c r="W271" s="773">
        <v>3855.54</v>
      </c>
      <c r="X271" s="749"/>
      <c r="Y271" s="759"/>
      <c r="Z271" s="773">
        <v>1009.17</v>
      </c>
      <c r="AA271" s="749"/>
      <c r="AB271" s="759"/>
      <c r="AC271" s="773">
        <v>1948.41</v>
      </c>
      <c r="AD271" s="749"/>
      <c r="AE271" s="759"/>
      <c r="AF271" s="773">
        <v>2934.37</v>
      </c>
      <c r="AG271" s="749"/>
      <c r="AH271" s="759"/>
      <c r="AI271" s="773">
        <v>3817.34</v>
      </c>
      <c r="AJ271" s="749"/>
      <c r="AK271" s="759"/>
      <c r="AL271" s="773">
        <v>3488.78</v>
      </c>
      <c r="AM271" s="749"/>
      <c r="AN271" s="759"/>
      <c r="AO271" s="773">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8"/>
      <c r="D272" s="786"/>
      <c r="E272" s="776">
        <v>9128.5499999999993</v>
      </c>
      <c r="F272" s="778"/>
      <c r="G272" s="786"/>
      <c r="H272" s="777">
        <v>409.64</v>
      </c>
      <c r="I272" s="778"/>
      <c r="J272" s="786"/>
      <c r="K272" s="777">
        <v>1230.29</v>
      </c>
      <c r="L272" s="778"/>
      <c r="M272" s="786"/>
      <c r="N272" s="777">
        <v>302.11</v>
      </c>
      <c r="O272" s="778"/>
      <c r="P272" s="786"/>
      <c r="Q272" s="777">
        <v>1298.76</v>
      </c>
      <c r="R272" s="778"/>
      <c r="S272" s="786"/>
      <c r="T272" s="777">
        <v>306.87</v>
      </c>
      <c r="U272" s="778"/>
      <c r="V272" s="786"/>
      <c r="W272" s="777">
        <v>165.8</v>
      </c>
      <c r="X272" s="778"/>
      <c r="Y272" s="786"/>
      <c r="Z272" s="777">
        <v>149.79</v>
      </c>
      <c r="AA272" s="778"/>
      <c r="AB272" s="786"/>
      <c r="AC272" s="777">
        <v>609.21</v>
      </c>
      <c r="AD272" s="778"/>
      <c r="AE272" s="786"/>
      <c r="AF272" s="777">
        <v>295.38</v>
      </c>
      <c r="AG272" s="778"/>
      <c r="AH272" s="786"/>
      <c r="AI272" s="777">
        <v>1816.75</v>
      </c>
      <c r="AJ272" s="778"/>
      <c r="AK272" s="786"/>
      <c r="AL272" s="777">
        <v>1070.53</v>
      </c>
      <c r="AM272" s="778"/>
      <c r="AN272" s="786"/>
      <c r="AO272" s="777">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9"/>
      <c r="D273" s="759"/>
      <c r="E273" s="760">
        <v>18258.95</v>
      </c>
      <c r="F273" s="749"/>
      <c r="G273" s="759"/>
      <c r="H273" s="773">
        <v>1408.01</v>
      </c>
      <c r="I273" s="749"/>
      <c r="J273" s="759"/>
      <c r="K273" s="773">
        <v>1439.98</v>
      </c>
      <c r="L273" s="749"/>
      <c r="M273" s="759"/>
      <c r="N273" s="773">
        <v>1499.64</v>
      </c>
      <c r="O273" s="749"/>
      <c r="P273" s="759"/>
      <c r="Q273" s="773">
        <v>1645.4</v>
      </c>
      <c r="R273" s="749"/>
      <c r="S273" s="759"/>
      <c r="T273" s="773">
        <v>2012.5</v>
      </c>
      <c r="U273" s="749"/>
      <c r="V273" s="759"/>
      <c r="W273" s="773">
        <v>1422.13</v>
      </c>
      <c r="X273" s="749"/>
      <c r="Y273" s="759"/>
      <c r="Z273" s="773">
        <v>1466.11</v>
      </c>
      <c r="AA273" s="749"/>
      <c r="AB273" s="759"/>
      <c r="AC273" s="773">
        <v>1015.93</v>
      </c>
      <c r="AD273" s="749"/>
      <c r="AE273" s="759"/>
      <c r="AF273" s="773">
        <v>2094.9299999999998</v>
      </c>
      <c r="AG273" s="749"/>
      <c r="AH273" s="759"/>
      <c r="AI273" s="773">
        <v>1460.27</v>
      </c>
      <c r="AJ273" s="749"/>
      <c r="AK273" s="759"/>
      <c r="AL273" s="773">
        <v>1443.09</v>
      </c>
      <c r="AM273" s="749"/>
      <c r="AN273" s="759"/>
      <c r="AO273" s="773">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9"/>
      <c r="D274" s="759"/>
      <c r="E274" s="760">
        <v>2857.98</v>
      </c>
      <c r="F274" s="749"/>
      <c r="G274" s="759"/>
      <c r="H274" s="773">
        <v>144.15</v>
      </c>
      <c r="I274" s="749"/>
      <c r="J274" s="759"/>
      <c r="K274" s="773">
        <v>319.45</v>
      </c>
      <c r="L274" s="749"/>
      <c r="M274" s="759"/>
      <c r="N274" s="773">
        <v>225.94</v>
      </c>
      <c r="O274" s="749"/>
      <c r="P274" s="759"/>
      <c r="Q274" s="773">
        <v>202.46</v>
      </c>
      <c r="R274" s="749"/>
      <c r="S274" s="759"/>
      <c r="T274" s="773">
        <v>335.94</v>
      </c>
      <c r="U274" s="749"/>
      <c r="V274" s="759"/>
      <c r="W274" s="773">
        <v>147.46</v>
      </c>
      <c r="X274" s="749"/>
      <c r="Y274" s="759"/>
      <c r="Z274" s="773">
        <v>169.45</v>
      </c>
      <c r="AA274" s="749"/>
      <c r="AB274" s="759"/>
      <c r="AC274" s="773">
        <v>218.31</v>
      </c>
      <c r="AD274" s="749"/>
      <c r="AE274" s="759"/>
      <c r="AF274" s="773">
        <v>265.83999999999997</v>
      </c>
      <c r="AG274" s="749"/>
      <c r="AH274" s="759"/>
      <c r="AI274" s="773">
        <v>329.67</v>
      </c>
      <c r="AJ274" s="749"/>
      <c r="AK274" s="759"/>
      <c r="AL274" s="773">
        <v>264.20999999999998</v>
      </c>
      <c r="AM274" s="749"/>
      <c r="AN274" s="759"/>
      <c r="AO274" s="773">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8"/>
      <c r="D275" s="786"/>
      <c r="E275" s="776">
        <v>7538.869999999999</v>
      </c>
      <c r="F275" s="778"/>
      <c r="G275" s="786"/>
      <c r="H275" s="777">
        <v>709.55</v>
      </c>
      <c r="I275" s="778"/>
      <c r="J275" s="786"/>
      <c r="K275" s="777">
        <v>896.07</v>
      </c>
      <c r="L275" s="778"/>
      <c r="M275" s="786"/>
      <c r="N275" s="777">
        <v>437.81</v>
      </c>
      <c r="O275" s="778"/>
      <c r="P275" s="786"/>
      <c r="Q275" s="777">
        <v>369.39</v>
      </c>
      <c r="R275" s="778"/>
      <c r="S275" s="786"/>
      <c r="T275" s="777">
        <v>494.87</v>
      </c>
      <c r="U275" s="778"/>
      <c r="V275" s="786"/>
      <c r="W275" s="777">
        <v>492.53</v>
      </c>
      <c r="X275" s="778"/>
      <c r="Y275" s="786"/>
      <c r="Z275" s="777">
        <v>447.02</v>
      </c>
      <c r="AA275" s="778"/>
      <c r="AB275" s="786"/>
      <c r="AC275" s="777">
        <v>493.23</v>
      </c>
      <c r="AD275" s="778"/>
      <c r="AE275" s="786"/>
      <c r="AF275" s="777">
        <v>530.83000000000004</v>
      </c>
      <c r="AG275" s="778"/>
      <c r="AH275" s="786"/>
      <c r="AI275" s="777">
        <v>900.65</v>
      </c>
      <c r="AJ275" s="778"/>
      <c r="AK275" s="786"/>
      <c r="AL275" s="777">
        <v>976.45</v>
      </c>
      <c r="AM275" s="778"/>
      <c r="AN275" s="786"/>
      <c r="AO275" s="777">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9"/>
      <c r="D277" s="759"/>
      <c r="E277" s="760">
        <v>235.89000000000001</v>
      </c>
      <c r="F277" s="749"/>
      <c r="G277" s="759"/>
      <c r="H277" s="773">
        <v>0</v>
      </c>
      <c r="I277" s="749"/>
      <c r="J277" s="759"/>
      <c r="K277" s="773">
        <v>0</v>
      </c>
      <c r="L277" s="749"/>
      <c r="M277" s="759"/>
      <c r="N277" s="773">
        <v>1.8</v>
      </c>
      <c r="O277" s="749"/>
      <c r="P277" s="759"/>
      <c r="Q277" s="773">
        <v>0</v>
      </c>
      <c r="R277" s="749"/>
      <c r="S277" s="759"/>
      <c r="T277" s="773">
        <v>0</v>
      </c>
      <c r="U277" s="749"/>
      <c r="V277" s="759"/>
      <c r="W277" s="773">
        <v>0</v>
      </c>
      <c r="X277" s="749"/>
      <c r="Y277" s="759"/>
      <c r="Z277" s="773">
        <v>0</v>
      </c>
      <c r="AA277" s="749"/>
      <c r="AB277" s="759"/>
      <c r="AC277" s="773">
        <v>0</v>
      </c>
      <c r="AD277" s="749"/>
      <c r="AE277" s="759"/>
      <c r="AF277" s="773">
        <v>30.88</v>
      </c>
      <c r="AG277" s="749"/>
      <c r="AH277" s="759"/>
      <c r="AI277" s="773">
        <v>155.99</v>
      </c>
      <c r="AJ277" s="749"/>
      <c r="AK277" s="759"/>
      <c r="AL277" s="773">
        <v>47.22</v>
      </c>
      <c r="AM277" s="749"/>
      <c r="AN277" s="759"/>
      <c r="AO277" s="773">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9"/>
      <c r="D278" s="759"/>
      <c r="E278" s="760">
        <v>0</v>
      </c>
      <c r="F278" s="749"/>
      <c r="G278" s="759"/>
      <c r="H278" s="773">
        <v>0</v>
      </c>
      <c r="I278" s="749"/>
      <c r="J278" s="759"/>
      <c r="K278" s="773">
        <v>0</v>
      </c>
      <c r="L278" s="749"/>
      <c r="M278" s="759"/>
      <c r="N278" s="773">
        <v>0</v>
      </c>
      <c r="O278" s="749"/>
      <c r="P278" s="759"/>
      <c r="Q278" s="773">
        <v>0</v>
      </c>
      <c r="R278" s="749"/>
      <c r="S278" s="759"/>
      <c r="T278" s="773">
        <v>0</v>
      </c>
      <c r="U278" s="749"/>
      <c r="V278" s="759"/>
      <c r="W278" s="773">
        <v>0</v>
      </c>
      <c r="X278" s="749"/>
      <c r="Y278" s="759"/>
      <c r="Z278" s="773">
        <v>0</v>
      </c>
      <c r="AA278" s="749"/>
      <c r="AB278" s="759"/>
      <c r="AC278" s="773">
        <v>0</v>
      </c>
      <c r="AD278" s="749"/>
      <c r="AE278" s="759"/>
      <c r="AF278" s="773">
        <v>0</v>
      </c>
      <c r="AG278" s="749"/>
      <c r="AH278" s="759"/>
      <c r="AI278" s="773">
        <v>0</v>
      </c>
      <c r="AJ278" s="749"/>
      <c r="AK278" s="759"/>
      <c r="AL278" s="773">
        <v>0</v>
      </c>
      <c r="AM278" s="749"/>
      <c r="AN278" s="759"/>
      <c r="AO278" s="773">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9"/>
      <c r="D279" s="759"/>
      <c r="E279" s="760">
        <v>2072.9499999999998</v>
      </c>
      <c r="F279" s="749"/>
      <c r="G279" s="759"/>
      <c r="H279" s="773">
        <v>84.82</v>
      </c>
      <c r="I279" s="749"/>
      <c r="J279" s="759"/>
      <c r="K279" s="773">
        <v>114.38</v>
      </c>
      <c r="L279" s="749"/>
      <c r="M279" s="759"/>
      <c r="N279" s="773">
        <v>216.39</v>
      </c>
      <c r="O279" s="749"/>
      <c r="P279" s="759"/>
      <c r="Q279" s="773">
        <v>171.37</v>
      </c>
      <c r="R279" s="749"/>
      <c r="S279" s="759"/>
      <c r="T279" s="773">
        <v>117.42</v>
      </c>
      <c r="U279" s="749"/>
      <c r="V279" s="759"/>
      <c r="W279" s="773">
        <v>132.52000000000001</v>
      </c>
      <c r="X279" s="749"/>
      <c r="Y279" s="759"/>
      <c r="Z279" s="773">
        <v>104.97</v>
      </c>
      <c r="AA279" s="749"/>
      <c r="AB279" s="759"/>
      <c r="AC279" s="773">
        <v>243.74</v>
      </c>
      <c r="AD279" s="749"/>
      <c r="AE279" s="759"/>
      <c r="AF279" s="773">
        <v>150.02000000000001</v>
      </c>
      <c r="AG279" s="749"/>
      <c r="AH279" s="759"/>
      <c r="AI279" s="773">
        <v>50.07</v>
      </c>
      <c r="AJ279" s="749"/>
      <c r="AK279" s="759"/>
      <c r="AL279" s="773">
        <v>451.88</v>
      </c>
      <c r="AM279" s="749"/>
      <c r="AN279" s="759"/>
      <c r="AO279" s="773">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9"/>
      <c r="D280" s="759"/>
      <c r="E280" s="760">
        <v>303.3</v>
      </c>
      <c r="F280" s="749"/>
      <c r="G280" s="759"/>
      <c r="H280" s="773">
        <v>22.74</v>
      </c>
      <c r="I280" s="749"/>
      <c r="J280" s="759"/>
      <c r="K280" s="773">
        <v>24.43</v>
      </c>
      <c r="L280" s="749"/>
      <c r="M280" s="759"/>
      <c r="N280" s="773">
        <v>21.08</v>
      </c>
      <c r="O280" s="749"/>
      <c r="P280" s="759"/>
      <c r="Q280" s="773">
        <v>21.02</v>
      </c>
      <c r="R280" s="749"/>
      <c r="S280" s="759"/>
      <c r="T280" s="773">
        <v>20.98</v>
      </c>
      <c r="U280" s="749"/>
      <c r="V280" s="759"/>
      <c r="W280" s="773">
        <v>20.98</v>
      </c>
      <c r="X280" s="749"/>
      <c r="Y280" s="759"/>
      <c r="Z280" s="773">
        <v>21.2</v>
      </c>
      <c r="AA280" s="749"/>
      <c r="AB280" s="759"/>
      <c r="AC280" s="773">
        <v>53.9</v>
      </c>
      <c r="AD280" s="749"/>
      <c r="AE280" s="759"/>
      <c r="AF280" s="773">
        <v>24.23</v>
      </c>
      <c r="AG280" s="749"/>
      <c r="AH280" s="759"/>
      <c r="AI280" s="773">
        <v>28.44</v>
      </c>
      <c r="AJ280" s="749"/>
      <c r="AK280" s="759"/>
      <c r="AL280" s="773">
        <v>23.32</v>
      </c>
      <c r="AM280" s="749"/>
      <c r="AN280" s="759"/>
      <c r="AO280" s="773">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9"/>
      <c r="D281" s="759"/>
      <c r="E281" s="760">
        <v>354.88</v>
      </c>
      <c r="F281" s="749"/>
      <c r="G281" s="759"/>
      <c r="H281" s="773">
        <v>22.36</v>
      </c>
      <c r="I281" s="749"/>
      <c r="J281" s="759"/>
      <c r="K281" s="773">
        <v>19.350000000000001</v>
      </c>
      <c r="L281" s="749"/>
      <c r="M281" s="759"/>
      <c r="N281" s="773">
        <v>18.59</v>
      </c>
      <c r="O281" s="749"/>
      <c r="P281" s="759"/>
      <c r="Q281" s="773">
        <v>28.24</v>
      </c>
      <c r="R281" s="749"/>
      <c r="S281" s="759"/>
      <c r="T281" s="773">
        <v>25.29</v>
      </c>
      <c r="U281" s="749"/>
      <c r="V281" s="759"/>
      <c r="W281" s="773">
        <v>17.91</v>
      </c>
      <c r="X281" s="749"/>
      <c r="Y281" s="759"/>
      <c r="Z281" s="773">
        <v>28.46</v>
      </c>
      <c r="AA281" s="749"/>
      <c r="AB281" s="759"/>
      <c r="AC281" s="773">
        <v>22.65</v>
      </c>
      <c r="AD281" s="749"/>
      <c r="AE281" s="759"/>
      <c r="AF281" s="773">
        <v>29.2</v>
      </c>
      <c r="AG281" s="749"/>
      <c r="AH281" s="759"/>
      <c r="AI281" s="773">
        <v>55.33</v>
      </c>
      <c r="AJ281" s="749"/>
      <c r="AK281" s="759"/>
      <c r="AL281" s="773">
        <v>37.15</v>
      </c>
      <c r="AM281" s="749"/>
      <c r="AN281" s="759"/>
      <c r="AO281" s="773">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9"/>
      <c r="D282" s="759"/>
      <c r="E282" s="760">
        <v>2466.3700000000003</v>
      </c>
      <c r="F282" s="749"/>
      <c r="G282" s="759"/>
      <c r="H282" s="773">
        <v>796.64</v>
      </c>
      <c r="I282" s="749"/>
      <c r="J282" s="759"/>
      <c r="K282" s="773">
        <v>1433.45</v>
      </c>
      <c r="L282" s="749"/>
      <c r="M282" s="759"/>
      <c r="N282" s="773">
        <v>14.5</v>
      </c>
      <c r="O282" s="749"/>
      <c r="P282" s="759"/>
      <c r="Q282" s="773">
        <v>25.57</v>
      </c>
      <c r="R282" s="749"/>
      <c r="S282" s="759"/>
      <c r="T282" s="773">
        <v>17.18</v>
      </c>
      <c r="U282" s="749"/>
      <c r="V282" s="759"/>
      <c r="W282" s="773">
        <v>24.36</v>
      </c>
      <c r="X282" s="749"/>
      <c r="Y282" s="759"/>
      <c r="Z282" s="773">
        <v>16.940000000000001</v>
      </c>
      <c r="AA282" s="749"/>
      <c r="AB282" s="759"/>
      <c r="AC282" s="773">
        <v>24.65</v>
      </c>
      <c r="AD282" s="749"/>
      <c r="AE282" s="759"/>
      <c r="AF282" s="773">
        <v>43.73</v>
      </c>
      <c r="AG282" s="749"/>
      <c r="AH282" s="759"/>
      <c r="AI282" s="773">
        <v>26.25</v>
      </c>
      <c r="AJ282" s="749"/>
      <c r="AK282" s="759"/>
      <c r="AL282" s="773">
        <v>22.49</v>
      </c>
      <c r="AM282" s="749"/>
      <c r="AN282" s="759"/>
      <c r="AO282" s="773">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9"/>
      <c r="D283" s="759"/>
      <c r="E283" s="760">
        <v>6840.78</v>
      </c>
      <c r="F283" s="749"/>
      <c r="G283" s="759"/>
      <c r="H283" s="773">
        <v>153.18</v>
      </c>
      <c r="I283" s="749"/>
      <c r="J283" s="759"/>
      <c r="K283" s="773">
        <v>105.68</v>
      </c>
      <c r="L283" s="749"/>
      <c r="M283" s="759"/>
      <c r="N283" s="773">
        <v>515.98</v>
      </c>
      <c r="O283" s="749"/>
      <c r="P283" s="759"/>
      <c r="Q283" s="773">
        <v>122.21</v>
      </c>
      <c r="R283" s="749"/>
      <c r="S283" s="759"/>
      <c r="T283" s="773">
        <v>1039.3800000000001</v>
      </c>
      <c r="U283" s="749"/>
      <c r="V283" s="759"/>
      <c r="W283" s="773">
        <v>272.94</v>
      </c>
      <c r="X283" s="749"/>
      <c r="Y283" s="759"/>
      <c r="Z283" s="773">
        <v>22.33</v>
      </c>
      <c r="AA283" s="749"/>
      <c r="AB283" s="759"/>
      <c r="AC283" s="773">
        <v>2627.11</v>
      </c>
      <c r="AD283" s="749"/>
      <c r="AE283" s="759"/>
      <c r="AF283" s="773">
        <v>1851.77</v>
      </c>
      <c r="AG283" s="749"/>
      <c r="AH283" s="759"/>
      <c r="AI283" s="773">
        <v>18.91</v>
      </c>
      <c r="AJ283" s="749"/>
      <c r="AK283" s="759"/>
      <c r="AL283" s="773">
        <v>92.33</v>
      </c>
      <c r="AM283" s="749"/>
      <c r="AN283" s="759"/>
      <c r="AO283" s="773">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9"/>
      <c r="D284" s="759"/>
      <c r="E284" s="760">
        <v>2349.1699999999996</v>
      </c>
      <c r="F284" s="749"/>
      <c r="G284" s="759"/>
      <c r="H284" s="773">
        <v>174.54</v>
      </c>
      <c r="I284" s="749"/>
      <c r="J284" s="759"/>
      <c r="K284" s="773">
        <v>137.97</v>
      </c>
      <c r="L284" s="749"/>
      <c r="M284" s="759"/>
      <c r="N284" s="773">
        <v>19.84</v>
      </c>
      <c r="O284" s="749"/>
      <c r="P284" s="759"/>
      <c r="Q284" s="773">
        <v>168.09</v>
      </c>
      <c r="R284" s="749"/>
      <c r="S284" s="759"/>
      <c r="T284" s="773">
        <v>429.56</v>
      </c>
      <c r="U284" s="749"/>
      <c r="V284" s="759"/>
      <c r="W284" s="773">
        <v>196.51</v>
      </c>
      <c r="X284" s="749"/>
      <c r="Y284" s="759"/>
      <c r="Z284" s="773">
        <v>189.25</v>
      </c>
      <c r="AA284" s="749"/>
      <c r="AB284" s="759"/>
      <c r="AC284" s="773">
        <v>147.77000000000001</v>
      </c>
      <c r="AD284" s="749"/>
      <c r="AE284" s="759"/>
      <c r="AF284" s="773">
        <v>200.2</v>
      </c>
      <c r="AG284" s="749"/>
      <c r="AH284" s="759"/>
      <c r="AI284" s="773">
        <v>222.59</v>
      </c>
      <c r="AJ284" s="749"/>
      <c r="AK284" s="759"/>
      <c r="AL284" s="773">
        <v>284.70999999999998</v>
      </c>
      <c r="AM284" s="749"/>
      <c r="AN284" s="759"/>
      <c r="AO284" s="773">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2" t="s">
        <v>119</v>
      </c>
      <c r="D288" s="793">
        <v>0</v>
      </c>
      <c r="E288" s="794">
        <v>71108.990000000005</v>
      </c>
      <c r="F288" s="792" t="s">
        <v>119</v>
      </c>
      <c r="G288" s="793">
        <v>0</v>
      </c>
      <c r="H288" s="794">
        <v>3869.2699999999995</v>
      </c>
      <c r="I288" s="792" t="s">
        <v>119</v>
      </c>
      <c r="J288" s="793">
        <v>0</v>
      </c>
      <c r="K288" s="794">
        <v>5985.2800000000007</v>
      </c>
      <c r="L288" s="792" t="s">
        <v>119</v>
      </c>
      <c r="M288" s="793">
        <v>0</v>
      </c>
      <c r="N288" s="794">
        <v>2324.0100000000002</v>
      </c>
      <c r="O288" s="792" t="s">
        <v>119</v>
      </c>
      <c r="P288" s="793">
        <v>0</v>
      </c>
      <c r="Q288" s="794">
        <v>4530.79</v>
      </c>
      <c r="R288" s="792" t="s">
        <v>119</v>
      </c>
      <c r="S288" s="793">
        <v>0</v>
      </c>
      <c r="T288" s="794">
        <v>7229.66</v>
      </c>
      <c r="U288" s="792" t="s">
        <v>119</v>
      </c>
      <c r="V288" s="793">
        <v>0</v>
      </c>
      <c r="W288" s="794">
        <v>6917.4999999999991</v>
      </c>
      <c r="X288" s="792" t="s">
        <v>119</v>
      </c>
      <c r="Y288" s="793">
        <v>0</v>
      </c>
      <c r="Z288" s="794">
        <v>3649.2399999999993</v>
      </c>
      <c r="AA288" s="792" t="s">
        <v>119</v>
      </c>
      <c r="AB288" s="793">
        <v>0</v>
      </c>
      <c r="AC288" s="794">
        <v>7522.2099999999991</v>
      </c>
      <c r="AD288" s="792" t="s">
        <v>119</v>
      </c>
      <c r="AE288" s="793">
        <v>0</v>
      </c>
      <c r="AF288" s="794">
        <v>8570.98</v>
      </c>
      <c r="AG288" s="792" t="s">
        <v>119</v>
      </c>
      <c r="AH288" s="793">
        <v>0</v>
      </c>
      <c r="AI288" s="794">
        <v>9022.2900000000009</v>
      </c>
      <c r="AJ288" s="792" t="s">
        <v>119</v>
      </c>
      <c r="AK288" s="793">
        <v>0</v>
      </c>
      <c r="AL288" s="794">
        <v>8237.1899999999987</v>
      </c>
      <c r="AM288" s="792" t="s">
        <v>119</v>
      </c>
      <c r="AN288" s="793">
        <v>0</v>
      </c>
      <c r="AO288" s="794">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9" t="s">
        <v>119</v>
      </c>
      <c r="D290" s="817">
        <v>0</v>
      </c>
      <c r="E290" s="791">
        <v>160353.54999999999</v>
      </c>
      <c r="F290" s="779" t="s">
        <v>119</v>
      </c>
      <c r="G290" s="817">
        <v>0</v>
      </c>
      <c r="H290" s="791">
        <v>12156.150000000001</v>
      </c>
      <c r="I290" s="779" t="s">
        <v>119</v>
      </c>
      <c r="J290" s="817">
        <v>0</v>
      </c>
      <c r="K290" s="791">
        <v>14473.630000000001</v>
      </c>
      <c r="L290" s="779" t="s">
        <v>119</v>
      </c>
      <c r="M290" s="817">
        <v>0</v>
      </c>
      <c r="N290" s="791">
        <v>9502.9900000000016</v>
      </c>
      <c r="O290" s="779" t="s">
        <v>119</v>
      </c>
      <c r="P290" s="817">
        <v>0</v>
      </c>
      <c r="Q290" s="791">
        <v>8657.0499999999993</v>
      </c>
      <c r="R290" s="779" t="s">
        <v>119</v>
      </c>
      <c r="S290" s="817">
        <v>0</v>
      </c>
      <c r="T290" s="791">
        <v>14805.199999999999</v>
      </c>
      <c r="U290" s="779" t="s">
        <v>119</v>
      </c>
      <c r="V290" s="817">
        <v>0</v>
      </c>
      <c r="W290" s="791">
        <v>14953.609999999999</v>
      </c>
      <c r="X290" s="779" t="s">
        <v>119</v>
      </c>
      <c r="Y290" s="817">
        <v>0</v>
      </c>
      <c r="Z290" s="791">
        <v>10750.68</v>
      </c>
      <c r="AA290" s="779" t="s">
        <v>119</v>
      </c>
      <c r="AB290" s="817">
        <v>0</v>
      </c>
      <c r="AC290" s="791">
        <v>15776.259999999998</v>
      </c>
      <c r="AD290" s="779" t="s">
        <v>119</v>
      </c>
      <c r="AE290" s="817">
        <v>0</v>
      </c>
      <c r="AF290" s="791">
        <v>14770.220000000001</v>
      </c>
      <c r="AG290" s="779" t="s">
        <v>119</v>
      </c>
      <c r="AH290" s="817">
        <v>0</v>
      </c>
      <c r="AI290" s="791">
        <v>16180.36</v>
      </c>
      <c r="AJ290" s="779" t="s">
        <v>119</v>
      </c>
      <c r="AK290" s="817">
        <v>0</v>
      </c>
      <c r="AL290" s="791">
        <v>15854.399999999998</v>
      </c>
      <c r="AM290" s="779" t="s">
        <v>119</v>
      </c>
      <c r="AN290" s="817">
        <v>0</v>
      </c>
      <c r="AO290" s="791">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8"/>
      <c r="D292" s="819"/>
      <c r="E292" s="800">
        <v>26114.049999999523</v>
      </c>
      <c r="F292" s="818"/>
      <c r="G292" s="819"/>
      <c r="H292" s="800">
        <v>16240.7399999999</v>
      </c>
      <c r="I292" s="818"/>
      <c r="J292" s="819"/>
      <c r="K292" s="800">
        <v>-2051.7300000000014</v>
      </c>
      <c r="L292" s="818"/>
      <c r="M292" s="819"/>
      <c r="N292" s="800">
        <v>3601.0599999999977</v>
      </c>
      <c r="O292" s="818"/>
      <c r="P292" s="819"/>
      <c r="Q292" s="800">
        <v>-1724.7099999999991</v>
      </c>
      <c r="R292" s="818"/>
      <c r="S292" s="819"/>
      <c r="T292" s="800">
        <v>7749.7900000000027</v>
      </c>
      <c r="U292" s="818"/>
      <c r="V292" s="819"/>
      <c r="W292" s="800">
        <v>-2286.6099999999988</v>
      </c>
      <c r="X292" s="818"/>
      <c r="Y292" s="819"/>
      <c r="Z292" s="800">
        <v>12395.979999999901</v>
      </c>
      <c r="AA292" s="818"/>
      <c r="AB292" s="819"/>
      <c r="AC292" s="800">
        <v>11220.069999999901</v>
      </c>
      <c r="AD292" s="818"/>
      <c r="AE292" s="819"/>
      <c r="AF292" s="800">
        <v>-6914.6600000000108</v>
      </c>
      <c r="AG292" s="818"/>
      <c r="AH292" s="819"/>
      <c r="AI292" s="800">
        <v>365.00999999990017</v>
      </c>
      <c r="AJ292" s="818"/>
      <c r="AK292" s="819"/>
      <c r="AL292" s="800">
        <v>-4223.8700000000972</v>
      </c>
      <c r="AM292" s="818"/>
      <c r="AN292" s="819"/>
      <c r="AO292" s="800">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3873</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71">
        <v>2023</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21">
        <v>1192011.8199999998</v>
      </c>
      <c r="D298" s="815">
        <v>0.34520734869894132</v>
      </c>
      <c r="E298" s="760">
        <v>411491.23999999964</v>
      </c>
      <c r="F298" s="822">
        <v>82311.17</v>
      </c>
      <c r="G298" s="815">
        <v>0.34057018020761826</v>
      </c>
      <c r="H298" s="773">
        <v>28032.729999999901</v>
      </c>
      <c r="I298" s="822">
        <v>64598.619999999901</v>
      </c>
      <c r="J298" s="815">
        <v>0.36178280588656592</v>
      </c>
      <c r="K298" s="773">
        <v>23370.67</v>
      </c>
      <c r="L298" s="822">
        <v>73697.440000000002</v>
      </c>
      <c r="M298" s="815">
        <v>0.34372700055795696</v>
      </c>
      <c r="N298" s="773">
        <v>25331.8</v>
      </c>
      <c r="O298" s="822">
        <v>103800.09</v>
      </c>
      <c r="P298" s="815">
        <v>0.31221562524656771</v>
      </c>
      <c r="Q298" s="773">
        <v>32408.01</v>
      </c>
      <c r="R298" s="822">
        <v>117803.88</v>
      </c>
      <c r="S298" s="815">
        <v>0.34810296570876947</v>
      </c>
      <c r="T298" s="773">
        <v>41007.879999999997</v>
      </c>
      <c r="U298" s="822">
        <v>105150.77</v>
      </c>
      <c r="V298" s="815">
        <v>0.35954544127446714</v>
      </c>
      <c r="W298" s="773">
        <v>37806.480000000003</v>
      </c>
      <c r="X298" s="822">
        <v>99369.709999999905</v>
      </c>
      <c r="Y298" s="815">
        <v>0.32475731286727044</v>
      </c>
      <c r="Z298" s="773">
        <v>32271.039999999899</v>
      </c>
      <c r="AA298" s="822">
        <v>111273.11</v>
      </c>
      <c r="AB298" s="815">
        <v>0.33089953179164222</v>
      </c>
      <c r="AC298" s="773">
        <v>36820.219999999899</v>
      </c>
      <c r="AD298" s="822">
        <v>89538.52</v>
      </c>
      <c r="AE298" s="815">
        <v>0.36544048304573268</v>
      </c>
      <c r="AF298" s="773">
        <v>32721</v>
      </c>
      <c r="AG298" s="822">
        <v>107277.3</v>
      </c>
      <c r="AH298" s="815">
        <v>0.33880280357540687</v>
      </c>
      <c r="AI298" s="773">
        <v>36345.85</v>
      </c>
      <c r="AJ298" s="822">
        <v>133780.1</v>
      </c>
      <c r="AK298" s="815">
        <v>0.36223406919265272</v>
      </c>
      <c r="AL298" s="773">
        <v>48459.71</v>
      </c>
      <c r="AM298" s="822">
        <v>103411.11</v>
      </c>
      <c r="AN298" s="815">
        <v>0.35698146939917769</v>
      </c>
      <c r="AO298" s="773">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21">
        <v>491488.82999999978</v>
      </c>
      <c r="D299" s="815">
        <v>0.26848209347911273</v>
      </c>
      <c r="E299" s="760">
        <v>131955.94999999969</v>
      </c>
      <c r="F299" s="822">
        <v>59143.06</v>
      </c>
      <c r="G299" s="815">
        <v>0.26266733577870172</v>
      </c>
      <c r="H299" s="773">
        <v>15534.949999999901</v>
      </c>
      <c r="I299" s="822">
        <v>50449.97</v>
      </c>
      <c r="J299" s="815">
        <v>0.25000589693115777</v>
      </c>
      <c r="K299" s="773">
        <v>12612.79</v>
      </c>
      <c r="L299" s="822">
        <v>57480.79</v>
      </c>
      <c r="M299" s="815">
        <v>0.23446041712370341</v>
      </c>
      <c r="N299" s="773">
        <v>13476.97</v>
      </c>
      <c r="O299" s="822">
        <v>10030.48</v>
      </c>
      <c r="P299" s="815">
        <v>0.32753666823521804</v>
      </c>
      <c r="Q299" s="773">
        <v>3285.3499999999899</v>
      </c>
      <c r="R299" s="822">
        <v>41761.039999999899</v>
      </c>
      <c r="S299" s="815">
        <v>0.29395244946006927</v>
      </c>
      <c r="T299" s="773">
        <v>12275.7599999999</v>
      </c>
      <c r="U299" s="822">
        <v>37089.9399999999</v>
      </c>
      <c r="V299" s="815">
        <v>0.27931913613232934</v>
      </c>
      <c r="W299" s="773">
        <v>10359.9299999999</v>
      </c>
      <c r="X299" s="822">
        <v>50553.47</v>
      </c>
      <c r="Y299" s="815">
        <v>0.28681235927029342</v>
      </c>
      <c r="Z299" s="773">
        <v>14499.36</v>
      </c>
      <c r="AA299" s="822">
        <v>60727.46</v>
      </c>
      <c r="AB299" s="815">
        <v>0.27616501661686493</v>
      </c>
      <c r="AC299" s="773">
        <v>16770.8</v>
      </c>
      <c r="AD299" s="822">
        <v>23887.27</v>
      </c>
      <c r="AE299" s="815">
        <v>0.30739469181702217</v>
      </c>
      <c r="AF299" s="773">
        <v>7342.82</v>
      </c>
      <c r="AG299" s="822">
        <v>40000.519999999997</v>
      </c>
      <c r="AH299" s="815">
        <v>0.26120960427514445</v>
      </c>
      <c r="AI299" s="773">
        <v>10448.52</v>
      </c>
      <c r="AJ299" s="822">
        <v>36556.910000000003</v>
      </c>
      <c r="AK299" s="815">
        <v>0.24894773655650873</v>
      </c>
      <c r="AL299" s="773">
        <v>9100.76</v>
      </c>
      <c r="AM299" s="822">
        <v>23807.919999999998</v>
      </c>
      <c r="AN299" s="815">
        <v>0.26243115736275996</v>
      </c>
      <c r="AO299" s="773">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21">
        <v>511332.57000000007</v>
      </c>
      <c r="D300" s="815">
        <v>0.23452922234153767</v>
      </c>
      <c r="E300" s="760">
        <v>119922.42999999989</v>
      </c>
      <c r="F300" s="822">
        <v>33190.080000000002</v>
      </c>
      <c r="G300" s="815">
        <v>0.25104157627821322</v>
      </c>
      <c r="H300" s="773">
        <v>8332.09</v>
      </c>
      <c r="I300" s="822">
        <v>39666.25</v>
      </c>
      <c r="J300" s="815">
        <v>0.23944638073929322</v>
      </c>
      <c r="K300" s="773">
        <v>9497.9399999999896</v>
      </c>
      <c r="L300" s="822">
        <v>26875.99</v>
      </c>
      <c r="M300" s="815">
        <v>0.25785617571668989</v>
      </c>
      <c r="N300" s="773">
        <v>6930.14</v>
      </c>
      <c r="O300" s="822">
        <v>50247.839999999997</v>
      </c>
      <c r="P300" s="815">
        <v>0.24430383475189979</v>
      </c>
      <c r="Q300" s="773">
        <v>12275.7399999999</v>
      </c>
      <c r="R300" s="822">
        <v>17870.95</v>
      </c>
      <c r="S300" s="815">
        <v>0.23867169904230048</v>
      </c>
      <c r="T300" s="773">
        <v>4265.29</v>
      </c>
      <c r="U300" s="822">
        <v>21374.01</v>
      </c>
      <c r="V300" s="815">
        <v>0.24063102805697154</v>
      </c>
      <c r="W300" s="773">
        <v>5143.24999999999</v>
      </c>
      <c r="X300" s="822">
        <v>47223.46</v>
      </c>
      <c r="Y300" s="815">
        <v>0.2315844709388088</v>
      </c>
      <c r="Z300" s="773">
        <v>10936.22</v>
      </c>
      <c r="AA300" s="822">
        <v>81262.460000000006</v>
      </c>
      <c r="AB300" s="815">
        <v>0.23106524217947622</v>
      </c>
      <c r="AC300" s="773">
        <v>18776.93</v>
      </c>
      <c r="AD300" s="822">
        <v>58707.55</v>
      </c>
      <c r="AE300" s="815">
        <v>0.2316078596364522</v>
      </c>
      <c r="AF300" s="773">
        <v>13597.13</v>
      </c>
      <c r="AG300" s="822">
        <v>40743.97</v>
      </c>
      <c r="AH300" s="815">
        <v>0.25411318533760946</v>
      </c>
      <c r="AI300" s="773">
        <v>10353.58</v>
      </c>
      <c r="AJ300" s="822">
        <v>27809.93</v>
      </c>
      <c r="AK300" s="815">
        <v>0.1430377566574238</v>
      </c>
      <c r="AL300" s="773">
        <v>3977.8699999999899</v>
      </c>
      <c r="AM300" s="822">
        <v>66360.08</v>
      </c>
      <c r="AN300" s="815">
        <v>0.23864121321131621</v>
      </c>
      <c r="AO300" s="773">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21">
        <v>481751.80000000005</v>
      </c>
      <c r="D301" s="815">
        <v>0.30924150153668339</v>
      </c>
      <c r="E301" s="760">
        <v>148977.65</v>
      </c>
      <c r="F301" s="822">
        <v>28194.25</v>
      </c>
      <c r="G301" s="815">
        <v>0.32791934525656791</v>
      </c>
      <c r="H301" s="773">
        <v>9245.4399999999896</v>
      </c>
      <c r="I301" s="822">
        <v>28846.63</v>
      </c>
      <c r="J301" s="815">
        <v>0.30991592432114257</v>
      </c>
      <c r="K301" s="773">
        <v>8940.0300000000007</v>
      </c>
      <c r="L301" s="822">
        <v>32999.22</v>
      </c>
      <c r="M301" s="815">
        <v>0.29415968013789418</v>
      </c>
      <c r="N301" s="773">
        <v>9707.0400000000009</v>
      </c>
      <c r="O301" s="822">
        <v>24960.95</v>
      </c>
      <c r="P301" s="815">
        <v>0.31938207480083891</v>
      </c>
      <c r="Q301" s="773">
        <v>7972.08</v>
      </c>
      <c r="R301" s="822">
        <v>35439.96</v>
      </c>
      <c r="S301" s="815">
        <v>0.34078368034275436</v>
      </c>
      <c r="T301" s="773">
        <v>12077.36</v>
      </c>
      <c r="U301" s="822">
        <v>33715.69</v>
      </c>
      <c r="V301" s="815">
        <v>0.30651308040855751</v>
      </c>
      <c r="W301" s="773">
        <v>10334.299999999999</v>
      </c>
      <c r="X301" s="822">
        <v>49052.26</v>
      </c>
      <c r="Y301" s="815">
        <v>0.31003097512734373</v>
      </c>
      <c r="Z301" s="773">
        <v>15207.72</v>
      </c>
      <c r="AA301" s="822">
        <v>35747.19</v>
      </c>
      <c r="AB301" s="815">
        <v>0.33819749188677489</v>
      </c>
      <c r="AC301" s="773">
        <v>12089.61</v>
      </c>
      <c r="AD301" s="822">
        <v>47172.79</v>
      </c>
      <c r="AE301" s="815">
        <v>0.32062678505977704</v>
      </c>
      <c r="AF301" s="773">
        <v>15124.86</v>
      </c>
      <c r="AG301" s="822">
        <v>56008.65</v>
      </c>
      <c r="AH301" s="815">
        <v>0.29652598304011968</v>
      </c>
      <c r="AI301" s="773">
        <v>16608.02</v>
      </c>
      <c r="AJ301" s="822">
        <v>67622.210000000006</v>
      </c>
      <c r="AK301" s="815">
        <v>0.28324288721116919</v>
      </c>
      <c r="AL301" s="773">
        <v>19153.509999999998</v>
      </c>
      <c r="AM301" s="822">
        <v>41992</v>
      </c>
      <c r="AN301" s="815">
        <v>0.29809678033911224</v>
      </c>
      <c r="AO301" s="773">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21">
        <v>207516.24000000002</v>
      </c>
      <c r="D302" s="815">
        <v>0.25799672353354103</v>
      </c>
      <c r="E302" s="760">
        <v>53538.509999999958</v>
      </c>
      <c r="F302" s="822">
        <v>17577.66</v>
      </c>
      <c r="G302" s="815">
        <v>0.30386240261786834</v>
      </c>
      <c r="H302" s="773">
        <v>5341.19</v>
      </c>
      <c r="I302" s="822">
        <v>16153.13</v>
      </c>
      <c r="J302" s="815">
        <v>0.26057859993697818</v>
      </c>
      <c r="K302" s="773">
        <v>4209.16</v>
      </c>
      <c r="L302" s="822">
        <v>21105.759999999998</v>
      </c>
      <c r="M302" s="815">
        <v>0.24661135159311914</v>
      </c>
      <c r="N302" s="773">
        <v>5204.9199999999901</v>
      </c>
      <c r="O302" s="822">
        <v>19409.09</v>
      </c>
      <c r="P302" s="815">
        <v>0.26700582046865673</v>
      </c>
      <c r="Q302" s="773">
        <v>5182.34</v>
      </c>
      <c r="R302" s="822">
        <v>18968.09</v>
      </c>
      <c r="S302" s="815">
        <v>0.26662357675443338</v>
      </c>
      <c r="T302" s="773">
        <v>5057.34</v>
      </c>
      <c r="U302" s="822">
        <v>14407.53</v>
      </c>
      <c r="V302" s="815">
        <v>0.28317553390484002</v>
      </c>
      <c r="W302" s="773">
        <v>4079.86</v>
      </c>
      <c r="X302" s="822">
        <v>18843.27</v>
      </c>
      <c r="Y302" s="815">
        <v>0.21975909701447782</v>
      </c>
      <c r="Z302" s="773">
        <v>4140.9799999999996</v>
      </c>
      <c r="AA302" s="822">
        <v>13071.21</v>
      </c>
      <c r="AB302" s="815">
        <v>0.2633015612173617</v>
      </c>
      <c r="AC302" s="773">
        <v>3441.6699999999901</v>
      </c>
      <c r="AD302" s="822">
        <v>14154.98</v>
      </c>
      <c r="AE302" s="815">
        <v>0.26499154361221211</v>
      </c>
      <c r="AF302" s="773">
        <v>3750.9499999999898</v>
      </c>
      <c r="AG302" s="822">
        <v>16941.57</v>
      </c>
      <c r="AH302" s="815">
        <v>0.22296929977564003</v>
      </c>
      <c r="AI302" s="773">
        <v>3777.4499999999898</v>
      </c>
      <c r="AJ302" s="822">
        <v>22817.25</v>
      </c>
      <c r="AK302" s="815">
        <v>0.23199027051901522</v>
      </c>
      <c r="AL302" s="773">
        <v>5293.38</v>
      </c>
      <c r="AM302" s="822">
        <v>14066.7</v>
      </c>
      <c r="AN302" s="815">
        <v>0.28857301286015907</v>
      </c>
      <c r="AO302" s="773">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21">
        <v>1486540.9599999997</v>
      </c>
      <c r="D303" s="815">
        <v>0.17803058046917147</v>
      </c>
      <c r="E303" s="760">
        <v>264649.74999999936</v>
      </c>
      <c r="F303" s="822">
        <v>126239.13</v>
      </c>
      <c r="G303" s="815">
        <v>0.18811694915831564</v>
      </c>
      <c r="H303" s="773">
        <v>23747.72</v>
      </c>
      <c r="I303" s="822">
        <v>124967.5</v>
      </c>
      <c r="J303" s="815">
        <v>0.19190637565767019</v>
      </c>
      <c r="K303" s="773">
        <v>23982.059999999899</v>
      </c>
      <c r="L303" s="822">
        <v>145372.95000000001</v>
      </c>
      <c r="M303" s="815">
        <v>0.1869029279518645</v>
      </c>
      <c r="N303" s="773">
        <v>27170.63</v>
      </c>
      <c r="O303" s="822">
        <v>110639.22</v>
      </c>
      <c r="P303" s="815">
        <v>0.1786696435495469</v>
      </c>
      <c r="Q303" s="773">
        <v>19767.869999999901</v>
      </c>
      <c r="R303" s="822">
        <v>131455.94</v>
      </c>
      <c r="S303" s="815">
        <v>0.18220355808950134</v>
      </c>
      <c r="T303" s="773">
        <v>23951.74</v>
      </c>
      <c r="U303" s="822">
        <v>105345.60000000001</v>
      </c>
      <c r="V303" s="815">
        <v>0.18486533846691269</v>
      </c>
      <c r="W303" s="773">
        <v>19474.75</v>
      </c>
      <c r="X303" s="822">
        <v>133684.29999999999</v>
      </c>
      <c r="Y303" s="815">
        <v>0.18301662947705827</v>
      </c>
      <c r="Z303" s="773">
        <v>24466.449999999899</v>
      </c>
      <c r="AA303" s="822">
        <v>114010.97</v>
      </c>
      <c r="AB303" s="815">
        <v>0.18489790938538633</v>
      </c>
      <c r="AC303" s="773">
        <v>21080.39</v>
      </c>
      <c r="AD303" s="822">
        <v>124254.39</v>
      </c>
      <c r="AE303" s="815">
        <v>0.17551951283169875</v>
      </c>
      <c r="AF303" s="773">
        <v>21809.069999999901</v>
      </c>
      <c r="AG303" s="822">
        <v>137780.70000000001</v>
      </c>
      <c r="AH303" s="815">
        <v>0.16951067892672919</v>
      </c>
      <c r="AI303" s="773">
        <v>23355.3</v>
      </c>
      <c r="AJ303" s="822">
        <v>123520.37</v>
      </c>
      <c r="AK303" s="815">
        <v>0.17072520103364247</v>
      </c>
      <c r="AL303" s="773">
        <v>21088.039999999899</v>
      </c>
      <c r="AM303" s="822">
        <v>109269.89</v>
      </c>
      <c r="AN303" s="815">
        <v>0.13503930497230207</v>
      </c>
      <c r="AO303" s="773">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21">
        <v>0</v>
      </c>
      <c r="D305" s="815">
        <v>0</v>
      </c>
      <c r="E305" s="760">
        <v>107117.11999999988</v>
      </c>
      <c r="F305" s="822">
        <v>0</v>
      </c>
      <c r="G305" s="815">
        <v>0</v>
      </c>
      <c r="H305" s="773">
        <v>5742.52</v>
      </c>
      <c r="I305" s="822">
        <v>0</v>
      </c>
      <c r="J305" s="815">
        <v>0</v>
      </c>
      <c r="K305" s="773">
        <v>7516.7999999999902</v>
      </c>
      <c r="L305" s="822">
        <v>0</v>
      </c>
      <c r="M305" s="815">
        <v>0</v>
      </c>
      <c r="N305" s="773">
        <v>9182.9</v>
      </c>
      <c r="O305" s="822">
        <v>0</v>
      </c>
      <c r="P305" s="815">
        <v>0</v>
      </c>
      <c r="Q305" s="773">
        <v>13912.76</v>
      </c>
      <c r="R305" s="822">
        <v>0</v>
      </c>
      <c r="S305" s="815">
        <v>0</v>
      </c>
      <c r="T305" s="773">
        <v>8490.4599999999991</v>
      </c>
      <c r="U305" s="822">
        <v>0</v>
      </c>
      <c r="V305" s="815">
        <v>0</v>
      </c>
      <c r="W305" s="773">
        <v>7973.19</v>
      </c>
      <c r="X305" s="822">
        <v>0</v>
      </c>
      <c r="Y305" s="815">
        <v>0</v>
      </c>
      <c r="Z305" s="773">
        <v>7131.57</v>
      </c>
      <c r="AA305" s="822">
        <v>0</v>
      </c>
      <c r="AB305" s="815">
        <v>0</v>
      </c>
      <c r="AC305" s="773">
        <v>4366.2299999999996</v>
      </c>
      <c r="AD305" s="822">
        <v>0</v>
      </c>
      <c r="AE305" s="815">
        <v>0</v>
      </c>
      <c r="AF305" s="773">
        <v>8499.4599999999991</v>
      </c>
      <c r="AG305" s="822">
        <v>0</v>
      </c>
      <c r="AH305" s="815">
        <v>0</v>
      </c>
      <c r="AI305" s="773">
        <v>5777.25</v>
      </c>
      <c r="AJ305" s="822">
        <v>0</v>
      </c>
      <c r="AK305" s="815">
        <v>0</v>
      </c>
      <c r="AL305" s="773">
        <v>18021.03</v>
      </c>
      <c r="AM305" s="822">
        <v>0</v>
      </c>
      <c r="AN305" s="815">
        <v>0</v>
      </c>
      <c r="AO305" s="773">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5">
        <v>4370642.22</v>
      </c>
      <c r="D307" s="856">
        <v>0.28317409380628705</v>
      </c>
      <c r="E307" s="857">
        <v>1237652.6499999985</v>
      </c>
      <c r="F307" s="855">
        <v>346655.35</v>
      </c>
      <c r="G307" s="856">
        <v>0.27686473034384096</v>
      </c>
      <c r="H307" s="857">
        <v>95976.639999999796</v>
      </c>
      <c r="I307" s="855">
        <v>324682.09999999992</v>
      </c>
      <c r="J307" s="856">
        <v>0.2775929131910872</v>
      </c>
      <c r="K307" s="857">
        <v>90129.449999999866</v>
      </c>
      <c r="L307" s="855">
        <v>357532.15</v>
      </c>
      <c r="M307" s="856">
        <v>0.27131657950201116</v>
      </c>
      <c r="N307" s="857">
        <v>97004.39999999998</v>
      </c>
      <c r="O307" s="855">
        <v>319087.67</v>
      </c>
      <c r="P307" s="856">
        <v>0.29711003875517905</v>
      </c>
      <c r="Q307" s="857">
        <v>94804.149999999776</v>
      </c>
      <c r="R307" s="855">
        <v>363299.85999999987</v>
      </c>
      <c r="S307" s="856">
        <v>0.29486889975680125</v>
      </c>
      <c r="T307" s="857">
        <v>107125.8299999999</v>
      </c>
      <c r="U307" s="855">
        <v>317083.53999999992</v>
      </c>
      <c r="V307" s="856">
        <v>0.30014727349139575</v>
      </c>
      <c r="W307" s="857">
        <v>95171.759999999893</v>
      </c>
      <c r="X307" s="855">
        <v>398726.46999999991</v>
      </c>
      <c r="Y307" s="856">
        <v>0.27250094532224012</v>
      </c>
      <c r="Z307" s="857">
        <v>108653.33999999979</v>
      </c>
      <c r="AA307" s="855">
        <v>416092.4</v>
      </c>
      <c r="AB307" s="856">
        <v>0.27240548012893256</v>
      </c>
      <c r="AC307" s="857">
        <v>113345.84999999987</v>
      </c>
      <c r="AD307" s="855">
        <v>357715.50000000006</v>
      </c>
      <c r="AE307" s="856">
        <v>0.28750582515993822</v>
      </c>
      <c r="AF307" s="857">
        <v>102845.28999999989</v>
      </c>
      <c r="AG307" s="855">
        <v>398752.71</v>
      </c>
      <c r="AH307" s="856">
        <v>0.26749904721650664</v>
      </c>
      <c r="AI307" s="857">
        <v>106665.96999999999</v>
      </c>
      <c r="AJ307" s="855">
        <v>412106.77</v>
      </c>
      <c r="AK307" s="856">
        <v>0.30354827706421783</v>
      </c>
      <c r="AL307" s="857">
        <v>125094.2999999999</v>
      </c>
      <c r="AM307" s="855">
        <v>358907.7</v>
      </c>
      <c r="AN307" s="856">
        <v>0.28095153712221776</v>
      </c>
      <c r="AO307" s="857">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21">
        <v>553066.79999999993</v>
      </c>
      <c r="D310" s="815">
        <v>0.17961251696901703</v>
      </c>
      <c r="E310" s="760">
        <v>99337.719999999943</v>
      </c>
      <c r="F310" s="822">
        <v>30592.2399999999</v>
      </c>
      <c r="G310" s="815">
        <v>0.19904818999850976</v>
      </c>
      <c r="H310" s="773">
        <v>6089.3299999999899</v>
      </c>
      <c r="I310" s="822">
        <v>41997.53</v>
      </c>
      <c r="J310" s="815">
        <v>0.18267050467015536</v>
      </c>
      <c r="K310" s="773">
        <v>7671.70999999999</v>
      </c>
      <c r="L310" s="822">
        <v>41663.86</v>
      </c>
      <c r="M310" s="815">
        <v>0.16266375703067357</v>
      </c>
      <c r="N310" s="773">
        <v>6777.2</v>
      </c>
      <c r="O310" s="822">
        <v>30345.22</v>
      </c>
      <c r="P310" s="815">
        <v>0.16760069625463253</v>
      </c>
      <c r="Q310" s="773">
        <v>5085.88</v>
      </c>
      <c r="R310" s="822">
        <v>35494.959999999999</v>
      </c>
      <c r="S310" s="815">
        <v>0.19044309389276648</v>
      </c>
      <c r="T310" s="773">
        <v>6759.7699999999904</v>
      </c>
      <c r="U310" s="822">
        <v>19732.46</v>
      </c>
      <c r="V310" s="815">
        <v>0.19391348063039227</v>
      </c>
      <c r="W310" s="773">
        <v>3826.3899999999899</v>
      </c>
      <c r="X310" s="822">
        <v>17144.36</v>
      </c>
      <c r="Y310" s="815">
        <v>0.20076806599954736</v>
      </c>
      <c r="Z310" s="773">
        <v>3442.04</v>
      </c>
      <c r="AA310" s="822">
        <v>17683.11</v>
      </c>
      <c r="AB310" s="815">
        <v>0.18873094155948811</v>
      </c>
      <c r="AC310" s="773">
        <v>3337.35</v>
      </c>
      <c r="AD310" s="822">
        <v>31339.7</v>
      </c>
      <c r="AE310" s="815">
        <v>0.18025252315752832</v>
      </c>
      <c r="AF310" s="773">
        <v>5649.0599999999904</v>
      </c>
      <c r="AG310" s="822">
        <v>77932.36</v>
      </c>
      <c r="AH310" s="815">
        <v>0.1819295604547328</v>
      </c>
      <c r="AI310" s="773">
        <v>14178.2</v>
      </c>
      <c r="AJ310" s="822">
        <v>150650.59</v>
      </c>
      <c r="AK310" s="815">
        <v>0.17327439607106748</v>
      </c>
      <c r="AL310" s="773">
        <v>26103.89</v>
      </c>
      <c r="AM310" s="822">
        <v>58490.41</v>
      </c>
      <c r="AN310" s="815">
        <v>0.17809586221057433</v>
      </c>
      <c r="AO310" s="773">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21">
        <v>268549.64999999997</v>
      </c>
      <c r="D311" s="815">
        <v>0.24732212460526376</v>
      </c>
      <c r="E311" s="760">
        <v>66418.26999999996</v>
      </c>
      <c r="F311" s="822">
        <v>19043.990000000002</v>
      </c>
      <c r="G311" s="815">
        <v>0.26548270609257829</v>
      </c>
      <c r="H311" s="773">
        <v>5055.8500000000004</v>
      </c>
      <c r="I311" s="822">
        <v>16201.81</v>
      </c>
      <c r="J311" s="815">
        <v>0.28618839500031112</v>
      </c>
      <c r="K311" s="773">
        <v>4636.7699999999904</v>
      </c>
      <c r="L311" s="822">
        <v>18457.419999999998</v>
      </c>
      <c r="M311" s="815">
        <v>0.27123400778656986</v>
      </c>
      <c r="N311" s="773">
        <v>5006.2799999999897</v>
      </c>
      <c r="O311" s="822">
        <v>23693.71</v>
      </c>
      <c r="P311" s="815">
        <v>0.25796593273066948</v>
      </c>
      <c r="Q311" s="773">
        <v>6112.1699999999901</v>
      </c>
      <c r="R311" s="822">
        <v>26037.82</v>
      </c>
      <c r="S311" s="815">
        <v>0.26885891368785869</v>
      </c>
      <c r="T311" s="773">
        <v>7000.5</v>
      </c>
      <c r="U311" s="822">
        <v>21141.68</v>
      </c>
      <c r="V311" s="815">
        <v>0.24924603910379872</v>
      </c>
      <c r="W311" s="773">
        <v>5269.48</v>
      </c>
      <c r="X311" s="822">
        <v>23063.49</v>
      </c>
      <c r="Y311" s="815">
        <v>0.25688479930834401</v>
      </c>
      <c r="Z311" s="773">
        <v>5924.66</v>
      </c>
      <c r="AA311" s="822">
        <v>19868.830000000002</v>
      </c>
      <c r="AB311" s="815">
        <v>0.22414757184997808</v>
      </c>
      <c r="AC311" s="773">
        <v>4453.55</v>
      </c>
      <c r="AD311" s="822">
        <v>19956.650000000001</v>
      </c>
      <c r="AE311" s="815">
        <v>0.21938401485219211</v>
      </c>
      <c r="AF311" s="773">
        <v>4378.17</v>
      </c>
      <c r="AG311" s="822">
        <v>26618.27</v>
      </c>
      <c r="AH311" s="815">
        <v>0.21983885504204442</v>
      </c>
      <c r="AI311" s="773">
        <v>5851.73</v>
      </c>
      <c r="AJ311" s="822">
        <v>34386.25</v>
      </c>
      <c r="AK311" s="815">
        <v>0.23183917990475844</v>
      </c>
      <c r="AL311" s="773">
        <v>7972.08</v>
      </c>
      <c r="AM311" s="822">
        <v>20079.73</v>
      </c>
      <c r="AN311" s="815">
        <v>0.2369070699655817</v>
      </c>
      <c r="AO311" s="773">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5">
        <v>5192258.67</v>
      </c>
      <c r="D312" s="856">
        <v>0.27028866032978255</v>
      </c>
      <c r="E312" s="857">
        <v>1403408.6399999985</v>
      </c>
      <c r="F312" s="855">
        <v>396291.57999999984</v>
      </c>
      <c r="G312" s="856">
        <v>0.27031061321060579</v>
      </c>
      <c r="H312" s="857">
        <v>107121.81999999979</v>
      </c>
      <c r="I312" s="855">
        <v>382881.43999999989</v>
      </c>
      <c r="J312" s="856">
        <v>0.26754477835227497</v>
      </c>
      <c r="K312" s="857">
        <v>102437.92999999985</v>
      </c>
      <c r="L312" s="855">
        <v>417653.43</v>
      </c>
      <c r="M312" s="856">
        <v>0.2604740490219366</v>
      </c>
      <c r="N312" s="857">
        <v>108787.87999999996</v>
      </c>
      <c r="O312" s="855">
        <v>373126.60000000003</v>
      </c>
      <c r="P312" s="856">
        <v>0.28409178010894898</v>
      </c>
      <c r="Q312" s="857">
        <v>106002.19999999976</v>
      </c>
      <c r="R312" s="855">
        <v>424832.6399999999</v>
      </c>
      <c r="S312" s="856">
        <v>0.28454993476960694</v>
      </c>
      <c r="T312" s="857">
        <v>120886.09999999989</v>
      </c>
      <c r="U312" s="855">
        <v>357957.67999999993</v>
      </c>
      <c r="V312" s="856">
        <v>0.29128479657148265</v>
      </c>
      <c r="W312" s="857">
        <v>104267.62999999987</v>
      </c>
      <c r="X312" s="855">
        <v>438934.31999999989</v>
      </c>
      <c r="Y312" s="856">
        <v>0.26887858757547101</v>
      </c>
      <c r="Z312" s="857">
        <v>118020.03999999979</v>
      </c>
      <c r="AA312" s="855">
        <v>453644.34</v>
      </c>
      <c r="AB312" s="856">
        <v>0.26703022460282405</v>
      </c>
      <c r="AC312" s="857">
        <v>121136.74999999988</v>
      </c>
      <c r="AD312" s="855">
        <v>409011.85000000009</v>
      </c>
      <c r="AE312" s="856">
        <v>0.27596393600821068</v>
      </c>
      <c r="AF312" s="857">
        <v>112872.51999999989</v>
      </c>
      <c r="AG312" s="855">
        <v>503303.34</v>
      </c>
      <c r="AH312" s="856">
        <v>0.2517287089730022</v>
      </c>
      <c r="AI312" s="857">
        <v>126695.89999999998</v>
      </c>
      <c r="AJ312" s="855">
        <v>597143.61</v>
      </c>
      <c r="AK312" s="856">
        <v>0.26655274767153564</v>
      </c>
      <c r="AL312" s="857">
        <v>159170.26999999987</v>
      </c>
      <c r="AM312" s="855">
        <v>437477.83999999997</v>
      </c>
      <c r="AN312" s="856">
        <v>0.26517823165625892</v>
      </c>
      <c r="AO312" s="857">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3868</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61">
        <v>5192258.67</v>
      </c>
      <c r="D317" s="863">
        <v>0.27028866032978255</v>
      </c>
      <c r="E317" s="763">
        <v>1403408.6399999985</v>
      </c>
      <c r="F317" s="761">
        <v>396291.57999999984</v>
      </c>
      <c r="G317" s="863">
        <v>0.27031061321060579</v>
      </c>
      <c r="H317" s="763">
        <v>107121.81999999979</v>
      </c>
      <c r="I317" s="761">
        <v>382881.43999999989</v>
      </c>
      <c r="J317" s="863">
        <v>0.26754477835227497</v>
      </c>
      <c r="K317" s="763">
        <v>102437.92999999985</v>
      </c>
      <c r="L317" s="761">
        <v>417653.43</v>
      </c>
      <c r="M317" s="863">
        <v>0.2604740490219366</v>
      </c>
      <c r="N317" s="763">
        <v>108787.87999999996</v>
      </c>
      <c r="O317" s="761">
        <v>373126.60000000003</v>
      </c>
      <c r="P317" s="863">
        <v>0.28409178010894898</v>
      </c>
      <c r="Q317" s="763">
        <v>106002.19999999976</v>
      </c>
      <c r="R317" s="761">
        <v>424832.6399999999</v>
      </c>
      <c r="S317" s="863">
        <v>0.28454993476960694</v>
      </c>
      <c r="T317" s="763">
        <v>120886.09999999989</v>
      </c>
      <c r="U317" s="761">
        <v>357957.67999999993</v>
      </c>
      <c r="V317" s="863">
        <v>0.29128479657148265</v>
      </c>
      <c r="W317" s="763">
        <v>104267.62999999987</v>
      </c>
      <c r="X317" s="761">
        <v>438934.31999999989</v>
      </c>
      <c r="Y317" s="863">
        <v>0.26887858757547101</v>
      </c>
      <c r="Z317" s="763">
        <v>118020.03999999979</v>
      </c>
      <c r="AA317" s="761">
        <v>453644.34</v>
      </c>
      <c r="AB317" s="863">
        <v>0.26703022460282405</v>
      </c>
      <c r="AC317" s="763">
        <v>121136.74999999988</v>
      </c>
      <c r="AD317" s="761">
        <v>409011.85000000009</v>
      </c>
      <c r="AE317" s="863">
        <v>0.27596393600821068</v>
      </c>
      <c r="AF317" s="763">
        <v>112872.51999999989</v>
      </c>
      <c r="AG317" s="761">
        <v>503303.34</v>
      </c>
      <c r="AH317" s="863">
        <v>0.2517287089730022</v>
      </c>
      <c r="AI317" s="763">
        <v>126695.89999999998</v>
      </c>
      <c r="AJ317" s="761">
        <v>597143.61</v>
      </c>
      <c r="AK317" s="863">
        <v>0.26655274767153564</v>
      </c>
      <c r="AL317" s="763">
        <v>159170.26999999987</v>
      </c>
      <c r="AM317" s="761">
        <v>437477.83999999997</v>
      </c>
      <c r="AN317" s="863">
        <v>0.26517823165625892</v>
      </c>
      <c r="AO317" s="763">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9"/>
      <c r="D321" s="759"/>
      <c r="E321" s="760">
        <v>84682.14</v>
      </c>
      <c r="F321" s="749"/>
      <c r="G321" s="759"/>
      <c r="H321" s="773">
        <v>5210.5200000000004</v>
      </c>
      <c r="I321" s="749"/>
      <c r="J321" s="759"/>
      <c r="K321" s="773">
        <v>7237.23</v>
      </c>
      <c r="L321" s="749"/>
      <c r="M321" s="759"/>
      <c r="N321" s="773">
        <v>7222.04</v>
      </c>
      <c r="O321" s="749"/>
      <c r="P321" s="759"/>
      <c r="Q321" s="773">
        <v>6557.1</v>
      </c>
      <c r="R321" s="749"/>
      <c r="S321" s="759"/>
      <c r="T321" s="773">
        <v>6312.13</v>
      </c>
      <c r="U321" s="749"/>
      <c r="V321" s="759"/>
      <c r="W321" s="773">
        <v>7430.53</v>
      </c>
      <c r="X321" s="749"/>
      <c r="Y321" s="759"/>
      <c r="Z321" s="773">
        <v>7410.88</v>
      </c>
      <c r="AA321" s="749"/>
      <c r="AB321" s="759"/>
      <c r="AC321" s="773">
        <v>8034.1</v>
      </c>
      <c r="AD321" s="749"/>
      <c r="AE321" s="759"/>
      <c r="AF321" s="773">
        <v>3331.7</v>
      </c>
      <c r="AG321" s="749"/>
      <c r="AH321" s="759"/>
      <c r="AI321" s="773">
        <v>3701.53</v>
      </c>
      <c r="AJ321" s="749"/>
      <c r="AK321" s="759"/>
      <c r="AL321" s="773">
        <v>10881.83</v>
      </c>
      <c r="AM321" s="749"/>
      <c r="AN321" s="759"/>
      <c r="AO321" s="773">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9"/>
      <c r="D322" s="759"/>
      <c r="E322" s="760">
        <v>294172.55</v>
      </c>
      <c r="F322" s="749"/>
      <c r="G322" s="759"/>
      <c r="H322" s="773">
        <v>24614.9</v>
      </c>
      <c r="I322" s="749"/>
      <c r="J322" s="759"/>
      <c r="K322" s="773">
        <v>23775.67</v>
      </c>
      <c r="L322" s="749"/>
      <c r="M322" s="759"/>
      <c r="N322" s="773">
        <v>25892.82</v>
      </c>
      <c r="O322" s="749"/>
      <c r="P322" s="759"/>
      <c r="Q322" s="773">
        <v>23228.23</v>
      </c>
      <c r="R322" s="749"/>
      <c r="S322" s="759"/>
      <c r="T322" s="773">
        <v>26693.7</v>
      </c>
      <c r="U322" s="749"/>
      <c r="V322" s="759"/>
      <c r="W322" s="773">
        <v>24203.71</v>
      </c>
      <c r="X322" s="749"/>
      <c r="Y322" s="759"/>
      <c r="Z322" s="773">
        <v>21961.89</v>
      </c>
      <c r="AA322" s="749"/>
      <c r="AB322" s="759"/>
      <c r="AC322" s="773">
        <v>19684.650000000001</v>
      </c>
      <c r="AD322" s="749"/>
      <c r="AE322" s="759"/>
      <c r="AF322" s="773">
        <v>30206.06</v>
      </c>
      <c r="AG322" s="749"/>
      <c r="AH322" s="759"/>
      <c r="AI322" s="773">
        <v>22126.37</v>
      </c>
      <c r="AJ322" s="749"/>
      <c r="AK322" s="759"/>
      <c r="AL322" s="773">
        <v>26228.09</v>
      </c>
      <c r="AM322" s="749"/>
      <c r="AN322" s="759"/>
      <c r="AO322" s="773">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2"/>
      <c r="D323" s="783"/>
      <c r="E323" s="784">
        <v>15780.18</v>
      </c>
      <c r="F323" s="782"/>
      <c r="G323" s="783"/>
      <c r="H323" s="785">
        <v>1040.52</v>
      </c>
      <c r="I323" s="782"/>
      <c r="J323" s="783"/>
      <c r="K323" s="785">
        <v>113.92</v>
      </c>
      <c r="L323" s="782"/>
      <c r="M323" s="783"/>
      <c r="N323" s="785">
        <v>113.92</v>
      </c>
      <c r="O323" s="782"/>
      <c r="P323" s="783"/>
      <c r="Q323" s="785">
        <v>2573.29</v>
      </c>
      <c r="R323" s="782"/>
      <c r="S323" s="783"/>
      <c r="T323" s="785">
        <v>113.92</v>
      </c>
      <c r="U323" s="782"/>
      <c r="V323" s="783"/>
      <c r="W323" s="785">
        <v>1521.99</v>
      </c>
      <c r="X323" s="782"/>
      <c r="Y323" s="783"/>
      <c r="Z323" s="785">
        <v>248.16</v>
      </c>
      <c r="AA323" s="782"/>
      <c r="AB323" s="783"/>
      <c r="AC323" s="785">
        <v>113.92</v>
      </c>
      <c r="AD323" s="782"/>
      <c r="AE323" s="783"/>
      <c r="AF323" s="785">
        <v>2264.56</v>
      </c>
      <c r="AG323" s="782"/>
      <c r="AH323" s="783"/>
      <c r="AI323" s="785">
        <v>3676.64</v>
      </c>
      <c r="AJ323" s="782"/>
      <c r="AK323" s="783"/>
      <c r="AL323" s="785">
        <v>113.92</v>
      </c>
      <c r="AM323" s="782"/>
      <c r="AN323" s="783"/>
      <c r="AO323" s="785">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9"/>
      <c r="D328" s="759"/>
      <c r="E328" s="760">
        <v>39233.490000000005</v>
      </c>
      <c r="F328" s="749"/>
      <c r="G328" s="759"/>
      <c r="H328" s="773">
        <v>4232.28</v>
      </c>
      <c r="I328" s="749"/>
      <c r="J328" s="759"/>
      <c r="K328" s="773">
        <v>2361.19</v>
      </c>
      <c r="L328" s="749"/>
      <c r="M328" s="759"/>
      <c r="N328" s="773">
        <v>4182.25</v>
      </c>
      <c r="O328" s="749"/>
      <c r="P328" s="759"/>
      <c r="Q328" s="773">
        <v>2892.89</v>
      </c>
      <c r="R328" s="749"/>
      <c r="S328" s="759"/>
      <c r="T328" s="773">
        <v>3530.61</v>
      </c>
      <c r="U328" s="749"/>
      <c r="V328" s="759"/>
      <c r="W328" s="773">
        <v>4167.74</v>
      </c>
      <c r="X328" s="749"/>
      <c r="Y328" s="759"/>
      <c r="Z328" s="773">
        <v>2525.11</v>
      </c>
      <c r="AA328" s="749"/>
      <c r="AB328" s="759"/>
      <c r="AC328" s="773">
        <v>2438.31</v>
      </c>
      <c r="AD328" s="749"/>
      <c r="AE328" s="759"/>
      <c r="AF328" s="773">
        <v>3310.7</v>
      </c>
      <c r="AG328" s="749"/>
      <c r="AH328" s="759"/>
      <c r="AI328" s="773">
        <v>3147.76</v>
      </c>
      <c r="AJ328" s="749"/>
      <c r="AK328" s="759"/>
      <c r="AL328" s="773">
        <v>2051.38</v>
      </c>
      <c r="AM328" s="749"/>
      <c r="AN328" s="759"/>
      <c r="AO328" s="773">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2"/>
      <c r="D329" s="783"/>
      <c r="E329" s="784">
        <v>87918.87</v>
      </c>
      <c r="F329" s="782"/>
      <c r="G329" s="783"/>
      <c r="H329" s="785">
        <v>1008.33</v>
      </c>
      <c r="I329" s="782"/>
      <c r="J329" s="783"/>
      <c r="K329" s="785">
        <v>927.2</v>
      </c>
      <c r="L329" s="782"/>
      <c r="M329" s="783"/>
      <c r="N329" s="785">
        <v>1070.1199999999999</v>
      </c>
      <c r="O329" s="782"/>
      <c r="P329" s="783"/>
      <c r="Q329" s="785">
        <v>28085.94</v>
      </c>
      <c r="R329" s="782"/>
      <c r="S329" s="783"/>
      <c r="T329" s="785">
        <v>7594.6799999999903</v>
      </c>
      <c r="U329" s="782"/>
      <c r="V329" s="783"/>
      <c r="W329" s="785">
        <v>7410.92</v>
      </c>
      <c r="X329" s="782"/>
      <c r="Y329" s="783"/>
      <c r="Z329" s="785">
        <v>7136</v>
      </c>
      <c r="AA329" s="782"/>
      <c r="AB329" s="783"/>
      <c r="AC329" s="785">
        <v>7371.69</v>
      </c>
      <c r="AD329" s="782"/>
      <c r="AE329" s="783"/>
      <c r="AF329" s="785">
        <v>7548.5</v>
      </c>
      <c r="AG329" s="782"/>
      <c r="AH329" s="783"/>
      <c r="AI329" s="785">
        <v>6074.83</v>
      </c>
      <c r="AJ329" s="782"/>
      <c r="AK329" s="783"/>
      <c r="AL329" s="785">
        <v>6537.46</v>
      </c>
      <c r="AM329" s="782"/>
      <c r="AN329" s="783"/>
      <c r="AO329" s="785">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9"/>
      <c r="D330" s="759"/>
      <c r="E330" s="760">
        <v>14057.14</v>
      </c>
      <c r="F330" s="749"/>
      <c r="G330" s="759"/>
      <c r="H330" s="773">
        <v>1389.91</v>
      </c>
      <c r="I330" s="749"/>
      <c r="J330" s="759"/>
      <c r="K330" s="773">
        <v>1374.04</v>
      </c>
      <c r="L330" s="749"/>
      <c r="M330" s="759"/>
      <c r="N330" s="773">
        <v>1522.52</v>
      </c>
      <c r="O330" s="749"/>
      <c r="P330" s="759"/>
      <c r="Q330" s="773">
        <v>1272.5999999999999</v>
      </c>
      <c r="R330" s="749"/>
      <c r="S330" s="759"/>
      <c r="T330" s="773">
        <v>1440.48</v>
      </c>
      <c r="U330" s="749"/>
      <c r="V330" s="759"/>
      <c r="W330" s="773">
        <v>949.05</v>
      </c>
      <c r="X330" s="749"/>
      <c r="Y330" s="759"/>
      <c r="Z330" s="773">
        <v>1124.96</v>
      </c>
      <c r="AA330" s="749"/>
      <c r="AB330" s="759"/>
      <c r="AC330" s="773">
        <v>1277.6300000000001</v>
      </c>
      <c r="AD330" s="749"/>
      <c r="AE330" s="759"/>
      <c r="AF330" s="773">
        <v>628.41</v>
      </c>
      <c r="AG330" s="749"/>
      <c r="AH330" s="759"/>
      <c r="AI330" s="773">
        <v>958.41</v>
      </c>
      <c r="AJ330" s="749"/>
      <c r="AK330" s="759"/>
      <c r="AL330" s="773">
        <v>999.12</v>
      </c>
      <c r="AM330" s="749"/>
      <c r="AN330" s="759"/>
      <c r="AO330" s="773">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9"/>
      <c r="D331" s="759"/>
      <c r="E331" s="760">
        <v>11559.459999999992</v>
      </c>
      <c r="F331" s="749"/>
      <c r="G331" s="759"/>
      <c r="H331" s="773">
        <v>7467.57</v>
      </c>
      <c r="I331" s="749"/>
      <c r="J331" s="759"/>
      <c r="K331" s="773">
        <v>7543.31</v>
      </c>
      <c r="L331" s="749"/>
      <c r="M331" s="759"/>
      <c r="N331" s="773">
        <v>7500.0599999999904</v>
      </c>
      <c r="O331" s="749"/>
      <c r="P331" s="759"/>
      <c r="Q331" s="773">
        <v>-19275.34</v>
      </c>
      <c r="R331" s="749"/>
      <c r="S331" s="759"/>
      <c r="T331" s="773">
        <v>793.09</v>
      </c>
      <c r="U331" s="749"/>
      <c r="V331" s="759"/>
      <c r="W331" s="773">
        <v>1818.31</v>
      </c>
      <c r="X331" s="749"/>
      <c r="Y331" s="759"/>
      <c r="Z331" s="773">
        <v>916.61</v>
      </c>
      <c r="AA331" s="749"/>
      <c r="AB331" s="759"/>
      <c r="AC331" s="773">
        <v>812.13</v>
      </c>
      <c r="AD331" s="749"/>
      <c r="AE331" s="759"/>
      <c r="AF331" s="773">
        <v>1075.77</v>
      </c>
      <c r="AG331" s="749"/>
      <c r="AH331" s="759"/>
      <c r="AI331" s="773">
        <v>642.45000000000005</v>
      </c>
      <c r="AJ331" s="749"/>
      <c r="AK331" s="759"/>
      <c r="AL331" s="773">
        <v>797.39</v>
      </c>
      <c r="AM331" s="749"/>
      <c r="AN331" s="759"/>
      <c r="AO331" s="773">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8"/>
      <c r="D332" s="786"/>
      <c r="E332" s="776">
        <v>0</v>
      </c>
      <c r="F332" s="778"/>
      <c r="G332" s="786"/>
      <c r="H332" s="776"/>
      <c r="I332" s="778"/>
      <c r="J332" s="786"/>
      <c r="K332" s="776"/>
      <c r="L332" s="778"/>
      <c r="M332" s="786"/>
      <c r="N332" s="776"/>
      <c r="O332" s="778"/>
      <c r="P332" s="786"/>
      <c r="Q332" s="776"/>
      <c r="R332" s="778"/>
      <c r="S332" s="786"/>
      <c r="T332" s="776"/>
      <c r="U332" s="778"/>
      <c r="V332" s="786"/>
      <c r="W332" s="776"/>
      <c r="X332" s="778"/>
      <c r="Y332" s="786"/>
      <c r="Z332" s="776"/>
      <c r="AA332" s="778"/>
      <c r="AB332" s="786"/>
      <c r="AC332" s="776"/>
      <c r="AD332" s="778"/>
      <c r="AE332" s="786"/>
      <c r="AF332" s="776"/>
      <c r="AG332" s="778"/>
      <c r="AH332" s="786"/>
      <c r="AI332" s="776"/>
      <c r="AJ332" s="778"/>
      <c r="AK332" s="786"/>
      <c r="AL332" s="776"/>
      <c r="AM332" s="778"/>
      <c r="AN332" s="786"/>
      <c r="AO332" s="776"/>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9" t="s">
        <v>119</v>
      </c>
      <c r="D333" s="780">
        <v>0.39005305682028618</v>
      </c>
      <c r="E333" s="781">
        <v>547403.82999999996</v>
      </c>
      <c r="F333" s="779" t="s">
        <v>119</v>
      </c>
      <c r="G333" s="780">
        <v>0.41974669586457825</v>
      </c>
      <c r="H333" s="781">
        <v>44964.030000000006</v>
      </c>
      <c r="I333" s="779" t="s">
        <v>119</v>
      </c>
      <c r="J333" s="780">
        <v>0.42301284299673036</v>
      </c>
      <c r="K333" s="781">
        <v>43332.55999999999</v>
      </c>
      <c r="L333" s="779" t="s">
        <v>119</v>
      </c>
      <c r="M333" s="780">
        <v>0.4366638085051387</v>
      </c>
      <c r="N333" s="781">
        <v>47503.729999999989</v>
      </c>
      <c r="O333" s="779" t="s">
        <v>119</v>
      </c>
      <c r="P333" s="780">
        <v>0.42767706707974074</v>
      </c>
      <c r="Q333" s="781">
        <v>45334.709999999992</v>
      </c>
      <c r="R333" s="779" t="s">
        <v>119</v>
      </c>
      <c r="S333" s="780">
        <v>0.38448266591444374</v>
      </c>
      <c r="T333" s="781">
        <v>46478.609999999993</v>
      </c>
      <c r="U333" s="779" t="s">
        <v>119</v>
      </c>
      <c r="V333" s="780">
        <v>0.45558002996711494</v>
      </c>
      <c r="W333" s="781">
        <v>47502.249999999993</v>
      </c>
      <c r="X333" s="779" t="s">
        <v>119</v>
      </c>
      <c r="Y333" s="780">
        <v>0.35014062018619951</v>
      </c>
      <c r="Z333" s="781">
        <v>41323.61</v>
      </c>
      <c r="AA333" s="779" t="s">
        <v>119</v>
      </c>
      <c r="AB333" s="780">
        <v>0.32799649982354678</v>
      </c>
      <c r="AC333" s="781">
        <v>39732.429999999993</v>
      </c>
      <c r="AD333" s="779" t="s">
        <v>119</v>
      </c>
      <c r="AE333" s="780">
        <v>0.42849845117305829</v>
      </c>
      <c r="AF333" s="781">
        <v>48365.7</v>
      </c>
      <c r="AG333" s="779" t="s">
        <v>119</v>
      </c>
      <c r="AH333" s="780">
        <v>0.31830540688372716</v>
      </c>
      <c r="AI333" s="781">
        <v>40327.99</v>
      </c>
      <c r="AJ333" s="779" t="s">
        <v>119</v>
      </c>
      <c r="AK333" s="780">
        <v>0.29910855840101314</v>
      </c>
      <c r="AL333" s="781">
        <v>47609.189999999995</v>
      </c>
      <c r="AM333" s="779" t="s">
        <v>119</v>
      </c>
      <c r="AN333" s="780">
        <v>0.47348684936419144</v>
      </c>
      <c r="AO333" s="781">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9"/>
      <c r="D334" s="759"/>
      <c r="E334" s="760">
        <v>46937.58</v>
      </c>
      <c r="F334" s="749"/>
      <c r="G334" s="759"/>
      <c r="H334" s="773">
        <v>3998.35</v>
      </c>
      <c r="I334" s="749"/>
      <c r="J334" s="759"/>
      <c r="K334" s="773">
        <v>4496.84</v>
      </c>
      <c r="L334" s="749"/>
      <c r="M334" s="759"/>
      <c r="N334" s="773">
        <v>2542.2600000000002</v>
      </c>
      <c r="O334" s="749"/>
      <c r="P334" s="759"/>
      <c r="Q334" s="773">
        <v>3416.28</v>
      </c>
      <c r="R334" s="749"/>
      <c r="S334" s="759"/>
      <c r="T334" s="773">
        <v>2512.11</v>
      </c>
      <c r="U334" s="749"/>
      <c r="V334" s="759"/>
      <c r="W334" s="773">
        <v>4220.76</v>
      </c>
      <c r="X334" s="749"/>
      <c r="Y334" s="759"/>
      <c r="Z334" s="773">
        <v>5963.31</v>
      </c>
      <c r="AA334" s="749"/>
      <c r="AB334" s="759"/>
      <c r="AC334" s="773">
        <v>5403.41</v>
      </c>
      <c r="AD334" s="749"/>
      <c r="AE334" s="759"/>
      <c r="AF334" s="773">
        <v>3460.63</v>
      </c>
      <c r="AG334" s="749"/>
      <c r="AH334" s="759"/>
      <c r="AI334" s="773">
        <v>2622.08</v>
      </c>
      <c r="AJ334" s="749"/>
      <c r="AK334" s="759"/>
      <c r="AL334" s="773">
        <v>3984.93</v>
      </c>
      <c r="AM334" s="749"/>
      <c r="AN334" s="759"/>
      <c r="AO334" s="773">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9"/>
      <c r="D335" s="759"/>
      <c r="E335" s="760">
        <v>16265.52</v>
      </c>
      <c r="F335" s="749"/>
      <c r="G335" s="759"/>
      <c r="H335" s="773">
        <v>1467.83</v>
      </c>
      <c r="I335" s="749"/>
      <c r="J335" s="759"/>
      <c r="K335" s="773">
        <v>1447.27</v>
      </c>
      <c r="L335" s="749"/>
      <c r="M335" s="759"/>
      <c r="N335" s="773">
        <v>3813.29</v>
      </c>
      <c r="O335" s="749"/>
      <c r="P335" s="759"/>
      <c r="Q335" s="773">
        <v>1915.31</v>
      </c>
      <c r="R335" s="749"/>
      <c r="S335" s="759"/>
      <c r="T335" s="773">
        <v>1812.07</v>
      </c>
      <c r="U335" s="749"/>
      <c r="V335" s="759"/>
      <c r="W335" s="773">
        <v>3208.48</v>
      </c>
      <c r="X335" s="749"/>
      <c r="Y335" s="759"/>
      <c r="Z335" s="773">
        <v>184.1</v>
      </c>
      <c r="AA335" s="749"/>
      <c r="AB335" s="759"/>
      <c r="AC335" s="773">
        <v>60.37</v>
      </c>
      <c r="AD335" s="749"/>
      <c r="AE335" s="759"/>
      <c r="AF335" s="773">
        <v>-6</v>
      </c>
      <c r="AG335" s="749"/>
      <c r="AH335" s="759"/>
      <c r="AI335" s="773">
        <v>428.9</v>
      </c>
      <c r="AJ335" s="749"/>
      <c r="AK335" s="759"/>
      <c r="AL335" s="773">
        <v>1834.86</v>
      </c>
      <c r="AM335" s="749"/>
      <c r="AN335" s="759"/>
      <c r="AO335" s="773">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8"/>
      <c r="D336" s="786"/>
      <c r="E336" s="776">
        <v>11617.630000000001</v>
      </c>
      <c r="F336" s="778"/>
      <c r="G336" s="786"/>
      <c r="H336" s="777">
        <v>598.67999999999995</v>
      </c>
      <c r="I336" s="778"/>
      <c r="J336" s="786"/>
      <c r="K336" s="777">
        <v>793.02</v>
      </c>
      <c r="L336" s="778"/>
      <c r="M336" s="786"/>
      <c r="N336" s="777">
        <v>891.75</v>
      </c>
      <c r="O336" s="778"/>
      <c r="P336" s="786"/>
      <c r="Q336" s="777">
        <v>791.55</v>
      </c>
      <c r="R336" s="778"/>
      <c r="S336" s="786"/>
      <c r="T336" s="777">
        <v>1056.55</v>
      </c>
      <c r="U336" s="778"/>
      <c r="V336" s="786"/>
      <c r="W336" s="777">
        <v>1031</v>
      </c>
      <c r="X336" s="778"/>
      <c r="Y336" s="786"/>
      <c r="Z336" s="777">
        <v>959.29</v>
      </c>
      <c r="AA336" s="778"/>
      <c r="AB336" s="786"/>
      <c r="AC336" s="777">
        <v>927.84</v>
      </c>
      <c r="AD336" s="778"/>
      <c r="AE336" s="786"/>
      <c r="AF336" s="777">
        <v>1045.49</v>
      </c>
      <c r="AG336" s="778"/>
      <c r="AH336" s="786"/>
      <c r="AI336" s="777">
        <v>920.77</v>
      </c>
      <c r="AJ336" s="778"/>
      <c r="AK336" s="786"/>
      <c r="AL336" s="777">
        <v>1022.19</v>
      </c>
      <c r="AM336" s="778"/>
      <c r="AN336" s="786"/>
      <c r="AO336" s="777">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9"/>
      <c r="D337" s="759"/>
      <c r="E337" s="760">
        <v>47452.229999999996</v>
      </c>
      <c r="F337" s="749"/>
      <c r="G337" s="759"/>
      <c r="H337" s="773">
        <v>3839.98</v>
      </c>
      <c r="I337" s="749"/>
      <c r="J337" s="759"/>
      <c r="K337" s="773">
        <v>3908.92</v>
      </c>
      <c r="L337" s="749"/>
      <c r="M337" s="759"/>
      <c r="N337" s="773">
        <v>3798.77</v>
      </c>
      <c r="O337" s="749"/>
      <c r="P337" s="759"/>
      <c r="Q337" s="773">
        <v>4186.4799999999996</v>
      </c>
      <c r="R337" s="749"/>
      <c r="S337" s="759"/>
      <c r="T337" s="773">
        <v>4277.7299999999996</v>
      </c>
      <c r="U337" s="749"/>
      <c r="V337" s="759"/>
      <c r="W337" s="773">
        <v>3783.42</v>
      </c>
      <c r="X337" s="749"/>
      <c r="Y337" s="759"/>
      <c r="Z337" s="773">
        <v>4034.99</v>
      </c>
      <c r="AA337" s="749"/>
      <c r="AB337" s="759"/>
      <c r="AC337" s="773">
        <v>3830.31</v>
      </c>
      <c r="AD337" s="749"/>
      <c r="AE337" s="759"/>
      <c r="AF337" s="773">
        <v>4095.17</v>
      </c>
      <c r="AG337" s="749"/>
      <c r="AH337" s="759"/>
      <c r="AI337" s="773">
        <v>4283.41</v>
      </c>
      <c r="AJ337" s="749"/>
      <c r="AK337" s="759"/>
      <c r="AL337" s="773">
        <v>3858.32</v>
      </c>
      <c r="AM337" s="749"/>
      <c r="AN337" s="759"/>
      <c r="AO337" s="773">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9"/>
      <c r="D338" s="759"/>
      <c r="E338" s="760">
        <v>11594.619999999999</v>
      </c>
      <c r="F338" s="749"/>
      <c r="G338" s="759"/>
      <c r="H338" s="773">
        <v>514.72</v>
      </c>
      <c r="I338" s="749"/>
      <c r="J338" s="759"/>
      <c r="K338" s="773">
        <v>1140.8699999999999</v>
      </c>
      <c r="L338" s="749"/>
      <c r="M338" s="759"/>
      <c r="N338" s="773">
        <v>1161.45</v>
      </c>
      <c r="O338" s="749"/>
      <c r="P338" s="759"/>
      <c r="Q338" s="773">
        <v>911.08</v>
      </c>
      <c r="R338" s="749"/>
      <c r="S338" s="759"/>
      <c r="T338" s="773">
        <v>1320.64</v>
      </c>
      <c r="U338" s="749"/>
      <c r="V338" s="759"/>
      <c r="W338" s="773">
        <v>526.75</v>
      </c>
      <c r="X338" s="749"/>
      <c r="Y338" s="759"/>
      <c r="Z338" s="773">
        <v>605.16999999999996</v>
      </c>
      <c r="AA338" s="749"/>
      <c r="AB338" s="759"/>
      <c r="AC338" s="773">
        <v>831.42</v>
      </c>
      <c r="AD338" s="749"/>
      <c r="AE338" s="759"/>
      <c r="AF338" s="773">
        <v>997.22</v>
      </c>
      <c r="AG338" s="749"/>
      <c r="AH338" s="759"/>
      <c r="AI338" s="773">
        <v>1177.5</v>
      </c>
      <c r="AJ338" s="749"/>
      <c r="AK338" s="759"/>
      <c r="AL338" s="773">
        <v>1568.23</v>
      </c>
      <c r="AM338" s="749"/>
      <c r="AN338" s="759"/>
      <c r="AO338" s="773">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8"/>
      <c r="D339" s="786"/>
      <c r="E339" s="776">
        <v>195002.43000000002</v>
      </c>
      <c r="F339" s="778"/>
      <c r="G339" s="786"/>
      <c r="H339" s="777">
        <v>12278.11</v>
      </c>
      <c r="I339" s="778"/>
      <c r="J339" s="786"/>
      <c r="K339" s="777">
        <v>20835.64</v>
      </c>
      <c r="L339" s="778"/>
      <c r="M339" s="786"/>
      <c r="N339" s="777">
        <v>15779.81</v>
      </c>
      <c r="O339" s="778"/>
      <c r="P339" s="786"/>
      <c r="Q339" s="777">
        <v>13813.01</v>
      </c>
      <c r="R339" s="778"/>
      <c r="S339" s="786"/>
      <c r="T339" s="777">
        <v>16362.1</v>
      </c>
      <c r="U339" s="778"/>
      <c r="V339" s="786"/>
      <c r="W339" s="777">
        <v>16475.91</v>
      </c>
      <c r="X339" s="778"/>
      <c r="Y339" s="786"/>
      <c r="Z339" s="777">
        <v>18820.55</v>
      </c>
      <c r="AA339" s="778"/>
      <c r="AB339" s="786"/>
      <c r="AC339" s="777">
        <v>13115.82</v>
      </c>
      <c r="AD339" s="778"/>
      <c r="AE339" s="786"/>
      <c r="AF339" s="777">
        <v>18074.82</v>
      </c>
      <c r="AG339" s="778"/>
      <c r="AH339" s="786"/>
      <c r="AI339" s="777">
        <v>18021.23</v>
      </c>
      <c r="AJ339" s="778"/>
      <c r="AK339" s="786"/>
      <c r="AL339" s="777">
        <v>16850.41</v>
      </c>
      <c r="AM339" s="778"/>
      <c r="AN339" s="786"/>
      <c r="AO339" s="777">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9"/>
      <c r="D341" s="759"/>
      <c r="E341" s="760">
        <v>1744.87</v>
      </c>
      <c r="F341" s="749"/>
      <c r="G341" s="759"/>
      <c r="H341" s="773">
        <v>0</v>
      </c>
      <c r="I341" s="749"/>
      <c r="J341" s="759"/>
      <c r="K341" s="773">
        <v>28.92</v>
      </c>
      <c r="L341" s="749"/>
      <c r="M341" s="759"/>
      <c r="N341" s="773">
        <v>46.41</v>
      </c>
      <c r="O341" s="749"/>
      <c r="P341" s="759"/>
      <c r="Q341" s="773">
        <v>0</v>
      </c>
      <c r="R341" s="749"/>
      <c r="S341" s="759"/>
      <c r="T341" s="773">
        <v>345.67</v>
      </c>
      <c r="U341" s="749"/>
      <c r="V341" s="759"/>
      <c r="W341" s="773">
        <v>0</v>
      </c>
      <c r="X341" s="749"/>
      <c r="Y341" s="759"/>
      <c r="Z341" s="773">
        <v>428.39</v>
      </c>
      <c r="AA341" s="749"/>
      <c r="AB341" s="759"/>
      <c r="AC341" s="773">
        <v>37.25</v>
      </c>
      <c r="AD341" s="749"/>
      <c r="AE341" s="759"/>
      <c r="AF341" s="773">
        <v>374.84</v>
      </c>
      <c r="AG341" s="749"/>
      <c r="AH341" s="759"/>
      <c r="AI341" s="773">
        <v>314.76</v>
      </c>
      <c r="AJ341" s="749"/>
      <c r="AK341" s="759"/>
      <c r="AL341" s="773">
        <v>168.63</v>
      </c>
      <c r="AM341" s="749"/>
      <c r="AN341" s="759"/>
      <c r="AO341" s="773">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9"/>
      <c r="D342" s="759"/>
      <c r="E342" s="760">
        <v>0</v>
      </c>
      <c r="F342" s="749"/>
      <c r="G342" s="759"/>
      <c r="H342" s="773">
        <v>0</v>
      </c>
      <c r="I342" s="749"/>
      <c r="J342" s="759"/>
      <c r="K342" s="773">
        <v>0</v>
      </c>
      <c r="L342" s="749"/>
      <c r="M342" s="759"/>
      <c r="N342" s="773">
        <v>0</v>
      </c>
      <c r="O342" s="749"/>
      <c r="P342" s="759"/>
      <c r="Q342" s="773">
        <v>0</v>
      </c>
      <c r="R342" s="749"/>
      <c r="S342" s="759"/>
      <c r="T342" s="773">
        <v>0</v>
      </c>
      <c r="U342" s="749"/>
      <c r="V342" s="759"/>
      <c r="W342" s="773">
        <v>0</v>
      </c>
      <c r="X342" s="749"/>
      <c r="Y342" s="759"/>
      <c r="Z342" s="773">
        <v>0</v>
      </c>
      <c r="AA342" s="749"/>
      <c r="AB342" s="759"/>
      <c r="AC342" s="773">
        <v>0</v>
      </c>
      <c r="AD342" s="749"/>
      <c r="AE342" s="759"/>
      <c r="AF342" s="773">
        <v>0</v>
      </c>
      <c r="AG342" s="749"/>
      <c r="AH342" s="759"/>
      <c r="AI342" s="773">
        <v>0</v>
      </c>
      <c r="AJ342" s="749"/>
      <c r="AK342" s="759"/>
      <c r="AL342" s="773">
        <v>0</v>
      </c>
      <c r="AM342" s="749"/>
      <c r="AN342" s="759"/>
      <c r="AO342" s="773">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9"/>
      <c r="D343" s="759"/>
      <c r="E343" s="760">
        <v>8703.33</v>
      </c>
      <c r="F343" s="749"/>
      <c r="G343" s="759"/>
      <c r="H343" s="773">
        <v>302.92</v>
      </c>
      <c r="I343" s="749"/>
      <c r="J343" s="759"/>
      <c r="K343" s="773">
        <v>408.49</v>
      </c>
      <c r="L343" s="749"/>
      <c r="M343" s="759"/>
      <c r="N343" s="773">
        <v>772.78</v>
      </c>
      <c r="O343" s="749"/>
      <c r="P343" s="759"/>
      <c r="Q343" s="773">
        <v>612.05999999999995</v>
      </c>
      <c r="R343" s="749"/>
      <c r="S343" s="759"/>
      <c r="T343" s="773">
        <v>419.31</v>
      </c>
      <c r="U343" s="749"/>
      <c r="V343" s="759"/>
      <c r="W343" s="773">
        <v>1123.3800000000001</v>
      </c>
      <c r="X343" s="749"/>
      <c r="Y343" s="759"/>
      <c r="Z343" s="773">
        <v>374.87</v>
      </c>
      <c r="AA343" s="749"/>
      <c r="AB343" s="759"/>
      <c r="AC343" s="773">
        <v>870.44</v>
      </c>
      <c r="AD343" s="749"/>
      <c r="AE343" s="759"/>
      <c r="AF343" s="773">
        <v>535.78</v>
      </c>
      <c r="AG343" s="749"/>
      <c r="AH343" s="759"/>
      <c r="AI343" s="773">
        <v>828.89</v>
      </c>
      <c r="AJ343" s="749"/>
      <c r="AK343" s="759"/>
      <c r="AL343" s="773">
        <v>1613.87</v>
      </c>
      <c r="AM343" s="749"/>
      <c r="AN343" s="759"/>
      <c r="AO343" s="773">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9"/>
      <c r="D344" s="759"/>
      <c r="E344" s="760">
        <v>1083.0999999999999</v>
      </c>
      <c r="F344" s="749"/>
      <c r="G344" s="759"/>
      <c r="H344" s="773">
        <v>81.19</v>
      </c>
      <c r="I344" s="749"/>
      <c r="J344" s="759"/>
      <c r="K344" s="773">
        <v>87.25</v>
      </c>
      <c r="L344" s="749"/>
      <c r="M344" s="759"/>
      <c r="N344" s="773">
        <v>75.3</v>
      </c>
      <c r="O344" s="749"/>
      <c r="P344" s="759"/>
      <c r="Q344" s="773">
        <v>75.05</v>
      </c>
      <c r="R344" s="749"/>
      <c r="S344" s="759"/>
      <c r="T344" s="773">
        <v>74.930000000000007</v>
      </c>
      <c r="U344" s="749"/>
      <c r="V344" s="759"/>
      <c r="W344" s="773">
        <v>74.930000000000007</v>
      </c>
      <c r="X344" s="749"/>
      <c r="Y344" s="759"/>
      <c r="Z344" s="773">
        <v>75.7</v>
      </c>
      <c r="AA344" s="749"/>
      <c r="AB344" s="759"/>
      <c r="AC344" s="773">
        <v>192.54</v>
      </c>
      <c r="AD344" s="749"/>
      <c r="AE344" s="759"/>
      <c r="AF344" s="773">
        <v>86.44</v>
      </c>
      <c r="AG344" s="749"/>
      <c r="AH344" s="759"/>
      <c r="AI344" s="773">
        <v>101.52</v>
      </c>
      <c r="AJ344" s="749"/>
      <c r="AK344" s="759"/>
      <c r="AL344" s="773">
        <v>83.3</v>
      </c>
      <c r="AM344" s="749"/>
      <c r="AN344" s="759"/>
      <c r="AO344" s="773">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9"/>
      <c r="D345" s="759"/>
      <c r="E345" s="760">
        <v>-475.76999999999992</v>
      </c>
      <c r="F345" s="749"/>
      <c r="G345" s="759"/>
      <c r="H345" s="773">
        <v>16.850000000000001</v>
      </c>
      <c r="I345" s="749"/>
      <c r="J345" s="759"/>
      <c r="K345" s="773">
        <v>-121.43</v>
      </c>
      <c r="L345" s="749"/>
      <c r="M345" s="759"/>
      <c r="N345" s="773">
        <v>66.06</v>
      </c>
      <c r="O345" s="749"/>
      <c r="P345" s="759"/>
      <c r="Q345" s="773">
        <v>53.44</v>
      </c>
      <c r="R345" s="749"/>
      <c r="S345" s="759"/>
      <c r="T345" s="773">
        <v>-192.32</v>
      </c>
      <c r="U345" s="749"/>
      <c r="V345" s="759"/>
      <c r="W345" s="773">
        <v>814.78</v>
      </c>
      <c r="X345" s="749"/>
      <c r="Y345" s="759"/>
      <c r="Z345" s="773">
        <v>1025.6199999999999</v>
      </c>
      <c r="AA345" s="749"/>
      <c r="AB345" s="759"/>
      <c r="AC345" s="773">
        <v>-163.86</v>
      </c>
      <c r="AD345" s="749"/>
      <c r="AE345" s="759"/>
      <c r="AF345" s="773">
        <v>-158.06</v>
      </c>
      <c r="AG345" s="749"/>
      <c r="AH345" s="759"/>
      <c r="AI345" s="773">
        <v>-205.28</v>
      </c>
      <c r="AJ345" s="749"/>
      <c r="AK345" s="759"/>
      <c r="AL345" s="773">
        <v>-1293.8599999999999</v>
      </c>
      <c r="AM345" s="749"/>
      <c r="AN345" s="759"/>
      <c r="AO345" s="773">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9"/>
      <c r="D346" s="759"/>
      <c r="E346" s="760">
        <v>1508.2700000000002</v>
      </c>
      <c r="F346" s="749"/>
      <c r="G346" s="759"/>
      <c r="H346" s="773">
        <v>443.01</v>
      </c>
      <c r="I346" s="749"/>
      <c r="J346" s="759"/>
      <c r="K346" s="773">
        <v>221.4</v>
      </c>
      <c r="L346" s="749"/>
      <c r="M346" s="759"/>
      <c r="N346" s="773">
        <v>51.8</v>
      </c>
      <c r="O346" s="749"/>
      <c r="P346" s="759"/>
      <c r="Q346" s="773">
        <v>91.31</v>
      </c>
      <c r="R346" s="749"/>
      <c r="S346" s="759"/>
      <c r="T346" s="773">
        <v>61.33</v>
      </c>
      <c r="U346" s="749"/>
      <c r="V346" s="759"/>
      <c r="W346" s="773">
        <v>86.99</v>
      </c>
      <c r="X346" s="749"/>
      <c r="Y346" s="759"/>
      <c r="Z346" s="773">
        <v>60.49</v>
      </c>
      <c r="AA346" s="749"/>
      <c r="AB346" s="759"/>
      <c r="AC346" s="773">
        <v>88.05</v>
      </c>
      <c r="AD346" s="749"/>
      <c r="AE346" s="759"/>
      <c r="AF346" s="773">
        <v>156.15</v>
      </c>
      <c r="AG346" s="749"/>
      <c r="AH346" s="759"/>
      <c r="AI346" s="773">
        <v>93.75</v>
      </c>
      <c r="AJ346" s="749"/>
      <c r="AK346" s="759"/>
      <c r="AL346" s="773">
        <v>80.349999999999994</v>
      </c>
      <c r="AM346" s="749"/>
      <c r="AN346" s="759"/>
      <c r="AO346" s="773">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9"/>
      <c r="D347" s="759"/>
      <c r="E347" s="760">
        <v>8785.5600000000013</v>
      </c>
      <c r="F347" s="749"/>
      <c r="G347" s="759"/>
      <c r="H347" s="773">
        <v>547.08000000000004</v>
      </c>
      <c r="I347" s="749"/>
      <c r="J347" s="759"/>
      <c r="K347" s="773">
        <v>377.4</v>
      </c>
      <c r="L347" s="749"/>
      <c r="M347" s="759"/>
      <c r="N347" s="773">
        <v>1842.8</v>
      </c>
      <c r="O347" s="749"/>
      <c r="P347" s="759"/>
      <c r="Q347" s="773">
        <v>2535.9699999999998</v>
      </c>
      <c r="R347" s="749"/>
      <c r="S347" s="759"/>
      <c r="T347" s="773">
        <v>2540.88</v>
      </c>
      <c r="U347" s="749"/>
      <c r="V347" s="759"/>
      <c r="W347" s="773">
        <v>-486.8</v>
      </c>
      <c r="X347" s="749"/>
      <c r="Y347" s="759"/>
      <c r="Z347" s="773">
        <v>79.75</v>
      </c>
      <c r="AA347" s="749"/>
      <c r="AB347" s="759"/>
      <c r="AC347" s="773">
        <v>315.02</v>
      </c>
      <c r="AD347" s="749"/>
      <c r="AE347" s="759"/>
      <c r="AF347" s="773">
        <v>568.47</v>
      </c>
      <c r="AG347" s="749"/>
      <c r="AH347" s="759"/>
      <c r="AI347" s="773">
        <v>67.540000000000006</v>
      </c>
      <c r="AJ347" s="749"/>
      <c r="AK347" s="759"/>
      <c r="AL347" s="773">
        <v>329.75</v>
      </c>
      <c r="AM347" s="749"/>
      <c r="AN347" s="759"/>
      <c r="AO347" s="773">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9"/>
      <c r="D348" s="759"/>
      <c r="E348" s="760">
        <v>18792.920000000002</v>
      </c>
      <c r="F348" s="749"/>
      <c r="G348" s="759"/>
      <c r="H348" s="773">
        <v>1396.3</v>
      </c>
      <c r="I348" s="749"/>
      <c r="J348" s="759"/>
      <c r="K348" s="773">
        <v>1103.73</v>
      </c>
      <c r="L348" s="749"/>
      <c r="M348" s="759"/>
      <c r="N348" s="773">
        <v>158.69999999999999</v>
      </c>
      <c r="O348" s="749"/>
      <c r="P348" s="759"/>
      <c r="Q348" s="773">
        <v>1344.72</v>
      </c>
      <c r="R348" s="749"/>
      <c r="S348" s="759"/>
      <c r="T348" s="773">
        <v>3436.4</v>
      </c>
      <c r="U348" s="749"/>
      <c r="V348" s="759"/>
      <c r="W348" s="773">
        <v>1572.05</v>
      </c>
      <c r="X348" s="749"/>
      <c r="Y348" s="759"/>
      <c r="Z348" s="773">
        <v>1513.96</v>
      </c>
      <c r="AA348" s="749"/>
      <c r="AB348" s="759"/>
      <c r="AC348" s="773">
        <v>1182.18</v>
      </c>
      <c r="AD348" s="749"/>
      <c r="AE348" s="759"/>
      <c r="AF348" s="773">
        <v>1601.54</v>
      </c>
      <c r="AG348" s="749"/>
      <c r="AH348" s="759"/>
      <c r="AI348" s="773">
        <v>1780.66</v>
      </c>
      <c r="AJ348" s="749"/>
      <c r="AK348" s="759"/>
      <c r="AL348" s="773">
        <v>2277.67</v>
      </c>
      <c r="AM348" s="749"/>
      <c r="AN348" s="759"/>
      <c r="AO348" s="773">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9" t="s">
        <v>119</v>
      </c>
      <c r="D352" s="780">
        <v>0.26294001581748877</v>
      </c>
      <c r="E352" s="781">
        <v>369012.29</v>
      </c>
      <c r="F352" s="779" t="s">
        <v>119</v>
      </c>
      <c r="G352" s="780">
        <v>0.23790689889324176</v>
      </c>
      <c r="H352" s="781">
        <v>25485.019999999993</v>
      </c>
      <c r="I352" s="779" t="s">
        <v>119</v>
      </c>
      <c r="J352" s="780">
        <v>0.33901817422511427</v>
      </c>
      <c r="K352" s="781">
        <v>34728.320000000007</v>
      </c>
      <c r="L352" s="779" t="s">
        <v>119</v>
      </c>
      <c r="M352" s="780">
        <v>0.28496906089170976</v>
      </c>
      <c r="N352" s="781">
        <v>31001.18</v>
      </c>
      <c r="O352" s="779" t="s">
        <v>119</v>
      </c>
      <c r="P352" s="780">
        <v>0.28061927016609156</v>
      </c>
      <c r="Q352" s="781">
        <v>29746.260000000002</v>
      </c>
      <c r="R352" s="779" t="s">
        <v>119</v>
      </c>
      <c r="S352" s="780">
        <v>0.28148314818659909</v>
      </c>
      <c r="T352" s="781">
        <v>34027.4</v>
      </c>
      <c r="U352" s="779" t="s">
        <v>119</v>
      </c>
      <c r="V352" s="780">
        <v>0.31104236281192965</v>
      </c>
      <c r="W352" s="781">
        <v>32431.65</v>
      </c>
      <c r="X352" s="779" t="s">
        <v>119</v>
      </c>
      <c r="Y352" s="780">
        <v>0.28915589250774754</v>
      </c>
      <c r="Z352" s="781">
        <v>34126.19</v>
      </c>
      <c r="AA352" s="779" t="s">
        <v>119</v>
      </c>
      <c r="AB352" s="780">
        <v>0.22033602519466655</v>
      </c>
      <c r="AC352" s="781">
        <v>26690.789999999997</v>
      </c>
      <c r="AD352" s="779" t="s">
        <v>119</v>
      </c>
      <c r="AE352" s="780">
        <v>0.27316205928599835</v>
      </c>
      <c r="AF352" s="781">
        <v>30832.49</v>
      </c>
      <c r="AG352" s="779" t="s">
        <v>119</v>
      </c>
      <c r="AH352" s="780">
        <v>0.24022663716821147</v>
      </c>
      <c r="AI352" s="781">
        <v>30435.73</v>
      </c>
      <c r="AJ352" s="779" t="s">
        <v>119</v>
      </c>
      <c r="AK352" s="780">
        <v>0.20342146809199996</v>
      </c>
      <c r="AL352" s="781">
        <v>32378.649999999994</v>
      </c>
      <c r="AM352" s="779" t="s">
        <v>119</v>
      </c>
      <c r="AN352" s="780">
        <v>0.23384797465037421</v>
      </c>
      <c r="AO352" s="781">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9" t="s">
        <v>119</v>
      </c>
      <c r="D354" s="817">
        <v>0.65299307263777484</v>
      </c>
      <c r="E354" s="791">
        <v>916416.11999999988</v>
      </c>
      <c r="F354" s="779" t="s">
        <v>119</v>
      </c>
      <c r="G354" s="817">
        <v>0.65765359475782004</v>
      </c>
      <c r="H354" s="791">
        <v>70449.05</v>
      </c>
      <c r="I354" s="779" t="s">
        <v>119</v>
      </c>
      <c r="J354" s="817">
        <v>0.76203101722184474</v>
      </c>
      <c r="K354" s="791">
        <v>78060.88</v>
      </c>
      <c r="L354" s="779" t="s">
        <v>119</v>
      </c>
      <c r="M354" s="817">
        <v>0.72163286939684845</v>
      </c>
      <c r="N354" s="791">
        <v>78504.909999999989</v>
      </c>
      <c r="O354" s="779" t="s">
        <v>119</v>
      </c>
      <c r="P354" s="817">
        <v>0.7082963372458323</v>
      </c>
      <c r="Q354" s="791">
        <v>75080.97</v>
      </c>
      <c r="R354" s="779" t="s">
        <v>119</v>
      </c>
      <c r="S354" s="817">
        <v>0.66596581410104283</v>
      </c>
      <c r="T354" s="791">
        <v>80506.009999999995</v>
      </c>
      <c r="U354" s="779" t="s">
        <v>119</v>
      </c>
      <c r="V354" s="817">
        <v>0.76662239277904454</v>
      </c>
      <c r="W354" s="791">
        <v>79933.899999999994</v>
      </c>
      <c r="X354" s="779" t="s">
        <v>119</v>
      </c>
      <c r="Y354" s="817">
        <v>0.63929651269394705</v>
      </c>
      <c r="Z354" s="791">
        <v>75449.8</v>
      </c>
      <c r="AA354" s="779" t="s">
        <v>119</v>
      </c>
      <c r="AB354" s="817">
        <v>0.54833252501821328</v>
      </c>
      <c r="AC354" s="791">
        <v>66423.219999999987</v>
      </c>
      <c r="AD354" s="779" t="s">
        <v>119</v>
      </c>
      <c r="AE354" s="817">
        <v>0.70166051045905664</v>
      </c>
      <c r="AF354" s="791">
        <v>79198.19</v>
      </c>
      <c r="AG354" s="779" t="s">
        <v>119</v>
      </c>
      <c r="AH354" s="817">
        <v>0.55853204405193868</v>
      </c>
      <c r="AI354" s="791">
        <v>70763.72</v>
      </c>
      <c r="AJ354" s="779" t="s">
        <v>119</v>
      </c>
      <c r="AK354" s="817">
        <v>0.50253002649301315</v>
      </c>
      <c r="AL354" s="791">
        <v>79987.839999999997</v>
      </c>
      <c r="AM354" s="779" t="s">
        <v>119</v>
      </c>
      <c r="AN354" s="817">
        <v>0.70733482401456571</v>
      </c>
      <c r="AO354" s="791">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8"/>
      <c r="D356" s="819"/>
      <c r="E356" s="800">
        <v>486992.51999999862</v>
      </c>
      <c r="F356" s="818"/>
      <c r="G356" s="819"/>
      <c r="H356" s="800">
        <v>36672.769999999786</v>
      </c>
      <c r="I356" s="818"/>
      <c r="J356" s="819"/>
      <c r="K356" s="800">
        <v>24377.049999999843</v>
      </c>
      <c r="L356" s="818"/>
      <c r="M356" s="819"/>
      <c r="N356" s="800">
        <v>30282.969999999972</v>
      </c>
      <c r="O356" s="818"/>
      <c r="P356" s="819"/>
      <c r="Q356" s="800">
        <v>30921.229999999763</v>
      </c>
      <c r="R356" s="818"/>
      <c r="S356" s="819"/>
      <c r="T356" s="800">
        <v>40380.089999999895</v>
      </c>
      <c r="U356" s="818"/>
      <c r="V356" s="819"/>
      <c r="W356" s="800">
        <v>24333.72999999988</v>
      </c>
      <c r="X356" s="818"/>
      <c r="Y356" s="819"/>
      <c r="Z356" s="800">
        <v>42570.239999999787</v>
      </c>
      <c r="AA356" s="818"/>
      <c r="AB356" s="819"/>
      <c r="AC356" s="800">
        <v>54713.529999999897</v>
      </c>
      <c r="AD356" s="818"/>
      <c r="AE356" s="819"/>
      <c r="AF356" s="800">
        <v>33674.329999999885</v>
      </c>
      <c r="AG356" s="818"/>
      <c r="AH356" s="819"/>
      <c r="AI356" s="800">
        <v>55932.179999999978</v>
      </c>
      <c r="AJ356" s="818"/>
      <c r="AK356" s="819"/>
      <c r="AL356" s="800">
        <v>79182.429999999877</v>
      </c>
      <c r="AM356" s="818"/>
      <c r="AN356" s="819"/>
      <c r="AO356" s="800">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3873</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71">
        <v>2023</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8"/>
      <c r="D379" s="786"/>
      <c r="E379" s="776"/>
      <c r="F379" s="778"/>
      <c r="G379" s="786"/>
      <c r="H379" s="776"/>
      <c r="I379" s="778"/>
      <c r="J379" s="786"/>
      <c r="K379" s="776"/>
      <c r="L379" s="778"/>
      <c r="M379" s="786"/>
      <c r="N379" s="776"/>
      <c r="O379" s="778"/>
      <c r="P379" s="786"/>
      <c r="Q379" s="776"/>
      <c r="R379" s="778"/>
      <c r="S379" s="786"/>
      <c r="T379" s="776"/>
      <c r="U379" s="778"/>
      <c r="V379" s="786"/>
      <c r="W379" s="776"/>
      <c r="X379" s="778"/>
      <c r="Y379" s="786"/>
      <c r="Z379" s="776"/>
      <c r="AA379" s="778"/>
      <c r="AB379" s="786"/>
      <c r="AC379" s="776"/>
      <c r="AD379" s="778"/>
      <c r="AE379" s="786"/>
      <c r="AF379" s="776"/>
      <c r="AG379" s="778"/>
      <c r="AH379" s="786"/>
      <c r="AI379" s="776"/>
      <c r="AJ379" s="778"/>
      <c r="AK379" s="786"/>
      <c r="AL379" s="776"/>
      <c r="AM379" s="778"/>
      <c r="AN379" s="786"/>
      <c r="AO379" s="776"/>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3873</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4"/>
      <c r="D406" s="874"/>
      <c r="E406" s="874"/>
      <c r="F406" s="875"/>
      <c r="G406" s="875"/>
      <c r="H406" s="876">
        <v>3999179.9999999888</v>
      </c>
      <c r="I406" s="875"/>
      <c r="J406" s="875"/>
      <c r="K406" s="876">
        <v>3439148.8599999901</v>
      </c>
      <c r="L406" s="875"/>
      <c r="M406" s="875"/>
      <c r="N406" s="876">
        <v>4656035.2599999793</v>
      </c>
      <c r="O406" s="875"/>
      <c r="P406" s="875"/>
      <c r="Q406" s="876">
        <v>3178713.4899999993</v>
      </c>
      <c r="R406" s="875"/>
      <c r="S406" s="875"/>
      <c r="T406" s="876">
        <v>5194257.959999999</v>
      </c>
      <c r="U406" s="875"/>
      <c r="V406" s="875"/>
      <c r="W406" s="876">
        <v>5520989.48999999</v>
      </c>
      <c r="X406" s="875"/>
      <c r="Y406" s="875"/>
      <c r="Z406" s="876">
        <v>4651900.0099999886</v>
      </c>
      <c r="AA406" s="875"/>
      <c r="AB406" s="875"/>
      <c r="AC406" s="876">
        <v>5316242.4199999981</v>
      </c>
      <c r="AD406" s="875"/>
      <c r="AE406" s="875"/>
      <c r="AF406" s="876">
        <v>4572850.42</v>
      </c>
      <c r="AG406" s="875"/>
      <c r="AH406" s="875"/>
      <c r="AI406" s="876">
        <v>10612462.84999999</v>
      </c>
      <c r="AJ406" s="875"/>
      <c r="AK406" s="875"/>
      <c r="AL406" s="876">
        <v>12335062.559999999</v>
      </c>
      <c r="AM406" s="875"/>
      <c r="AN406" s="875"/>
      <c r="AO406" s="876">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71">
        <v>2023</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80"/>
      <c r="D409" s="881"/>
      <c r="E409" s="882">
        <v>73091183.97999993</v>
      </c>
      <c r="F409" s="880"/>
      <c r="G409" s="881"/>
      <c r="H409" s="882">
        <v>3999179.9999999888</v>
      </c>
      <c r="I409" s="880"/>
      <c r="J409" s="881"/>
      <c r="K409" s="882">
        <v>3439148.8599999901</v>
      </c>
      <c r="L409" s="880"/>
      <c r="M409" s="881"/>
      <c r="N409" s="882">
        <v>4656035.2599999793</v>
      </c>
      <c r="O409" s="880"/>
      <c r="P409" s="881"/>
      <c r="Q409" s="882">
        <v>3178713.4899999993</v>
      </c>
      <c r="R409" s="880"/>
      <c r="S409" s="881"/>
      <c r="T409" s="882">
        <v>5194257.959999999</v>
      </c>
      <c r="U409" s="880"/>
      <c r="V409" s="881"/>
      <c r="W409" s="882">
        <v>5520989.48999999</v>
      </c>
      <c r="X409" s="880"/>
      <c r="Y409" s="881"/>
      <c r="Z409" s="882">
        <v>4651900.0099999886</v>
      </c>
      <c r="AA409" s="880"/>
      <c r="AB409" s="881"/>
      <c r="AC409" s="882">
        <v>5316242.4199999981</v>
      </c>
      <c r="AD409" s="880"/>
      <c r="AE409" s="881"/>
      <c r="AF409" s="882">
        <v>4572850.42</v>
      </c>
      <c r="AG409" s="880"/>
      <c r="AH409" s="881"/>
      <c r="AI409" s="882">
        <v>10612462.84999999</v>
      </c>
      <c r="AJ409" s="880"/>
      <c r="AK409" s="881"/>
      <c r="AL409" s="882">
        <v>12335062.559999999</v>
      </c>
      <c r="AM409" s="880"/>
      <c r="AN409" s="881"/>
      <c r="AO409" s="882">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3"/>
      <c r="D410" s="884"/>
      <c r="E410" s="885">
        <v>7457958.609999991</v>
      </c>
      <c r="F410" s="883"/>
      <c r="G410" s="884"/>
      <c r="H410" s="885">
        <v>517816.86999999959</v>
      </c>
      <c r="I410" s="883"/>
      <c r="J410" s="884"/>
      <c r="K410" s="885">
        <v>416073.91999999958</v>
      </c>
      <c r="L410" s="883"/>
      <c r="M410" s="884"/>
      <c r="N410" s="885">
        <v>588626.91999999934</v>
      </c>
      <c r="O410" s="883"/>
      <c r="P410" s="884"/>
      <c r="Q410" s="885">
        <v>569361.15999999933</v>
      </c>
      <c r="R410" s="883"/>
      <c r="S410" s="884"/>
      <c r="T410" s="885">
        <v>715448.58999999845</v>
      </c>
      <c r="U410" s="883"/>
      <c r="V410" s="884"/>
      <c r="W410" s="885">
        <v>675919.48999999906</v>
      </c>
      <c r="X410" s="883"/>
      <c r="Y410" s="884"/>
      <c r="Z410" s="885">
        <v>612382.99999999919</v>
      </c>
      <c r="AA410" s="883"/>
      <c r="AB410" s="884"/>
      <c r="AC410" s="885">
        <v>650658.82999999949</v>
      </c>
      <c r="AD410" s="883"/>
      <c r="AE410" s="884"/>
      <c r="AF410" s="885">
        <v>628292.67999999947</v>
      </c>
      <c r="AG410" s="883"/>
      <c r="AH410" s="884"/>
      <c r="AI410" s="885">
        <v>740004.24999999872</v>
      </c>
      <c r="AJ410" s="883"/>
      <c r="AK410" s="884"/>
      <c r="AL410" s="885">
        <v>822976.9299999997</v>
      </c>
      <c r="AM410" s="883"/>
      <c r="AN410" s="884"/>
      <c r="AO410" s="885">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9">
        <v>0.33494515307471034</v>
      </c>
      <c r="D412" s="890">
        <v>716.13371338912145</v>
      </c>
      <c r="E412" s="888">
        <v>684623.83000000007</v>
      </c>
      <c r="F412" s="891"/>
      <c r="G412" s="890">
        <v>491.23102941176467</v>
      </c>
      <c r="H412" s="888">
        <v>33403.71</v>
      </c>
      <c r="I412" s="891"/>
      <c r="J412" s="890">
        <v>763.82375000000002</v>
      </c>
      <c r="K412" s="888">
        <v>36663.54</v>
      </c>
      <c r="L412" s="891"/>
      <c r="M412" s="890">
        <v>1012.7643835616439</v>
      </c>
      <c r="N412" s="888">
        <v>73931.8</v>
      </c>
      <c r="O412" s="891"/>
      <c r="P412" s="890">
        <v>1161.6527083333333</v>
      </c>
      <c r="Q412" s="888">
        <v>55759.33</v>
      </c>
      <c r="R412" s="891"/>
      <c r="S412" s="890">
        <v>973.73676056338024</v>
      </c>
      <c r="T412" s="888">
        <v>69135.31</v>
      </c>
      <c r="U412" s="891"/>
      <c r="V412" s="890">
        <v>853.46062500000005</v>
      </c>
      <c r="W412" s="888">
        <v>68276.850000000006</v>
      </c>
      <c r="X412" s="891"/>
      <c r="Y412" s="890">
        <v>930.65569444444429</v>
      </c>
      <c r="Z412" s="888">
        <v>67007.209999999992</v>
      </c>
      <c r="AA412" s="891"/>
      <c r="AB412" s="890">
        <v>798.98139240506327</v>
      </c>
      <c r="AC412" s="888">
        <v>63119.53</v>
      </c>
      <c r="AD412" s="891"/>
      <c r="AE412" s="890">
        <v>589.43313953488371</v>
      </c>
      <c r="AF412" s="888">
        <v>50691.25</v>
      </c>
      <c r="AG412" s="891"/>
      <c r="AH412" s="890">
        <v>802.9314117647059</v>
      </c>
      <c r="AI412" s="888">
        <v>68249.17</v>
      </c>
      <c r="AJ412" s="891"/>
      <c r="AK412" s="890">
        <v>488.55706422018352</v>
      </c>
      <c r="AL412" s="888">
        <v>53252.72</v>
      </c>
      <c r="AM412" s="891"/>
      <c r="AN412" s="890">
        <v>654.10739130434786</v>
      </c>
      <c r="AO412" s="888">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2">
        <v>0.3019776972795768</v>
      </c>
      <c r="D413" s="893">
        <v>454.03748873873872</v>
      </c>
      <c r="E413" s="882">
        <v>403185.29</v>
      </c>
      <c r="F413" s="894"/>
      <c r="G413" s="893">
        <v>385.17455882352942</v>
      </c>
      <c r="H413" s="882">
        <v>26191.87</v>
      </c>
      <c r="I413" s="894"/>
      <c r="J413" s="893">
        <v>498.76270833333336</v>
      </c>
      <c r="K413" s="882">
        <v>23940.61</v>
      </c>
      <c r="L413" s="894"/>
      <c r="M413" s="893">
        <v>549.29808219178074</v>
      </c>
      <c r="N413" s="882">
        <v>40098.759999999995</v>
      </c>
      <c r="O413" s="894"/>
      <c r="P413" s="893">
        <v>578.87104166666666</v>
      </c>
      <c r="Q413" s="882">
        <v>27785.809999999998</v>
      </c>
      <c r="R413" s="894"/>
      <c r="S413" s="893">
        <v>553.62056338028162</v>
      </c>
      <c r="T413" s="882">
        <v>39307.06</v>
      </c>
      <c r="U413" s="894"/>
      <c r="V413" s="893">
        <v>443.94837500000006</v>
      </c>
      <c r="W413" s="882">
        <v>35515.870000000003</v>
      </c>
      <c r="X413" s="894"/>
      <c r="Y413" s="893">
        <v>439.10263888888886</v>
      </c>
      <c r="Z413" s="882">
        <v>31615.39</v>
      </c>
      <c r="AA413" s="894"/>
      <c r="AB413" s="893">
        <v>542.49569620253169</v>
      </c>
      <c r="AC413" s="882">
        <v>42857.16</v>
      </c>
      <c r="AD413" s="894"/>
      <c r="AE413" s="893">
        <v>433.83569767441861</v>
      </c>
      <c r="AF413" s="882">
        <v>37309.870000000003</v>
      </c>
      <c r="AG413" s="894"/>
      <c r="AH413" s="893">
        <v>436.61976470588235</v>
      </c>
      <c r="AI413" s="882">
        <v>37112.68</v>
      </c>
      <c r="AJ413" s="894"/>
      <c r="AK413" s="893">
        <v>334.64825688073398</v>
      </c>
      <c r="AL413" s="882">
        <v>36476.660000000003</v>
      </c>
      <c r="AM413" s="894"/>
      <c r="AN413" s="893">
        <v>361.9355072463768</v>
      </c>
      <c r="AO413" s="882">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91"/>
      <c r="D414" s="890">
        <v>77.016846846846832</v>
      </c>
      <c r="E414" s="888">
        <v>68390.959999999992</v>
      </c>
      <c r="F414" s="891"/>
      <c r="G414" s="890">
        <v>50.077058823529406</v>
      </c>
      <c r="H414" s="888">
        <v>3405.24</v>
      </c>
      <c r="I414" s="891"/>
      <c r="J414" s="890">
        <v>137.31479166666665</v>
      </c>
      <c r="K414" s="888">
        <v>6591.11</v>
      </c>
      <c r="L414" s="891"/>
      <c r="M414" s="890">
        <v>41.720547945205482</v>
      </c>
      <c r="N414" s="888">
        <v>3045.6</v>
      </c>
      <c r="O414" s="891"/>
      <c r="P414" s="890">
        <v>46.353958333333338</v>
      </c>
      <c r="Q414" s="888">
        <v>2224.9900000000002</v>
      </c>
      <c r="R414" s="891"/>
      <c r="S414" s="890">
        <v>66.744507042253517</v>
      </c>
      <c r="T414" s="888">
        <v>4738.8599999999997</v>
      </c>
      <c r="U414" s="891"/>
      <c r="V414" s="890">
        <v>69.216750000000005</v>
      </c>
      <c r="W414" s="888">
        <v>5537.34</v>
      </c>
      <c r="X414" s="891"/>
      <c r="Y414" s="890">
        <v>67.379166666666663</v>
      </c>
      <c r="Z414" s="888">
        <v>4851.3</v>
      </c>
      <c r="AA414" s="891"/>
      <c r="AB414" s="890">
        <v>79.651518987341774</v>
      </c>
      <c r="AC414" s="888">
        <v>6292.47</v>
      </c>
      <c r="AD414" s="891"/>
      <c r="AE414" s="890">
        <v>41.827906976744181</v>
      </c>
      <c r="AF414" s="888">
        <v>3597.2</v>
      </c>
      <c r="AG414" s="891"/>
      <c r="AH414" s="890">
        <v>93.197058823529417</v>
      </c>
      <c r="AI414" s="888">
        <v>7921.75</v>
      </c>
      <c r="AJ414" s="891"/>
      <c r="AK414" s="890">
        <v>112.51394495412843</v>
      </c>
      <c r="AL414" s="888">
        <v>12264.019999999999</v>
      </c>
      <c r="AM414" s="891"/>
      <c r="AN414" s="890">
        <v>114.79826086956521</v>
      </c>
      <c r="AO414" s="888">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91"/>
      <c r="D415" s="890">
        <v>14.472804054054052</v>
      </c>
      <c r="E415" s="888">
        <v>12851.849999999999</v>
      </c>
      <c r="F415" s="891"/>
      <c r="G415" s="890">
        <v>0.80882352941176472</v>
      </c>
      <c r="H415" s="888">
        <v>55</v>
      </c>
      <c r="I415" s="891"/>
      <c r="J415" s="890">
        <v>0</v>
      </c>
      <c r="K415" s="888">
        <v>0</v>
      </c>
      <c r="L415" s="891"/>
      <c r="M415" s="890">
        <v>-20.396027397260276</v>
      </c>
      <c r="N415" s="888">
        <v>-1488.91</v>
      </c>
      <c r="O415" s="891"/>
      <c r="P415" s="890">
        <v>4.375</v>
      </c>
      <c r="Q415" s="888">
        <v>210</v>
      </c>
      <c r="R415" s="891"/>
      <c r="S415" s="890">
        <v>6.3423943661971833</v>
      </c>
      <c r="T415" s="888">
        <v>450.31</v>
      </c>
      <c r="U415" s="891"/>
      <c r="V415" s="890">
        <v>0</v>
      </c>
      <c r="W415" s="888">
        <v>0</v>
      </c>
      <c r="X415" s="891"/>
      <c r="Y415" s="890">
        <v>9.1704166666666662</v>
      </c>
      <c r="Z415" s="888">
        <v>660.27</v>
      </c>
      <c r="AA415" s="891"/>
      <c r="AB415" s="890">
        <v>3.1829113924050629</v>
      </c>
      <c r="AC415" s="888">
        <v>251.45</v>
      </c>
      <c r="AD415" s="891"/>
      <c r="AE415" s="890">
        <v>9.0579069767441869</v>
      </c>
      <c r="AF415" s="888">
        <v>778.98</v>
      </c>
      <c r="AG415" s="891"/>
      <c r="AH415" s="890">
        <v>27.064588235294114</v>
      </c>
      <c r="AI415" s="888">
        <v>2300.4899999999998</v>
      </c>
      <c r="AJ415" s="891"/>
      <c r="AK415" s="890">
        <v>64.881009174311927</v>
      </c>
      <c r="AL415" s="888">
        <v>7072.03</v>
      </c>
      <c r="AM415" s="891"/>
      <c r="AN415" s="890">
        <v>37.133768115942033</v>
      </c>
      <c r="AO415" s="888">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4"/>
      <c r="D416" s="893">
        <v>110.89993243243245</v>
      </c>
      <c r="E416" s="882">
        <v>98479.140000000014</v>
      </c>
      <c r="F416" s="894"/>
      <c r="G416" s="893">
        <v>95.485441176470587</v>
      </c>
      <c r="H416" s="882">
        <v>6493.01</v>
      </c>
      <c r="I416" s="894"/>
      <c r="J416" s="893">
        <v>166.87833333333333</v>
      </c>
      <c r="K416" s="882">
        <v>8010.16</v>
      </c>
      <c r="L416" s="894"/>
      <c r="M416" s="893">
        <v>77.26178082191781</v>
      </c>
      <c r="N416" s="882">
        <v>5640.1100000000006</v>
      </c>
      <c r="O416" s="894"/>
      <c r="P416" s="893">
        <v>161.70500000000001</v>
      </c>
      <c r="Q416" s="882">
        <v>7761.84</v>
      </c>
      <c r="R416" s="894"/>
      <c r="S416" s="893">
        <v>114.65267605633802</v>
      </c>
      <c r="T416" s="882">
        <v>8140.34</v>
      </c>
      <c r="U416" s="894"/>
      <c r="V416" s="893">
        <v>101.99487500000001</v>
      </c>
      <c r="W416" s="882">
        <v>8159.59</v>
      </c>
      <c r="X416" s="894"/>
      <c r="Y416" s="893">
        <v>123.27194444444444</v>
      </c>
      <c r="Z416" s="882">
        <v>8875.58</v>
      </c>
      <c r="AA416" s="894"/>
      <c r="AB416" s="893">
        <v>108.44645569620253</v>
      </c>
      <c r="AC416" s="882">
        <v>8567.27</v>
      </c>
      <c r="AD416" s="894"/>
      <c r="AE416" s="893">
        <v>99.293488372093023</v>
      </c>
      <c r="AF416" s="882">
        <v>8539.24</v>
      </c>
      <c r="AG416" s="894"/>
      <c r="AH416" s="893">
        <v>111.43411764705881</v>
      </c>
      <c r="AI416" s="882">
        <v>9471.9</v>
      </c>
      <c r="AJ416" s="894"/>
      <c r="AK416" s="893">
        <v>104.90669724770642</v>
      </c>
      <c r="AL416" s="882">
        <v>11434.83</v>
      </c>
      <c r="AM416" s="894"/>
      <c r="AN416" s="893">
        <v>107.03289855072464</v>
      </c>
      <c r="AO416" s="882">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91"/>
      <c r="D417" s="890">
        <v>236.88950450450446</v>
      </c>
      <c r="E417" s="888">
        <v>210357.87999999995</v>
      </c>
      <c r="F417" s="891"/>
      <c r="G417" s="890">
        <v>111.62588235294118</v>
      </c>
      <c r="H417" s="888">
        <v>7590.56</v>
      </c>
      <c r="I417" s="891"/>
      <c r="J417" s="890">
        <v>314.77333333333331</v>
      </c>
      <c r="K417" s="888">
        <v>15109.119999999999</v>
      </c>
      <c r="L417" s="891"/>
      <c r="M417" s="890">
        <v>176.76808219178071</v>
      </c>
      <c r="N417" s="888">
        <v>12904.069999999991</v>
      </c>
      <c r="O417" s="891"/>
      <c r="P417" s="890">
        <v>368.4883333333334</v>
      </c>
      <c r="Q417" s="888">
        <v>17687.440000000002</v>
      </c>
      <c r="R417" s="891"/>
      <c r="S417" s="890">
        <v>289.73464788732377</v>
      </c>
      <c r="T417" s="888">
        <v>20571.159999999989</v>
      </c>
      <c r="U417" s="891"/>
      <c r="V417" s="890">
        <v>261.49475000000001</v>
      </c>
      <c r="W417" s="888">
        <v>20919.580000000002</v>
      </c>
      <c r="X417" s="891"/>
      <c r="Y417" s="890">
        <v>262.21513888888876</v>
      </c>
      <c r="Z417" s="888">
        <v>18879.489999999991</v>
      </c>
      <c r="AA417" s="891"/>
      <c r="AB417" s="890">
        <v>163.09050632911379</v>
      </c>
      <c r="AC417" s="888">
        <v>12884.149999999991</v>
      </c>
      <c r="AD417" s="891"/>
      <c r="AE417" s="890">
        <v>168.29313953488361</v>
      </c>
      <c r="AF417" s="888">
        <v>14473.20999999999</v>
      </c>
      <c r="AG417" s="891"/>
      <c r="AH417" s="890">
        <v>292.33129411764708</v>
      </c>
      <c r="AI417" s="888">
        <v>24848.16</v>
      </c>
      <c r="AJ417" s="891"/>
      <c r="AK417" s="890">
        <v>163.18321100917422</v>
      </c>
      <c r="AL417" s="888">
        <v>17786.96999999999</v>
      </c>
      <c r="AM417" s="891"/>
      <c r="AN417" s="890">
        <v>387.01405797101432</v>
      </c>
      <c r="AO417" s="888">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91"/>
      <c r="D418" s="890">
        <v>115.53834459459458</v>
      </c>
      <c r="E418" s="888">
        <v>102598.04999999999</v>
      </c>
      <c r="F418" s="891"/>
      <c r="G418" s="890">
        <v>180.3785294117647</v>
      </c>
      <c r="H418" s="888">
        <v>12265.74</v>
      </c>
      <c r="I418" s="891"/>
      <c r="J418" s="890">
        <v>181.78166666666667</v>
      </c>
      <c r="K418" s="888">
        <v>8725.52</v>
      </c>
      <c r="L418" s="891"/>
      <c r="M418" s="890">
        <v>95.617808219178087</v>
      </c>
      <c r="N418" s="888">
        <v>6980.1</v>
      </c>
      <c r="O418" s="891"/>
      <c r="P418" s="890">
        <v>81.029375000000002</v>
      </c>
      <c r="Q418" s="888">
        <v>3889.41</v>
      </c>
      <c r="R418" s="891"/>
      <c r="S418" s="890">
        <v>113.19084507042254</v>
      </c>
      <c r="T418" s="888">
        <v>8036.55</v>
      </c>
      <c r="U418" s="891"/>
      <c r="V418" s="890">
        <v>78.718625000000003</v>
      </c>
      <c r="W418" s="888">
        <v>6297.49</v>
      </c>
      <c r="X418" s="891"/>
      <c r="Y418" s="890">
        <v>81.453888888888898</v>
      </c>
      <c r="Z418" s="888">
        <v>5864.68</v>
      </c>
      <c r="AA418" s="891"/>
      <c r="AB418" s="890">
        <v>91.770379746835445</v>
      </c>
      <c r="AC418" s="888">
        <v>7249.86</v>
      </c>
      <c r="AD418" s="891"/>
      <c r="AE418" s="890">
        <v>65.783953488372092</v>
      </c>
      <c r="AF418" s="888">
        <v>5657.42</v>
      </c>
      <c r="AG418" s="891"/>
      <c r="AH418" s="890">
        <v>0</v>
      </c>
      <c r="AI418" s="888">
        <v>0</v>
      </c>
      <c r="AJ418" s="891"/>
      <c r="AK418" s="890">
        <v>183.8651376146789</v>
      </c>
      <c r="AL418" s="888">
        <v>20041.3</v>
      </c>
      <c r="AM418" s="891"/>
      <c r="AN418" s="890">
        <v>254.92724637681158</v>
      </c>
      <c r="AO418" s="888">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5">
        <v>0.2119195188185688</v>
      </c>
      <c r="D422" s="896">
        <v>1724.9886345602924</v>
      </c>
      <c r="E422" s="897">
        <v>1580487.0000000002</v>
      </c>
      <c r="F422" s="895">
        <v>0.17265781626620252</v>
      </c>
      <c r="G422" s="898"/>
      <c r="H422" s="897">
        <v>89405.13</v>
      </c>
      <c r="I422" s="895">
        <v>0.23803477036003626</v>
      </c>
      <c r="J422" s="898"/>
      <c r="K422" s="897">
        <v>99040.06</v>
      </c>
      <c r="L422" s="895">
        <v>0.23972999739801257</v>
      </c>
      <c r="M422" s="898"/>
      <c r="N422" s="897">
        <v>141111.53</v>
      </c>
      <c r="O422" s="895">
        <v>0.20254072125327297</v>
      </c>
      <c r="P422" s="898"/>
      <c r="Q422" s="897">
        <v>115318.82</v>
      </c>
      <c r="R422" s="895">
        <v>0.21018923246462795</v>
      </c>
      <c r="S422" s="898"/>
      <c r="T422" s="897">
        <v>150379.58999999997</v>
      </c>
      <c r="U422" s="895">
        <v>0.21408869272285694</v>
      </c>
      <c r="V422" s="898"/>
      <c r="W422" s="897">
        <v>144706.71999999997</v>
      </c>
      <c r="X422" s="895">
        <v>0.22494732871421996</v>
      </c>
      <c r="Y422" s="898"/>
      <c r="Z422" s="897">
        <v>137753.91999999998</v>
      </c>
      <c r="AA422" s="895">
        <v>0.21704445323519253</v>
      </c>
      <c r="AB422" s="898"/>
      <c r="AC422" s="897">
        <v>141221.88999999998</v>
      </c>
      <c r="AD422" s="895">
        <v>0.19266048109935022</v>
      </c>
      <c r="AE422" s="898"/>
      <c r="AF422" s="897">
        <v>121047.16999999998</v>
      </c>
      <c r="AG422" s="895">
        <v>0.20257201225533536</v>
      </c>
      <c r="AH422" s="898"/>
      <c r="AI422" s="897">
        <v>149904.15</v>
      </c>
      <c r="AJ422" s="895">
        <v>0.19238513769760235</v>
      </c>
      <c r="AK422" s="898"/>
      <c r="AL422" s="897">
        <v>158328.53</v>
      </c>
      <c r="AM422" s="895">
        <v>0.25417085762597313</v>
      </c>
      <c r="AN422" s="898"/>
      <c r="AO422" s="897">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91"/>
      <c r="D423" s="890"/>
      <c r="E423" s="888">
        <v>189463.65999999977</v>
      </c>
      <c r="F423" s="891"/>
      <c r="G423" s="890"/>
      <c r="H423" s="899">
        <v>21422.59</v>
      </c>
      <c r="I423" s="891"/>
      <c r="J423" s="890"/>
      <c r="K423" s="899">
        <v>17118.73</v>
      </c>
      <c r="L423" s="891"/>
      <c r="M423" s="890"/>
      <c r="N423" s="899">
        <v>16324.92</v>
      </c>
      <c r="O423" s="891"/>
      <c r="P423" s="890"/>
      <c r="Q423" s="899">
        <v>17494.309999999899</v>
      </c>
      <c r="R423" s="891"/>
      <c r="S423" s="890"/>
      <c r="T423" s="899">
        <v>20877.259999999998</v>
      </c>
      <c r="U423" s="891"/>
      <c r="V423" s="890"/>
      <c r="W423" s="899">
        <v>19731.150000000001</v>
      </c>
      <c r="X423" s="891"/>
      <c r="Y423" s="890"/>
      <c r="Z423" s="899">
        <v>13077</v>
      </c>
      <c r="AA423" s="891"/>
      <c r="AB423" s="890"/>
      <c r="AC423" s="899">
        <v>15225.4199999999</v>
      </c>
      <c r="AD423" s="891"/>
      <c r="AE423" s="890"/>
      <c r="AF423" s="899">
        <v>14442.3</v>
      </c>
      <c r="AG423" s="891"/>
      <c r="AH423" s="890"/>
      <c r="AI423" s="899">
        <v>12153.84</v>
      </c>
      <c r="AJ423" s="891"/>
      <c r="AK423" s="890"/>
      <c r="AL423" s="899">
        <v>12153.84</v>
      </c>
      <c r="AM423" s="891"/>
      <c r="AN423" s="890"/>
      <c r="AO423" s="899">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91"/>
      <c r="D424" s="890"/>
      <c r="E424" s="888">
        <v>501484.98999999976</v>
      </c>
      <c r="F424" s="891"/>
      <c r="G424" s="890"/>
      <c r="H424" s="888">
        <v>37559.410000000003</v>
      </c>
      <c r="I424" s="891"/>
      <c r="J424" s="890"/>
      <c r="K424" s="888">
        <v>27821.82</v>
      </c>
      <c r="L424" s="891"/>
      <c r="M424" s="890"/>
      <c r="N424" s="888">
        <v>35693.94</v>
      </c>
      <c r="O424" s="891"/>
      <c r="P424" s="890"/>
      <c r="Q424" s="888">
        <v>34182.79</v>
      </c>
      <c r="R424" s="891"/>
      <c r="S424" s="890"/>
      <c r="T424" s="888">
        <v>46937.36</v>
      </c>
      <c r="U424" s="891"/>
      <c r="V424" s="890"/>
      <c r="W424" s="888">
        <v>37891.839999999997</v>
      </c>
      <c r="X424" s="891"/>
      <c r="Y424" s="890"/>
      <c r="Z424" s="888">
        <v>45656.84</v>
      </c>
      <c r="AA424" s="891"/>
      <c r="AB424" s="890"/>
      <c r="AC424" s="888">
        <v>45661.419999999896</v>
      </c>
      <c r="AD424" s="891"/>
      <c r="AE424" s="890"/>
      <c r="AF424" s="888">
        <v>40117.109999999899</v>
      </c>
      <c r="AG424" s="891"/>
      <c r="AH424" s="890"/>
      <c r="AI424" s="888">
        <v>34612.720000000001</v>
      </c>
      <c r="AJ424" s="891"/>
      <c r="AK424" s="890"/>
      <c r="AL424" s="888">
        <v>62760.13</v>
      </c>
      <c r="AM424" s="891"/>
      <c r="AN424" s="890"/>
      <c r="AO424" s="888">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4"/>
      <c r="D425" s="893"/>
      <c r="E425" s="882">
        <v>589217.08999999985</v>
      </c>
      <c r="F425" s="894"/>
      <c r="G425" s="893"/>
      <c r="H425" s="882">
        <v>46856.34</v>
      </c>
      <c r="I425" s="894"/>
      <c r="J425" s="893"/>
      <c r="K425" s="882">
        <v>47043</v>
      </c>
      <c r="L425" s="894"/>
      <c r="M425" s="893"/>
      <c r="N425" s="882">
        <v>49703.63</v>
      </c>
      <c r="O425" s="894"/>
      <c r="P425" s="893"/>
      <c r="Q425" s="882">
        <v>43473.979999999901</v>
      </c>
      <c r="R425" s="894"/>
      <c r="S425" s="893"/>
      <c r="T425" s="882">
        <v>51414.06</v>
      </c>
      <c r="U425" s="894"/>
      <c r="V425" s="893"/>
      <c r="W425" s="882">
        <v>50801</v>
      </c>
      <c r="X425" s="894"/>
      <c r="Y425" s="893"/>
      <c r="Z425" s="882">
        <v>42545.5</v>
      </c>
      <c r="AA425" s="894"/>
      <c r="AB425" s="893"/>
      <c r="AC425" s="882">
        <v>46717.79</v>
      </c>
      <c r="AD425" s="894"/>
      <c r="AE425" s="893"/>
      <c r="AF425" s="882">
        <v>61720.47</v>
      </c>
      <c r="AG425" s="894"/>
      <c r="AH425" s="893"/>
      <c r="AI425" s="882">
        <v>47146.1</v>
      </c>
      <c r="AJ425" s="894"/>
      <c r="AK425" s="893"/>
      <c r="AL425" s="882">
        <v>49261.14</v>
      </c>
      <c r="AM425" s="894"/>
      <c r="AN425" s="893"/>
      <c r="AO425" s="882">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91"/>
      <c r="D426" s="890"/>
      <c r="E426" s="888">
        <v>421862.52999999991</v>
      </c>
      <c r="F426" s="891"/>
      <c r="G426" s="890"/>
      <c r="H426" s="888">
        <v>29308.07</v>
      </c>
      <c r="I426" s="891"/>
      <c r="J426" s="890"/>
      <c r="K426" s="888">
        <v>32894.410000000003</v>
      </c>
      <c r="L426" s="891"/>
      <c r="M426" s="890"/>
      <c r="N426" s="888">
        <v>30652.9</v>
      </c>
      <c r="O426" s="891"/>
      <c r="P426" s="890"/>
      <c r="Q426" s="888">
        <v>38091.160000000003</v>
      </c>
      <c r="R426" s="891"/>
      <c r="S426" s="890"/>
      <c r="T426" s="888">
        <v>39705.81</v>
      </c>
      <c r="U426" s="891"/>
      <c r="V426" s="890"/>
      <c r="W426" s="888">
        <v>30665.71</v>
      </c>
      <c r="X426" s="891"/>
      <c r="Y426" s="890"/>
      <c r="Z426" s="888">
        <v>31114.379999999899</v>
      </c>
      <c r="AA426" s="891"/>
      <c r="AB426" s="890"/>
      <c r="AC426" s="888">
        <v>27408.46</v>
      </c>
      <c r="AD426" s="891"/>
      <c r="AE426" s="890"/>
      <c r="AF426" s="888">
        <v>37784.449999999997</v>
      </c>
      <c r="AG426" s="891"/>
      <c r="AH426" s="890"/>
      <c r="AI426" s="888">
        <v>31689.39</v>
      </c>
      <c r="AJ426" s="891"/>
      <c r="AK426" s="890"/>
      <c r="AL426" s="888">
        <v>56649.41</v>
      </c>
      <c r="AM426" s="891"/>
      <c r="AN426" s="890"/>
      <c r="AO426" s="888">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91"/>
      <c r="D427" s="890"/>
      <c r="E427" s="888">
        <v>390462.77999999974</v>
      </c>
      <c r="F427" s="891"/>
      <c r="G427" s="890"/>
      <c r="H427" s="888">
        <v>31429.8</v>
      </c>
      <c r="I427" s="891"/>
      <c r="J427" s="890"/>
      <c r="K427" s="888">
        <v>25264.449999999899</v>
      </c>
      <c r="L427" s="891"/>
      <c r="M427" s="890"/>
      <c r="N427" s="888">
        <v>34061.25</v>
      </c>
      <c r="O427" s="891"/>
      <c r="P427" s="890"/>
      <c r="Q427" s="888">
        <v>32188.6</v>
      </c>
      <c r="R427" s="891"/>
      <c r="S427" s="890"/>
      <c r="T427" s="888">
        <v>34253.58</v>
      </c>
      <c r="U427" s="891"/>
      <c r="V427" s="890"/>
      <c r="W427" s="888">
        <v>38627.79</v>
      </c>
      <c r="X427" s="891"/>
      <c r="Y427" s="890"/>
      <c r="Z427" s="888">
        <v>28533.96</v>
      </c>
      <c r="AA427" s="891"/>
      <c r="AB427" s="890"/>
      <c r="AC427" s="888">
        <v>27912.47</v>
      </c>
      <c r="AD427" s="891"/>
      <c r="AE427" s="890"/>
      <c r="AF427" s="888">
        <v>32169.559999999899</v>
      </c>
      <c r="AG427" s="891"/>
      <c r="AH427" s="890"/>
      <c r="AI427" s="888">
        <v>39009.53</v>
      </c>
      <c r="AJ427" s="891"/>
      <c r="AK427" s="890"/>
      <c r="AL427" s="888">
        <v>25386.61</v>
      </c>
      <c r="AM427" s="891"/>
      <c r="AN427" s="890"/>
      <c r="AO427" s="888">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4"/>
      <c r="D431" s="900">
        <v>0.10003630628516677</v>
      </c>
      <c r="E431" s="882">
        <v>419826.25999999983</v>
      </c>
      <c r="F431" s="894"/>
      <c r="G431" s="900">
        <v>0.16582769039850495</v>
      </c>
      <c r="H431" s="882">
        <v>48063.06</v>
      </c>
      <c r="I431" s="894"/>
      <c r="J431" s="900">
        <v>9.0478016488894392E-2</v>
      </c>
      <c r="K431" s="882">
        <v>25105.0799999999</v>
      </c>
      <c r="L431" s="894"/>
      <c r="M431" s="900">
        <v>9.3190783950924366E-2</v>
      </c>
      <c r="N431" s="882">
        <v>32171.52</v>
      </c>
      <c r="O431" s="894"/>
      <c r="P431" s="900">
        <v>0.1029495567003921</v>
      </c>
      <c r="Q431" s="882">
        <v>33924.15</v>
      </c>
      <c r="R431" s="894"/>
      <c r="S431" s="900">
        <v>0.10659800076981646</v>
      </c>
      <c r="T431" s="882">
        <v>41286.800000000003</v>
      </c>
      <c r="U431" s="894"/>
      <c r="V431" s="900">
        <v>0.12396920737727848</v>
      </c>
      <c r="W431" s="882">
        <v>43881.119999999901</v>
      </c>
      <c r="X431" s="894"/>
      <c r="Y431" s="900">
        <v>9.6435394179970602E-2</v>
      </c>
      <c r="Z431" s="882">
        <v>33642.36</v>
      </c>
      <c r="AA431" s="894"/>
      <c r="AB431" s="900">
        <v>7.5053049499345853E-2</v>
      </c>
      <c r="AC431" s="882">
        <v>27052.6</v>
      </c>
      <c r="AD431" s="894"/>
      <c r="AE431" s="900">
        <v>9.7849344238592609E-2</v>
      </c>
      <c r="AF431" s="882">
        <v>35502.839999999997</v>
      </c>
      <c r="AG431" s="894"/>
      <c r="AH431" s="900">
        <v>0.10137571917295493</v>
      </c>
      <c r="AI431" s="882">
        <v>38413.25</v>
      </c>
      <c r="AJ431" s="894"/>
      <c r="AK431" s="900">
        <v>5.9808953886369851E-2</v>
      </c>
      <c r="AL431" s="882">
        <v>24774.34</v>
      </c>
      <c r="AM431" s="894"/>
      <c r="AN431" s="900">
        <v>0.10343783763163569</v>
      </c>
      <c r="AO431" s="882">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91"/>
      <c r="D432" s="901">
        <v>0.13856742129672436</v>
      </c>
      <c r="E432" s="888">
        <v>581531.28999999969</v>
      </c>
      <c r="F432" s="891"/>
      <c r="G432" s="901">
        <v>0.1518027903649137</v>
      </c>
      <c r="H432" s="888">
        <v>43998.12</v>
      </c>
      <c r="I432" s="891"/>
      <c r="J432" s="901">
        <v>0.14951753620911082</v>
      </c>
      <c r="K432" s="888">
        <v>41486.869999999901</v>
      </c>
      <c r="L432" s="891"/>
      <c r="M432" s="901">
        <v>0.12478415346038695</v>
      </c>
      <c r="N432" s="888">
        <v>43078.25</v>
      </c>
      <c r="O432" s="891"/>
      <c r="P432" s="901">
        <v>0.22232866594728107</v>
      </c>
      <c r="Q432" s="888">
        <v>73262.199999999895</v>
      </c>
      <c r="R432" s="891"/>
      <c r="S432" s="901">
        <v>0.12745125984384514</v>
      </c>
      <c r="T432" s="888">
        <v>49363.54</v>
      </c>
      <c r="U432" s="891"/>
      <c r="V432" s="901">
        <v>0.13050612781554422</v>
      </c>
      <c r="W432" s="888">
        <v>46194.979999999901</v>
      </c>
      <c r="X432" s="891"/>
      <c r="Y432" s="901">
        <v>0.14217564371628058</v>
      </c>
      <c r="Z432" s="888">
        <v>49599.26</v>
      </c>
      <c r="AA432" s="891"/>
      <c r="AB432" s="901">
        <v>0.12731766095140157</v>
      </c>
      <c r="AC432" s="888">
        <v>45891.19</v>
      </c>
      <c r="AD432" s="891"/>
      <c r="AE432" s="901">
        <v>0.12329183180982607</v>
      </c>
      <c r="AF432" s="888">
        <v>44734.18</v>
      </c>
      <c r="AG432" s="891"/>
      <c r="AH432" s="901">
        <v>0.11667207634505497</v>
      </c>
      <c r="AI432" s="888">
        <v>44209.34</v>
      </c>
      <c r="AJ432" s="891"/>
      <c r="AK432" s="901">
        <v>0.11433794612874269</v>
      </c>
      <c r="AL432" s="888">
        <v>47361.59</v>
      </c>
      <c r="AM432" s="891"/>
      <c r="AN432" s="901">
        <v>0.15038276073765539</v>
      </c>
      <c r="AO432" s="888">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91"/>
      <c r="D433" s="901">
        <v>5.9607420134679165E-2</v>
      </c>
      <c r="E433" s="888">
        <v>250156.77999999959</v>
      </c>
      <c r="F433" s="891"/>
      <c r="G433" s="901">
        <v>7.1203484602537129E-2</v>
      </c>
      <c r="H433" s="888">
        <v>20637.43</v>
      </c>
      <c r="I433" s="891"/>
      <c r="J433" s="901">
        <v>6.7105714602863881E-2</v>
      </c>
      <c r="K433" s="888">
        <v>18619.93</v>
      </c>
      <c r="L433" s="891"/>
      <c r="M433" s="901">
        <v>6.0675109694593311E-2</v>
      </c>
      <c r="N433" s="888">
        <v>20946.39</v>
      </c>
      <c r="O433" s="891"/>
      <c r="P433" s="901">
        <v>7.1061706764032437E-2</v>
      </c>
      <c r="Q433" s="888">
        <v>23416.3999999999</v>
      </c>
      <c r="R433" s="891"/>
      <c r="S433" s="901">
        <v>4.8557203386986027E-2</v>
      </c>
      <c r="T433" s="888">
        <v>18806.84</v>
      </c>
      <c r="U433" s="891"/>
      <c r="V433" s="901">
        <v>6.1223461223461048E-2</v>
      </c>
      <c r="W433" s="888">
        <v>21671.14</v>
      </c>
      <c r="X433" s="891"/>
      <c r="Y433" s="901">
        <v>5.8901209528604878E-2</v>
      </c>
      <c r="Z433" s="888">
        <v>20548.22</v>
      </c>
      <c r="AA433" s="891"/>
      <c r="AB433" s="901">
        <v>5.804971602156199E-2</v>
      </c>
      <c r="AC433" s="888">
        <v>20923.810000000001</v>
      </c>
      <c r="AD433" s="891"/>
      <c r="AE433" s="901">
        <v>5.80099046483427E-2</v>
      </c>
      <c r="AF433" s="888">
        <v>21047.8299999999</v>
      </c>
      <c r="AG433" s="891"/>
      <c r="AH433" s="901">
        <v>5.7885678817959349E-2</v>
      </c>
      <c r="AI433" s="888">
        <v>21934.02</v>
      </c>
      <c r="AJ433" s="891"/>
      <c r="AK433" s="901">
        <v>4.8999697265686051E-2</v>
      </c>
      <c r="AL433" s="888">
        <v>20296.879999999899</v>
      </c>
      <c r="AM433" s="891"/>
      <c r="AN433" s="901">
        <v>6.1207850731584919E-2</v>
      </c>
      <c r="AO433" s="888">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91"/>
      <c r="D434" s="901">
        <v>2.5114481031381371E-2</v>
      </c>
      <c r="E434" s="888">
        <v>105398.9199999999</v>
      </c>
      <c r="F434" s="891"/>
      <c r="G434" s="901">
        <v>4.9254278330440236E-2</v>
      </c>
      <c r="H434" s="888">
        <v>14275.73</v>
      </c>
      <c r="I434" s="891"/>
      <c r="J434" s="901">
        <v>5.0185892898588554E-2</v>
      </c>
      <c r="K434" s="888">
        <v>13925.16</v>
      </c>
      <c r="L434" s="891"/>
      <c r="M434" s="901">
        <v>4.1787096377253981E-2</v>
      </c>
      <c r="N434" s="888">
        <v>14425.8299999999</v>
      </c>
      <c r="O434" s="891"/>
      <c r="P434" s="901">
        <v>-3.5493921105008874E-2</v>
      </c>
      <c r="Q434" s="888">
        <v>-11696.029999999999</v>
      </c>
      <c r="R434" s="891"/>
      <c r="S434" s="901">
        <v>2.0560601774667633E-2</v>
      </c>
      <c r="T434" s="888">
        <v>7963.3899999999903</v>
      </c>
      <c r="U434" s="891"/>
      <c r="V434" s="901">
        <v>3.6865376775690573E-2</v>
      </c>
      <c r="W434" s="888">
        <v>13049.16</v>
      </c>
      <c r="X434" s="891"/>
      <c r="Y434" s="901">
        <v>2.4525349134557405E-2</v>
      </c>
      <c r="Z434" s="888">
        <v>8555.89</v>
      </c>
      <c r="AA434" s="891"/>
      <c r="AB434" s="901">
        <v>3.0033371399096894E-2</v>
      </c>
      <c r="AC434" s="888">
        <v>10825.42</v>
      </c>
      <c r="AD434" s="891"/>
      <c r="AE434" s="901">
        <v>2.7545914819010007E-2</v>
      </c>
      <c r="AF434" s="888">
        <v>9994.5300000000007</v>
      </c>
      <c r="AG434" s="891"/>
      <c r="AH434" s="901">
        <v>1.8082831971518599E-2</v>
      </c>
      <c r="AI434" s="888">
        <v>6851.94</v>
      </c>
      <c r="AJ434" s="891"/>
      <c r="AK434" s="901">
        <v>1.8763805915920976E-2</v>
      </c>
      <c r="AL434" s="888">
        <v>7772.43</v>
      </c>
      <c r="AM434" s="891"/>
      <c r="AN434" s="901">
        <v>2.716125324267123E-2</v>
      </c>
      <c r="AO434" s="888">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5">
        <v>0.46251319970787586</v>
      </c>
      <c r="D436" s="902"/>
      <c r="E436" s="897">
        <v>3449404.299999998</v>
      </c>
      <c r="F436" s="895">
        <v>0.56690032134333557</v>
      </c>
      <c r="G436" s="902"/>
      <c r="H436" s="897">
        <v>293550.55</v>
      </c>
      <c r="I436" s="895">
        <v>0.59912298756913185</v>
      </c>
      <c r="J436" s="902"/>
      <c r="K436" s="897">
        <v>249279.44999999972</v>
      </c>
      <c r="L436" s="895">
        <v>0.47068630500283642</v>
      </c>
      <c r="M436" s="902"/>
      <c r="N436" s="897">
        <v>277058.62999999989</v>
      </c>
      <c r="O436" s="895">
        <v>0.49939753530079206</v>
      </c>
      <c r="P436" s="902"/>
      <c r="Q436" s="897">
        <v>284337.55999999959</v>
      </c>
      <c r="R436" s="895">
        <v>0.43414529617005843</v>
      </c>
      <c r="S436" s="902"/>
      <c r="T436" s="897">
        <v>310608.64000000001</v>
      </c>
      <c r="U436" s="895">
        <v>0.44755905766232634</v>
      </c>
      <c r="V436" s="902"/>
      <c r="W436" s="897">
        <v>302513.88999999978</v>
      </c>
      <c r="X436" s="895">
        <v>0.44624591146390458</v>
      </c>
      <c r="Y436" s="902"/>
      <c r="Z436" s="897">
        <v>273273.40999999992</v>
      </c>
      <c r="AA436" s="895">
        <v>0.4113040009001338</v>
      </c>
      <c r="AB436" s="902"/>
      <c r="AC436" s="897">
        <v>267618.57999999978</v>
      </c>
      <c r="AD436" s="895">
        <v>0.47352655771829139</v>
      </c>
      <c r="AE436" s="902"/>
      <c r="AF436" s="897">
        <v>297513.26999999973</v>
      </c>
      <c r="AG436" s="895">
        <v>0.37299803345724092</v>
      </c>
      <c r="AH436" s="902"/>
      <c r="AI436" s="897">
        <v>276020.13</v>
      </c>
      <c r="AJ436" s="895">
        <v>0.3723268038631411</v>
      </c>
      <c r="AK436" s="902"/>
      <c r="AL436" s="897">
        <v>306416.36999999988</v>
      </c>
      <c r="AM436" s="895">
        <v>0.59803272496518434</v>
      </c>
      <c r="AN436" s="902"/>
      <c r="AO436" s="897">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3"/>
      <c r="D437" s="904"/>
      <c r="E437" s="905">
        <v>178723.49</v>
      </c>
      <c r="F437" s="903"/>
      <c r="G437" s="904"/>
      <c r="H437" s="905">
        <v>14799.06</v>
      </c>
      <c r="I437" s="903"/>
      <c r="J437" s="904"/>
      <c r="K437" s="905">
        <v>15827.06</v>
      </c>
      <c r="L437" s="903"/>
      <c r="M437" s="904"/>
      <c r="N437" s="905">
        <v>12859.72</v>
      </c>
      <c r="O437" s="903"/>
      <c r="P437" s="904"/>
      <c r="Q437" s="905">
        <v>15120.34</v>
      </c>
      <c r="R437" s="903"/>
      <c r="S437" s="904"/>
      <c r="T437" s="905">
        <v>11795.04</v>
      </c>
      <c r="U437" s="903"/>
      <c r="V437" s="904"/>
      <c r="W437" s="905">
        <v>15432.61</v>
      </c>
      <c r="X437" s="903"/>
      <c r="Y437" s="904"/>
      <c r="Z437" s="905">
        <v>18581.48</v>
      </c>
      <c r="AA437" s="903"/>
      <c r="AB437" s="904"/>
      <c r="AC437" s="905">
        <v>17430</v>
      </c>
      <c r="AD437" s="903"/>
      <c r="AE437" s="904"/>
      <c r="AF437" s="905">
        <v>13735.71</v>
      </c>
      <c r="AG437" s="903"/>
      <c r="AH437" s="904"/>
      <c r="AI437" s="905">
        <v>12394.18</v>
      </c>
      <c r="AJ437" s="903"/>
      <c r="AK437" s="904"/>
      <c r="AL437" s="905">
        <v>15086.61</v>
      </c>
      <c r="AM437" s="903"/>
      <c r="AN437" s="904"/>
      <c r="AO437" s="905">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91"/>
      <c r="D438" s="890"/>
      <c r="E438" s="888">
        <v>87538.009999999791</v>
      </c>
      <c r="F438" s="891"/>
      <c r="G438" s="890"/>
      <c r="H438" s="888">
        <v>-149.41999999999999</v>
      </c>
      <c r="I438" s="891"/>
      <c r="J438" s="890"/>
      <c r="K438" s="888">
        <v>4219.9799999999996</v>
      </c>
      <c r="L438" s="891"/>
      <c r="M438" s="890"/>
      <c r="N438" s="888">
        <v>5030.17</v>
      </c>
      <c r="O438" s="891"/>
      <c r="P438" s="890"/>
      <c r="Q438" s="888">
        <v>6731.45</v>
      </c>
      <c r="R438" s="891"/>
      <c r="S438" s="890"/>
      <c r="T438" s="888">
        <v>8077.33</v>
      </c>
      <c r="U438" s="891"/>
      <c r="V438" s="890"/>
      <c r="W438" s="888">
        <v>11922.65</v>
      </c>
      <c r="X438" s="891"/>
      <c r="Y438" s="890"/>
      <c r="Z438" s="888">
        <v>6040.7</v>
      </c>
      <c r="AA438" s="891"/>
      <c r="AB438" s="890"/>
      <c r="AC438" s="888">
        <v>8864.43</v>
      </c>
      <c r="AD438" s="891"/>
      <c r="AE438" s="890"/>
      <c r="AF438" s="888">
        <v>8763.49</v>
      </c>
      <c r="AG438" s="891"/>
      <c r="AH438" s="890"/>
      <c r="AI438" s="888">
        <v>12172.0899999999</v>
      </c>
      <c r="AJ438" s="891"/>
      <c r="AK438" s="890"/>
      <c r="AL438" s="888">
        <v>14687.5199999999</v>
      </c>
      <c r="AM438" s="891"/>
      <c r="AN438" s="890"/>
      <c r="AO438" s="888">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4"/>
      <c r="D439" s="893"/>
      <c r="E439" s="882">
        <v>268729.72999999981</v>
      </c>
      <c r="F439" s="894"/>
      <c r="G439" s="893"/>
      <c r="H439" s="882">
        <v>21261.18</v>
      </c>
      <c r="I439" s="894"/>
      <c r="J439" s="893"/>
      <c r="K439" s="882">
        <v>17926.02</v>
      </c>
      <c r="L439" s="894"/>
      <c r="M439" s="893"/>
      <c r="N439" s="882">
        <v>20873.650000000001</v>
      </c>
      <c r="O439" s="894"/>
      <c r="P439" s="893"/>
      <c r="Q439" s="882">
        <v>21960.5</v>
      </c>
      <c r="R439" s="894"/>
      <c r="S439" s="893"/>
      <c r="T439" s="882">
        <v>25941.01</v>
      </c>
      <c r="U439" s="894"/>
      <c r="V439" s="893"/>
      <c r="W439" s="882">
        <v>22933.759999999998</v>
      </c>
      <c r="X439" s="894"/>
      <c r="Y439" s="893"/>
      <c r="Z439" s="882">
        <v>24599.02</v>
      </c>
      <c r="AA439" s="894"/>
      <c r="AB439" s="893"/>
      <c r="AC439" s="882">
        <v>15114.1499999999</v>
      </c>
      <c r="AD439" s="894"/>
      <c r="AE439" s="893"/>
      <c r="AF439" s="882">
        <v>16360.879999999899</v>
      </c>
      <c r="AG439" s="894"/>
      <c r="AH439" s="893"/>
      <c r="AI439" s="882">
        <v>25983.25</v>
      </c>
      <c r="AJ439" s="894"/>
      <c r="AK439" s="893"/>
      <c r="AL439" s="882">
        <v>26695.439999999999</v>
      </c>
      <c r="AM439" s="894"/>
      <c r="AN439" s="893"/>
      <c r="AO439" s="882">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91"/>
      <c r="D440" s="890"/>
      <c r="E440" s="888">
        <v>255651.73999999976</v>
      </c>
      <c r="F440" s="891"/>
      <c r="G440" s="890"/>
      <c r="H440" s="888">
        <v>17445.560000000001</v>
      </c>
      <c r="I440" s="891"/>
      <c r="J440" s="890"/>
      <c r="K440" s="888">
        <v>22222.57</v>
      </c>
      <c r="L440" s="891"/>
      <c r="M440" s="890"/>
      <c r="N440" s="888">
        <v>20092.71</v>
      </c>
      <c r="O440" s="891"/>
      <c r="P440" s="890"/>
      <c r="Q440" s="888">
        <v>19618.09</v>
      </c>
      <c r="R440" s="891"/>
      <c r="S440" s="890"/>
      <c r="T440" s="888">
        <v>24895.379999999899</v>
      </c>
      <c r="U440" s="891"/>
      <c r="V440" s="890"/>
      <c r="W440" s="888">
        <v>19595.53</v>
      </c>
      <c r="X440" s="891"/>
      <c r="Y440" s="890"/>
      <c r="Z440" s="888">
        <v>21285.919999999998</v>
      </c>
      <c r="AA440" s="891"/>
      <c r="AB440" s="890"/>
      <c r="AC440" s="888">
        <v>19073.02</v>
      </c>
      <c r="AD440" s="891"/>
      <c r="AE440" s="890"/>
      <c r="AF440" s="888">
        <v>22041.62</v>
      </c>
      <c r="AG440" s="891"/>
      <c r="AH440" s="890"/>
      <c r="AI440" s="888">
        <v>26004.28</v>
      </c>
      <c r="AJ440" s="891"/>
      <c r="AK440" s="890"/>
      <c r="AL440" s="888">
        <v>20657.539999999899</v>
      </c>
      <c r="AM440" s="891"/>
      <c r="AN440" s="890"/>
      <c r="AO440" s="888">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91"/>
      <c r="D441" s="890"/>
      <c r="E441" s="888">
        <v>59895.049999999981</v>
      </c>
      <c r="F441" s="891"/>
      <c r="G441" s="890"/>
      <c r="H441" s="888">
        <v>2699.72</v>
      </c>
      <c r="I441" s="891"/>
      <c r="J441" s="890"/>
      <c r="K441" s="888">
        <v>5985.0199999999904</v>
      </c>
      <c r="L441" s="891"/>
      <c r="M441" s="890"/>
      <c r="N441" s="888">
        <v>6548.53</v>
      </c>
      <c r="O441" s="891"/>
      <c r="P441" s="890"/>
      <c r="Q441" s="888">
        <v>4039.21</v>
      </c>
      <c r="R441" s="891"/>
      <c r="S441" s="890"/>
      <c r="T441" s="888">
        <v>9758.67</v>
      </c>
      <c r="U441" s="891"/>
      <c r="V441" s="890"/>
      <c r="W441" s="888">
        <v>3288.06</v>
      </c>
      <c r="X441" s="891"/>
      <c r="Y441" s="890"/>
      <c r="Z441" s="888">
        <v>3781.2</v>
      </c>
      <c r="AA441" s="891"/>
      <c r="AB441" s="890"/>
      <c r="AC441" s="888">
        <v>4475.7199999999903</v>
      </c>
      <c r="AD441" s="891"/>
      <c r="AE441" s="890"/>
      <c r="AF441" s="888">
        <v>5159.8</v>
      </c>
      <c r="AG441" s="891"/>
      <c r="AH441" s="890"/>
      <c r="AI441" s="888">
        <v>5559.69</v>
      </c>
      <c r="AJ441" s="891"/>
      <c r="AK441" s="890"/>
      <c r="AL441" s="888">
        <v>5182.58</v>
      </c>
      <c r="AM441" s="891"/>
      <c r="AN441" s="890"/>
      <c r="AO441" s="888">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6"/>
      <c r="D442" s="907"/>
      <c r="E442" s="908">
        <v>359526.27</v>
      </c>
      <c r="F442" s="906"/>
      <c r="G442" s="907"/>
      <c r="H442" s="908">
        <v>24007.23</v>
      </c>
      <c r="I442" s="906"/>
      <c r="J442" s="907"/>
      <c r="K442" s="908">
        <v>34713.53</v>
      </c>
      <c r="L442" s="906"/>
      <c r="M442" s="907"/>
      <c r="N442" s="908">
        <v>25879.79</v>
      </c>
      <c r="O442" s="906"/>
      <c r="P442" s="907"/>
      <c r="Q442" s="908">
        <v>26024.04</v>
      </c>
      <c r="R442" s="906"/>
      <c r="S442" s="907"/>
      <c r="T442" s="908">
        <v>28752.89</v>
      </c>
      <c r="U442" s="906"/>
      <c r="V442" s="907"/>
      <c r="W442" s="908">
        <v>28389.37</v>
      </c>
      <c r="X442" s="906"/>
      <c r="Y442" s="907"/>
      <c r="Z442" s="908">
        <v>29314.46</v>
      </c>
      <c r="AA442" s="906"/>
      <c r="AB442" s="907"/>
      <c r="AC442" s="908">
        <v>22686.11</v>
      </c>
      <c r="AD442" s="906"/>
      <c r="AE442" s="907"/>
      <c r="AF442" s="908">
        <v>29126.33</v>
      </c>
      <c r="AG442" s="906"/>
      <c r="AH442" s="907"/>
      <c r="AI442" s="908">
        <v>37487.360000000001</v>
      </c>
      <c r="AJ442" s="906"/>
      <c r="AK442" s="907"/>
      <c r="AL442" s="908">
        <v>40008.519999999997</v>
      </c>
      <c r="AM442" s="906"/>
      <c r="AN442" s="907"/>
      <c r="AO442" s="908">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91"/>
      <c r="D444" s="890"/>
      <c r="E444" s="888">
        <v>82813.749999999898</v>
      </c>
      <c r="F444" s="891"/>
      <c r="G444" s="890"/>
      <c r="H444" s="888">
        <v>3871.25</v>
      </c>
      <c r="I444" s="891"/>
      <c r="J444" s="890"/>
      <c r="K444" s="888">
        <v>2331.6</v>
      </c>
      <c r="L444" s="891"/>
      <c r="M444" s="890"/>
      <c r="N444" s="888">
        <v>2052.2799999999902</v>
      </c>
      <c r="O444" s="891"/>
      <c r="P444" s="890"/>
      <c r="Q444" s="888">
        <v>8832.08</v>
      </c>
      <c r="R444" s="891"/>
      <c r="S444" s="890"/>
      <c r="T444" s="888">
        <v>6209.67</v>
      </c>
      <c r="U444" s="891"/>
      <c r="V444" s="890"/>
      <c r="W444" s="888">
        <v>4394.93</v>
      </c>
      <c r="X444" s="891"/>
      <c r="Y444" s="890"/>
      <c r="Z444" s="888">
        <v>9357.83</v>
      </c>
      <c r="AA444" s="891"/>
      <c r="AB444" s="890"/>
      <c r="AC444" s="888">
        <v>5655.76</v>
      </c>
      <c r="AD444" s="891"/>
      <c r="AE444" s="890"/>
      <c r="AF444" s="888">
        <v>11285.07</v>
      </c>
      <c r="AG444" s="891"/>
      <c r="AH444" s="890"/>
      <c r="AI444" s="888">
        <v>13486.72</v>
      </c>
      <c r="AJ444" s="891"/>
      <c r="AK444" s="890"/>
      <c r="AL444" s="888">
        <v>11236.6799999999</v>
      </c>
      <c r="AM444" s="891"/>
      <c r="AN444" s="890"/>
      <c r="AO444" s="888">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91"/>
      <c r="D445" s="890"/>
      <c r="E445" s="888">
        <v>15522.959999999997</v>
      </c>
      <c r="F445" s="891"/>
      <c r="G445" s="890"/>
      <c r="H445" s="888">
        <v>5697.43</v>
      </c>
      <c r="I445" s="891"/>
      <c r="J445" s="890"/>
      <c r="K445" s="888">
        <v>860.45</v>
      </c>
      <c r="L445" s="891"/>
      <c r="M445" s="890"/>
      <c r="N445" s="888">
        <v>725.99</v>
      </c>
      <c r="O445" s="891"/>
      <c r="P445" s="890"/>
      <c r="Q445" s="888">
        <v>619.66999999999996</v>
      </c>
      <c r="R445" s="891"/>
      <c r="S445" s="890"/>
      <c r="T445" s="888">
        <v>822.42</v>
      </c>
      <c r="U445" s="891"/>
      <c r="V445" s="890"/>
      <c r="W445" s="888">
        <v>788.71</v>
      </c>
      <c r="X445" s="891"/>
      <c r="Y445" s="890"/>
      <c r="Z445" s="888">
        <v>1535.27</v>
      </c>
      <c r="AA445" s="891"/>
      <c r="AB445" s="890"/>
      <c r="AC445" s="888">
        <v>460.85</v>
      </c>
      <c r="AD445" s="891"/>
      <c r="AE445" s="890"/>
      <c r="AF445" s="888">
        <v>608.80999999999995</v>
      </c>
      <c r="AG445" s="891"/>
      <c r="AH445" s="890"/>
      <c r="AI445" s="888">
        <v>679.32</v>
      </c>
      <c r="AJ445" s="891"/>
      <c r="AK445" s="890"/>
      <c r="AL445" s="888">
        <v>1903.87</v>
      </c>
      <c r="AM445" s="891"/>
      <c r="AN445" s="890"/>
      <c r="AO445" s="888">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91"/>
      <c r="D446" s="890"/>
      <c r="E446" s="888">
        <v>36129.239999999962</v>
      </c>
      <c r="F446" s="891"/>
      <c r="G446" s="890"/>
      <c r="H446" s="888">
        <v>1211.71</v>
      </c>
      <c r="I446" s="891"/>
      <c r="J446" s="890"/>
      <c r="K446" s="888">
        <v>2953.7799999999902</v>
      </c>
      <c r="L446" s="891"/>
      <c r="M446" s="890"/>
      <c r="N446" s="888">
        <v>3960.72999999999</v>
      </c>
      <c r="O446" s="891"/>
      <c r="P446" s="890"/>
      <c r="Q446" s="888">
        <v>2448.1899999999901</v>
      </c>
      <c r="R446" s="891"/>
      <c r="S446" s="890"/>
      <c r="T446" s="888">
        <v>1935.03</v>
      </c>
      <c r="U446" s="891"/>
      <c r="V446" s="890"/>
      <c r="W446" s="888">
        <v>3259.74</v>
      </c>
      <c r="X446" s="891"/>
      <c r="Y446" s="890"/>
      <c r="Z446" s="888">
        <v>1499.48</v>
      </c>
      <c r="AA446" s="891"/>
      <c r="AB446" s="890"/>
      <c r="AC446" s="888">
        <v>3628.75</v>
      </c>
      <c r="AD446" s="891"/>
      <c r="AE446" s="890"/>
      <c r="AF446" s="888">
        <v>2665.1099999999901</v>
      </c>
      <c r="AG446" s="891"/>
      <c r="AH446" s="890"/>
      <c r="AI446" s="888">
        <v>2749</v>
      </c>
      <c r="AJ446" s="891"/>
      <c r="AK446" s="890"/>
      <c r="AL446" s="888">
        <v>6455.48</v>
      </c>
      <c r="AM446" s="891"/>
      <c r="AN446" s="890"/>
      <c r="AO446" s="888">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91"/>
      <c r="D447" s="890"/>
      <c r="E447" s="888">
        <v>8574.5099999999984</v>
      </c>
      <c r="F447" s="891"/>
      <c r="G447" s="890"/>
      <c r="H447" s="888">
        <v>743.31999999999903</v>
      </c>
      <c r="I447" s="891"/>
      <c r="J447" s="890"/>
      <c r="K447" s="888">
        <v>661.94999999999902</v>
      </c>
      <c r="L447" s="891"/>
      <c r="M447" s="890"/>
      <c r="N447" s="888">
        <v>578.94999999999902</v>
      </c>
      <c r="O447" s="891"/>
      <c r="P447" s="890"/>
      <c r="Q447" s="888">
        <v>718.74</v>
      </c>
      <c r="R447" s="891"/>
      <c r="S447" s="890"/>
      <c r="T447" s="888">
        <v>823.79</v>
      </c>
      <c r="U447" s="891"/>
      <c r="V447" s="890"/>
      <c r="W447" s="888">
        <v>542.27</v>
      </c>
      <c r="X447" s="891"/>
      <c r="Y447" s="890"/>
      <c r="Z447" s="888">
        <v>615.77</v>
      </c>
      <c r="AA447" s="891"/>
      <c r="AB447" s="890"/>
      <c r="AC447" s="888">
        <v>1235.51</v>
      </c>
      <c r="AD447" s="891"/>
      <c r="AE447" s="890"/>
      <c r="AF447" s="888">
        <v>668.71</v>
      </c>
      <c r="AG447" s="891"/>
      <c r="AH447" s="890"/>
      <c r="AI447" s="888">
        <v>672.4</v>
      </c>
      <c r="AJ447" s="891"/>
      <c r="AK447" s="890"/>
      <c r="AL447" s="888">
        <v>654.80999999999995</v>
      </c>
      <c r="AM447" s="891"/>
      <c r="AN447" s="890"/>
      <c r="AO447" s="888">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91"/>
      <c r="D448" s="890"/>
      <c r="E448" s="888">
        <v>3924.9499999999989</v>
      </c>
      <c r="F448" s="891"/>
      <c r="G448" s="890"/>
      <c r="H448" s="888">
        <v>310.39</v>
      </c>
      <c r="I448" s="891"/>
      <c r="J448" s="890"/>
      <c r="K448" s="888">
        <v>110.729999999999</v>
      </c>
      <c r="L448" s="891"/>
      <c r="M448" s="890"/>
      <c r="N448" s="888">
        <v>291.3</v>
      </c>
      <c r="O448" s="891"/>
      <c r="P448" s="890"/>
      <c r="Q448" s="888">
        <v>631</v>
      </c>
      <c r="R448" s="891"/>
      <c r="S448" s="890"/>
      <c r="T448" s="888">
        <v>148.27000000000001</v>
      </c>
      <c r="U448" s="891"/>
      <c r="V448" s="890"/>
      <c r="W448" s="888">
        <v>929.61</v>
      </c>
      <c r="X448" s="891"/>
      <c r="Y448" s="890"/>
      <c r="Z448" s="888">
        <v>1374.07</v>
      </c>
      <c r="AA448" s="891"/>
      <c r="AB448" s="890"/>
      <c r="AC448" s="888">
        <v>96.37</v>
      </c>
      <c r="AD448" s="891"/>
      <c r="AE448" s="890"/>
      <c r="AF448" s="888">
        <v>224.46</v>
      </c>
      <c r="AG448" s="891"/>
      <c r="AH448" s="890"/>
      <c r="AI448" s="888">
        <v>439.88</v>
      </c>
      <c r="AJ448" s="891"/>
      <c r="AK448" s="890"/>
      <c r="AL448" s="888">
        <v>-874.73999999999899</v>
      </c>
      <c r="AM448" s="891"/>
      <c r="AN448" s="890"/>
      <c r="AO448" s="888">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91"/>
      <c r="D449" s="890"/>
      <c r="E449" s="888">
        <v>9171.7299999999886</v>
      </c>
      <c r="F449" s="891"/>
      <c r="G449" s="890"/>
      <c r="H449" s="888">
        <v>3559.5699999999902</v>
      </c>
      <c r="I449" s="891"/>
      <c r="J449" s="890"/>
      <c r="K449" s="888">
        <v>2257.0500000000002</v>
      </c>
      <c r="L449" s="891"/>
      <c r="M449" s="890"/>
      <c r="N449" s="888">
        <v>207.18</v>
      </c>
      <c r="O449" s="891"/>
      <c r="P449" s="890"/>
      <c r="Q449" s="888">
        <v>441.219999999999</v>
      </c>
      <c r="R449" s="891"/>
      <c r="S449" s="890"/>
      <c r="T449" s="888">
        <v>245.38</v>
      </c>
      <c r="U449" s="891"/>
      <c r="V449" s="890"/>
      <c r="W449" s="888">
        <v>347.95</v>
      </c>
      <c r="X449" s="891"/>
      <c r="Y449" s="890"/>
      <c r="Z449" s="888">
        <v>270.76</v>
      </c>
      <c r="AA449" s="891"/>
      <c r="AB449" s="890"/>
      <c r="AC449" s="888">
        <v>352.19</v>
      </c>
      <c r="AD449" s="891"/>
      <c r="AE449" s="890"/>
      <c r="AF449" s="888">
        <v>749.64</v>
      </c>
      <c r="AG449" s="891"/>
      <c r="AH449" s="890"/>
      <c r="AI449" s="888">
        <v>375.01</v>
      </c>
      <c r="AJ449" s="891"/>
      <c r="AK449" s="890"/>
      <c r="AL449" s="888">
        <v>71.3</v>
      </c>
      <c r="AM449" s="891"/>
      <c r="AN449" s="890"/>
      <c r="AO449" s="888">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91"/>
      <c r="D450" s="890"/>
      <c r="E450" s="888">
        <v>102741.10999999987</v>
      </c>
      <c r="F450" s="891"/>
      <c r="G450" s="890"/>
      <c r="H450" s="888">
        <v>6520.72</v>
      </c>
      <c r="I450" s="891"/>
      <c r="J450" s="890"/>
      <c r="K450" s="888">
        <v>10407.59</v>
      </c>
      <c r="L450" s="891"/>
      <c r="M450" s="890"/>
      <c r="N450" s="888">
        <v>17051.86</v>
      </c>
      <c r="O450" s="891"/>
      <c r="P450" s="890"/>
      <c r="Q450" s="888">
        <v>11935.449999999901</v>
      </c>
      <c r="R450" s="891"/>
      <c r="S450" s="890"/>
      <c r="T450" s="888">
        <v>9031.02</v>
      </c>
      <c r="U450" s="891"/>
      <c r="V450" s="890"/>
      <c r="W450" s="888">
        <v>3572.32</v>
      </c>
      <c r="X450" s="891"/>
      <c r="Y450" s="890"/>
      <c r="Z450" s="888">
        <v>5842.54</v>
      </c>
      <c r="AA450" s="891"/>
      <c r="AB450" s="890"/>
      <c r="AC450" s="888">
        <v>8172.67</v>
      </c>
      <c r="AD450" s="891"/>
      <c r="AE450" s="890"/>
      <c r="AF450" s="888">
        <v>8691.65</v>
      </c>
      <c r="AG450" s="891"/>
      <c r="AH450" s="890"/>
      <c r="AI450" s="888">
        <v>5853.87</v>
      </c>
      <c r="AJ450" s="891"/>
      <c r="AK450" s="890"/>
      <c r="AL450" s="888">
        <v>11744.14</v>
      </c>
      <c r="AM450" s="891"/>
      <c r="AN450" s="890"/>
      <c r="AO450" s="888">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91"/>
      <c r="D451" s="890"/>
      <c r="E451" s="888">
        <v>93995.029999999897</v>
      </c>
      <c r="F451" s="891"/>
      <c r="G451" s="890"/>
      <c r="H451" s="888">
        <v>6981.61</v>
      </c>
      <c r="I451" s="891"/>
      <c r="J451" s="890"/>
      <c r="K451" s="888">
        <v>5518.71</v>
      </c>
      <c r="L451" s="891"/>
      <c r="M451" s="890"/>
      <c r="N451" s="888">
        <v>793.51</v>
      </c>
      <c r="O451" s="891"/>
      <c r="P451" s="890"/>
      <c r="Q451" s="888">
        <v>6723.6</v>
      </c>
      <c r="R451" s="891"/>
      <c r="S451" s="890"/>
      <c r="T451" s="888">
        <v>17196.879999999899</v>
      </c>
      <c r="U451" s="891"/>
      <c r="V451" s="890"/>
      <c r="W451" s="888">
        <v>7860.32</v>
      </c>
      <c r="X451" s="891"/>
      <c r="Y451" s="890"/>
      <c r="Z451" s="888">
        <v>7569.85</v>
      </c>
      <c r="AA451" s="891"/>
      <c r="AB451" s="890"/>
      <c r="AC451" s="888">
        <v>5910.77</v>
      </c>
      <c r="AD451" s="891"/>
      <c r="AE451" s="890"/>
      <c r="AF451" s="888">
        <v>8007.9</v>
      </c>
      <c r="AG451" s="891"/>
      <c r="AH451" s="890"/>
      <c r="AI451" s="888">
        <v>8918.27</v>
      </c>
      <c r="AJ451" s="891"/>
      <c r="AK451" s="890"/>
      <c r="AL451" s="888">
        <v>11388.47</v>
      </c>
      <c r="AM451" s="891"/>
      <c r="AN451" s="890"/>
      <c r="AO451" s="888">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91"/>
      <c r="D452" s="890"/>
      <c r="E452" s="888">
        <v>0</v>
      </c>
      <c r="F452" s="891"/>
      <c r="G452" s="890"/>
      <c r="H452" s="888"/>
      <c r="I452" s="891"/>
      <c r="J452" s="890"/>
      <c r="K452" s="888"/>
      <c r="L452" s="891"/>
      <c r="M452" s="890"/>
      <c r="N452" s="888"/>
      <c r="O452" s="891"/>
      <c r="P452" s="890"/>
      <c r="Q452" s="888"/>
      <c r="R452" s="891"/>
      <c r="S452" s="890"/>
      <c r="T452" s="888"/>
      <c r="U452" s="891"/>
      <c r="V452" s="890"/>
      <c r="W452" s="888"/>
      <c r="X452" s="891"/>
      <c r="Y452" s="890"/>
      <c r="Z452" s="888"/>
      <c r="AA452" s="891"/>
      <c r="AB452" s="890"/>
      <c r="AC452" s="888"/>
      <c r="AD452" s="891"/>
      <c r="AE452" s="890"/>
      <c r="AF452" s="888"/>
      <c r="AG452" s="891"/>
      <c r="AH452" s="890"/>
      <c r="AI452" s="888"/>
      <c r="AJ452" s="891"/>
      <c r="AK452" s="890"/>
      <c r="AL452" s="888"/>
      <c r="AM452" s="891"/>
      <c r="AN452" s="890"/>
      <c r="AO452" s="888"/>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91"/>
      <c r="D453" s="890"/>
      <c r="E453" s="888">
        <v>0</v>
      </c>
      <c r="F453" s="891"/>
      <c r="G453" s="890"/>
      <c r="H453" s="888"/>
      <c r="I453" s="891"/>
      <c r="J453" s="890"/>
      <c r="K453" s="888"/>
      <c r="L453" s="891"/>
      <c r="M453" s="890"/>
      <c r="N453" s="888"/>
      <c r="O453" s="891"/>
      <c r="P453" s="890"/>
      <c r="Q453" s="888"/>
      <c r="R453" s="891"/>
      <c r="S453" s="890"/>
      <c r="T453" s="888"/>
      <c r="U453" s="891"/>
      <c r="V453" s="890"/>
      <c r="W453" s="888"/>
      <c r="X453" s="891"/>
      <c r="Y453" s="890"/>
      <c r="Z453" s="888"/>
      <c r="AA453" s="891"/>
      <c r="AB453" s="890"/>
      <c r="AC453" s="888"/>
      <c r="AD453" s="891"/>
      <c r="AE453" s="890"/>
      <c r="AF453" s="888"/>
      <c r="AG453" s="891"/>
      <c r="AH453" s="890"/>
      <c r="AI453" s="888"/>
      <c r="AJ453" s="891"/>
      <c r="AK453" s="890"/>
      <c r="AL453" s="888"/>
      <c r="AM453" s="891"/>
      <c r="AN453" s="890"/>
      <c r="AO453" s="888"/>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91"/>
      <c r="D454" s="890"/>
      <c r="E454" s="888">
        <v>0</v>
      </c>
      <c r="F454" s="891"/>
      <c r="G454" s="890"/>
      <c r="H454" s="888"/>
      <c r="I454" s="891"/>
      <c r="J454" s="890"/>
      <c r="K454" s="888"/>
      <c r="L454" s="891"/>
      <c r="M454" s="890"/>
      <c r="N454" s="888"/>
      <c r="O454" s="891"/>
      <c r="P454" s="890"/>
      <c r="Q454" s="888"/>
      <c r="R454" s="891"/>
      <c r="S454" s="890"/>
      <c r="T454" s="888"/>
      <c r="U454" s="891"/>
      <c r="V454" s="890"/>
      <c r="W454" s="888"/>
      <c r="X454" s="891"/>
      <c r="Y454" s="890"/>
      <c r="Z454" s="888"/>
      <c r="AA454" s="891"/>
      <c r="AB454" s="890"/>
      <c r="AC454" s="888"/>
      <c r="AD454" s="891"/>
      <c r="AE454" s="890"/>
      <c r="AF454" s="888"/>
      <c r="AG454" s="891"/>
      <c r="AH454" s="890"/>
      <c r="AI454" s="888"/>
      <c r="AJ454" s="891"/>
      <c r="AK454" s="890"/>
      <c r="AL454" s="888"/>
      <c r="AM454" s="891"/>
      <c r="AN454" s="890"/>
      <c r="AO454" s="888"/>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5">
        <v>0.20956640439172411</v>
      </c>
      <c r="D455" s="898"/>
      <c r="E455" s="897">
        <v>1562937.5699999987</v>
      </c>
      <c r="F455" s="895">
        <v>0.21042058749457138</v>
      </c>
      <c r="G455" s="898"/>
      <c r="H455" s="897">
        <v>108959.33</v>
      </c>
      <c r="I455" s="895">
        <v>0.30282128714051604</v>
      </c>
      <c r="J455" s="898"/>
      <c r="K455" s="897">
        <v>125996.03999999998</v>
      </c>
      <c r="L455" s="895">
        <v>0.19867655730050557</v>
      </c>
      <c r="M455" s="898"/>
      <c r="N455" s="897">
        <v>116946.36999999998</v>
      </c>
      <c r="O455" s="895">
        <v>0.22102593018463018</v>
      </c>
      <c r="P455" s="898"/>
      <c r="Q455" s="897">
        <v>125843.5799999999</v>
      </c>
      <c r="R455" s="895">
        <v>0.2035544999816131</v>
      </c>
      <c r="S455" s="898"/>
      <c r="T455" s="897">
        <v>145632.7799999998</v>
      </c>
      <c r="U455" s="895">
        <v>0.18235578618986145</v>
      </c>
      <c r="V455" s="898"/>
      <c r="W455" s="897">
        <v>123257.83000000002</v>
      </c>
      <c r="X455" s="895">
        <v>0.21500980595477043</v>
      </c>
      <c r="Y455" s="898"/>
      <c r="Z455" s="897">
        <v>131668.35</v>
      </c>
      <c r="AA455" s="895">
        <v>0.17391034253696361</v>
      </c>
      <c r="AB455" s="898"/>
      <c r="AC455" s="897">
        <v>113156.29999999989</v>
      </c>
      <c r="AD455" s="895">
        <v>0.20386864924162415</v>
      </c>
      <c r="AE455" s="898"/>
      <c r="AF455" s="897">
        <v>128089.17999999989</v>
      </c>
      <c r="AG455" s="895">
        <v>0.20645194943137171</v>
      </c>
      <c r="AH455" s="898"/>
      <c r="AI455" s="897">
        <v>152775.31999999989</v>
      </c>
      <c r="AJ455" s="895">
        <v>0.20036797386288796</v>
      </c>
      <c r="AK455" s="898"/>
      <c r="AL455" s="897">
        <v>164898.21999999971</v>
      </c>
      <c r="AM455" s="895">
        <v>0.24157425738712035</v>
      </c>
      <c r="AN455" s="898"/>
      <c r="AO455" s="897">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91"/>
      <c r="D456" s="890"/>
      <c r="E456" s="888">
        <v>312000</v>
      </c>
      <c r="F456" s="891"/>
      <c r="G456" s="890"/>
      <c r="H456" s="899">
        <v>26000</v>
      </c>
      <c r="I456" s="891"/>
      <c r="J456" s="890"/>
      <c r="K456" s="899">
        <v>26000</v>
      </c>
      <c r="L456" s="891"/>
      <c r="M456" s="890"/>
      <c r="N456" s="899">
        <v>26000</v>
      </c>
      <c r="O456" s="891"/>
      <c r="P456" s="890"/>
      <c r="Q456" s="899">
        <v>26000</v>
      </c>
      <c r="R456" s="891"/>
      <c r="S456" s="890"/>
      <c r="T456" s="899">
        <v>26000</v>
      </c>
      <c r="U456" s="891"/>
      <c r="V456" s="890"/>
      <c r="W456" s="899">
        <v>26000</v>
      </c>
      <c r="X456" s="891"/>
      <c r="Y456" s="890"/>
      <c r="Z456" s="899">
        <v>26000</v>
      </c>
      <c r="AA456" s="891"/>
      <c r="AB456" s="890"/>
      <c r="AC456" s="899">
        <v>26000</v>
      </c>
      <c r="AD456" s="891"/>
      <c r="AE456" s="890"/>
      <c r="AF456" s="899">
        <v>26000</v>
      </c>
      <c r="AG456" s="891"/>
      <c r="AH456" s="890"/>
      <c r="AI456" s="899">
        <v>26000</v>
      </c>
      <c r="AJ456" s="891"/>
      <c r="AK456" s="890"/>
      <c r="AL456" s="899">
        <v>26000</v>
      </c>
      <c r="AM456" s="891"/>
      <c r="AN456" s="890"/>
      <c r="AO456" s="89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91"/>
      <c r="D457" s="890"/>
      <c r="E457" s="888">
        <v>59826.75</v>
      </c>
      <c r="F457" s="891"/>
      <c r="G457" s="890"/>
      <c r="H457" s="899">
        <v>4930</v>
      </c>
      <c r="I457" s="891"/>
      <c r="J457" s="890"/>
      <c r="K457" s="899">
        <v>4930</v>
      </c>
      <c r="L457" s="891"/>
      <c r="M457" s="890"/>
      <c r="N457" s="899">
        <v>4930</v>
      </c>
      <c r="O457" s="891"/>
      <c r="P457" s="890"/>
      <c r="Q457" s="899">
        <v>4930</v>
      </c>
      <c r="R457" s="891"/>
      <c r="S457" s="890"/>
      <c r="T457" s="899">
        <v>5589</v>
      </c>
      <c r="U457" s="891"/>
      <c r="V457" s="890"/>
      <c r="W457" s="899">
        <v>4937.75</v>
      </c>
      <c r="X457" s="891"/>
      <c r="Y457" s="890"/>
      <c r="Z457" s="899">
        <v>4930</v>
      </c>
      <c r="AA457" s="891"/>
      <c r="AB457" s="890"/>
      <c r="AC457" s="899">
        <v>4930</v>
      </c>
      <c r="AD457" s="891"/>
      <c r="AE457" s="890"/>
      <c r="AF457" s="899">
        <v>4930</v>
      </c>
      <c r="AG457" s="891"/>
      <c r="AH457" s="890"/>
      <c r="AI457" s="899">
        <v>4930</v>
      </c>
      <c r="AJ457" s="891"/>
      <c r="AK457" s="890"/>
      <c r="AL457" s="899">
        <v>4930</v>
      </c>
      <c r="AM457" s="891"/>
      <c r="AN457" s="890"/>
      <c r="AO457" s="899">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4"/>
      <c r="D458" s="893"/>
      <c r="E458" s="882">
        <v>39984.999999999884</v>
      </c>
      <c r="F458" s="894"/>
      <c r="G458" s="893"/>
      <c r="H458" s="911">
        <v>3279.99999999999</v>
      </c>
      <c r="I458" s="894"/>
      <c r="J458" s="893"/>
      <c r="K458" s="911">
        <v>3904.99999999999</v>
      </c>
      <c r="L458" s="894"/>
      <c r="M458" s="893"/>
      <c r="N458" s="911">
        <v>3279.99999999999</v>
      </c>
      <c r="O458" s="894"/>
      <c r="P458" s="893"/>
      <c r="Q458" s="911">
        <v>3279.99999999999</v>
      </c>
      <c r="R458" s="894"/>
      <c r="S458" s="893"/>
      <c r="T458" s="911">
        <v>3279.99999999999</v>
      </c>
      <c r="U458" s="894"/>
      <c r="V458" s="893"/>
      <c r="W458" s="911">
        <v>3279.99999999999</v>
      </c>
      <c r="X458" s="894"/>
      <c r="Y458" s="893"/>
      <c r="Z458" s="911">
        <v>3279.99999999999</v>
      </c>
      <c r="AA458" s="894"/>
      <c r="AB458" s="893"/>
      <c r="AC458" s="911">
        <v>3279.99999999999</v>
      </c>
      <c r="AD458" s="894"/>
      <c r="AE458" s="893"/>
      <c r="AF458" s="911">
        <v>3279.99999999999</v>
      </c>
      <c r="AG458" s="894"/>
      <c r="AH458" s="893"/>
      <c r="AI458" s="911">
        <v>3279.99999999999</v>
      </c>
      <c r="AJ458" s="894"/>
      <c r="AK458" s="893"/>
      <c r="AL458" s="911">
        <v>3279.99999999999</v>
      </c>
      <c r="AM458" s="894"/>
      <c r="AN458" s="893"/>
      <c r="AO458" s="911">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4"/>
      <c r="D460" s="893"/>
      <c r="E460" s="882">
        <v>51252</v>
      </c>
      <c r="F460" s="894"/>
      <c r="G460" s="893"/>
      <c r="H460" s="911">
        <v>4271</v>
      </c>
      <c r="I460" s="894"/>
      <c r="J460" s="893"/>
      <c r="K460" s="911">
        <v>4271</v>
      </c>
      <c r="L460" s="894"/>
      <c r="M460" s="893"/>
      <c r="N460" s="911">
        <v>4271</v>
      </c>
      <c r="O460" s="894"/>
      <c r="P460" s="893"/>
      <c r="Q460" s="911">
        <v>4271</v>
      </c>
      <c r="R460" s="894"/>
      <c r="S460" s="893"/>
      <c r="T460" s="911">
        <v>4271</v>
      </c>
      <c r="U460" s="894"/>
      <c r="V460" s="893"/>
      <c r="W460" s="911">
        <v>4271</v>
      </c>
      <c r="X460" s="894"/>
      <c r="Y460" s="893"/>
      <c r="Z460" s="911">
        <v>4271</v>
      </c>
      <c r="AA460" s="894"/>
      <c r="AB460" s="893"/>
      <c r="AC460" s="911">
        <v>4271</v>
      </c>
      <c r="AD460" s="894"/>
      <c r="AE460" s="893"/>
      <c r="AF460" s="911">
        <v>4271</v>
      </c>
      <c r="AG460" s="894"/>
      <c r="AH460" s="893"/>
      <c r="AI460" s="911">
        <v>4271</v>
      </c>
      <c r="AJ460" s="894"/>
      <c r="AK460" s="893"/>
      <c r="AL460" s="911">
        <v>4271</v>
      </c>
      <c r="AM460" s="894"/>
      <c r="AN460" s="893"/>
      <c r="AO460" s="911">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91"/>
      <c r="D461" s="890"/>
      <c r="E461" s="888">
        <v>27353.499999999982</v>
      </c>
      <c r="F461" s="891"/>
      <c r="G461" s="890"/>
      <c r="H461" s="899">
        <v>3401.36</v>
      </c>
      <c r="I461" s="891"/>
      <c r="J461" s="890"/>
      <c r="K461" s="899">
        <v>1500</v>
      </c>
      <c r="L461" s="891"/>
      <c r="M461" s="890"/>
      <c r="N461" s="899">
        <v>5591.8899999999903</v>
      </c>
      <c r="O461" s="891"/>
      <c r="P461" s="890"/>
      <c r="Q461" s="899">
        <v>1478.46999999999</v>
      </c>
      <c r="R461" s="891"/>
      <c r="S461" s="890"/>
      <c r="T461" s="899">
        <v>4881.34</v>
      </c>
      <c r="U461" s="891"/>
      <c r="V461" s="890"/>
      <c r="W461" s="899">
        <v>-898.86</v>
      </c>
      <c r="X461" s="891"/>
      <c r="Y461" s="890"/>
      <c r="Z461" s="899">
        <v>3629.42</v>
      </c>
      <c r="AA461" s="891"/>
      <c r="AB461" s="890"/>
      <c r="AC461" s="899">
        <v>1881.92</v>
      </c>
      <c r="AD461" s="891"/>
      <c r="AE461" s="890"/>
      <c r="AF461" s="899">
        <v>41.97</v>
      </c>
      <c r="AG461" s="891"/>
      <c r="AH461" s="890"/>
      <c r="AI461" s="899">
        <v>3137.5</v>
      </c>
      <c r="AJ461" s="891"/>
      <c r="AK461" s="890"/>
      <c r="AL461" s="899">
        <v>137.27000000000001</v>
      </c>
      <c r="AM461" s="891"/>
      <c r="AN461" s="890"/>
      <c r="AO461" s="899">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91"/>
      <c r="D462" s="890"/>
      <c r="E462" s="888">
        <v>79580.73</v>
      </c>
      <c r="F462" s="891"/>
      <c r="G462" s="890"/>
      <c r="H462" s="899">
        <v>6550.12</v>
      </c>
      <c r="I462" s="891"/>
      <c r="J462" s="890"/>
      <c r="K462" s="899">
        <v>7270.12</v>
      </c>
      <c r="L462" s="891"/>
      <c r="M462" s="890"/>
      <c r="N462" s="899">
        <v>6550.12</v>
      </c>
      <c r="O462" s="891"/>
      <c r="P462" s="890"/>
      <c r="Q462" s="899">
        <v>6550.12</v>
      </c>
      <c r="R462" s="891"/>
      <c r="S462" s="890"/>
      <c r="T462" s="899">
        <v>6828.57</v>
      </c>
      <c r="U462" s="891"/>
      <c r="V462" s="890"/>
      <c r="W462" s="899">
        <v>6550.12</v>
      </c>
      <c r="X462" s="891"/>
      <c r="Y462" s="890"/>
      <c r="Z462" s="899">
        <v>6550.12</v>
      </c>
      <c r="AA462" s="891"/>
      <c r="AB462" s="890"/>
      <c r="AC462" s="899">
        <v>6550.12</v>
      </c>
      <c r="AD462" s="891"/>
      <c r="AE462" s="890"/>
      <c r="AF462" s="899">
        <v>6550.12</v>
      </c>
      <c r="AG462" s="891"/>
      <c r="AH462" s="890"/>
      <c r="AI462" s="899">
        <v>6784.54</v>
      </c>
      <c r="AJ462" s="891"/>
      <c r="AK462" s="890"/>
      <c r="AL462" s="899">
        <v>6296.54</v>
      </c>
      <c r="AM462" s="891"/>
      <c r="AN462" s="890"/>
      <c r="AO462" s="899">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4"/>
      <c r="D463" s="893"/>
      <c r="E463" s="882">
        <v>26007.289999999994</v>
      </c>
      <c r="F463" s="894"/>
      <c r="G463" s="893"/>
      <c r="H463" s="911">
        <v>4120.4399999999996</v>
      </c>
      <c r="I463" s="894"/>
      <c r="J463" s="893"/>
      <c r="K463" s="911">
        <v>0</v>
      </c>
      <c r="L463" s="894"/>
      <c r="M463" s="893"/>
      <c r="N463" s="911">
        <v>0</v>
      </c>
      <c r="O463" s="894"/>
      <c r="P463" s="893"/>
      <c r="Q463" s="911">
        <v>1935.3</v>
      </c>
      <c r="R463" s="894"/>
      <c r="S463" s="893"/>
      <c r="T463" s="911">
        <v>4533.54</v>
      </c>
      <c r="U463" s="894"/>
      <c r="V463" s="893"/>
      <c r="W463" s="911">
        <v>0</v>
      </c>
      <c r="X463" s="894"/>
      <c r="Y463" s="893"/>
      <c r="Z463" s="911">
        <v>448.8</v>
      </c>
      <c r="AA463" s="894"/>
      <c r="AB463" s="893"/>
      <c r="AC463" s="911">
        <v>5794.15</v>
      </c>
      <c r="AD463" s="894"/>
      <c r="AE463" s="893"/>
      <c r="AF463" s="911">
        <v>480</v>
      </c>
      <c r="AG463" s="894"/>
      <c r="AH463" s="893"/>
      <c r="AI463" s="911">
        <v>3317.64</v>
      </c>
      <c r="AJ463" s="894"/>
      <c r="AK463" s="893"/>
      <c r="AL463" s="911">
        <v>3263.48</v>
      </c>
      <c r="AM463" s="894"/>
      <c r="AN463" s="893"/>
      <c r="AO463" s="911">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91"/>
      <c r="D464" s="890"/>
      <c r="E464" s="888">
        <v>6895.5300000000007</v>
      </c>
      <c r="F464" s="891"/>
      <c r="G464" s="890"/>
      <c r="H464" s="899">
        <v>0</v>
      </c>
      <c r="I464" s="891"/>
      <c r="J464" s="890"/>
      <c r="K464" s="899">
        <v>0</v>
      </c>
      <c r="L464" s="891"/>
      <c r="M464" s="890"/>
      <c r="N464" s="899">
        <v>308.88</v>
      </c>
      <c r="O464" s="891"/>
      <c r="P464" s="890"/>
      <c r="Q464" s="899">
        <v>548.94000000000005</v>
      </c>
      <c r="R464" s="891"/>
      <c r="S464" s="890"/>
      <c r="T464" s="899">
        <v>1369.06</v>
      </c>
      <c r="U464" s="891"/>
      <c r="V464" s="890"/>
      <c r="W464" s="899">
        <v>0</v>
      </c>
      <c r="X464" s="891"/>
      <c r="Y464" s="890"/>
      <c r="Z464" s="899">
        <v>561.12</v>
      </c>
      <c r="AA464" s="891"/>
      <c r="AB464" s="890"/>
      <c r="AC464" s="899">
        <v>1462.22</v>
      </c>
      <c r="AD464" s="891"/>
      <c r="AE464" s="890"/>
      <c r="AF464" s="899">
        <v>1060.92</v>
      </c>
      <c r="AG464" s="891"/>
      <c r="AH464" s="890"/>
      <c r="AI464" s="899">
        <v>515.29</v>
      </c>
      <c r="AJ464" s="891"/>
      <c r="AK464" s="890"/>
      <c r="AL464" s="899">
        <v>515.29</v>
      </c>
      <c r="AM464" s="891"/>
      <c r="AN464" s="890"/>
      <c r="AO464" s="899">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5">
        <v>8.0839923030895003E-2</v>
      </c>
      <c r="D469" s="898"/>
      <c r="E469" s="897">
        <v>602900.79999999993</v>
      </c>
      <c r="F469" s="895">
        <v>0.10148939334479397</v>
      </c>
      <c r="G469" s="898"/>
      <c r="H469" s="897">
        <v>52552.92</v>
      </c>
      <c r="I469" s="895">
        <v>0.11506638051238598</v>
      </c>
      <c r="J469" s="898"/>
      <c r="K469" s="897">
        <v>47876.119999999995</v>
      </c>
      <c r="L469" s="895">
        <v>8.6526606700216904E-2</v>
      </c>
      <c r="M469" s="898"/>
      <c r="N469" s="897">
        <v>50931.889999999985</v>
      </c>
      <c r="O469" s="895">
        <v>8.6050530738696757E-2</v>
      </c>
      <c r="P469" s="898"/>
      <c r="Q469" s="897">
        <v>48993.829999999987</v>
      </c>
      <c r="R469" s="895">
        <v>7.9324371860178128E-2</v>
      </c>
      <c r="S469" s="898"/>
      <c r="T469" s="897">
        <v>56752.509999999995</v>
      </c>
      <c r="U469" s="895">
        <v>6.5303650291250001E-2</v>
      </c>
      <c r="V469" s="898"/>
      <c r="W469" s="897">
        <v>44140.009999999995</v>
      </c>
      <c r="X469" s="895">
        <v>8.1110122260088971E-2</v>
      </c>
      <c r="Y469" s="898"/>
      <c r="Z469" s="897">
        <v>49670.46</v>
      </c>
      <c r="AA469" s="895">
        <v>8.3253169714149644E-2</v>
      </c>
      <c r="AB469" s="898"/>
      <c r="AC469" s="897">
        <v>54169.409999999996</v>
      </c>
      <c r="AD469" s="895">
        <v>7.4191553528842699E-2</v>
      </c>
      <c r="AE469" s="898"/>
      <c r="AF469" s="897">
        <v>46614.009999999995</v>
      </c>
      <c r="AG469" s="895">
        <v>7.0588743240326102E-2</v>
      </c>
      <c r="AH469" s="898"/>
      <c r="AI469" s="897">
        <v>52235.969999999994</v>
      </c>
      <c r="AJ469" s="895">
        <v>5.9167612389815119E-2</v>
      </c>
      <c r="AK469" s="898"/>
      <c r="AL469" s="897">
        <v>48693.579999999994</v>
      </c>
      <c r="AM469" s="895">
        <v>9.6599691192843146E-2</v>
      </c>
      <c r="AN469" s="898"/>
      <c r="AO469" s="897">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2"/>
      <c r="D470" s="913"/>
      <c r="E470" s="914">
        <v>412768.32999999961</v>
      </c>
      <c r="F470" s="912"/>
      <c r="G470" s="913"/>
      <c r="H470" s="914">
        <v>31595.71999999999</v>
      </c>
      <c r="I470" s="912"/>
      <c r="J470" s="913"/>
      <c r="K470" s="914">
        <v>31086.879999999976</v>
      </c>
      <c r="L470" s="912"/>
      <c r="M470" s="913"/>
      <c r="N470" s="914">
        <v>32210.329999999976</v>
      </c>
      <c r="O470" s="912"/>
      <c r="P470" s="913"/>
      <c r="Q470" s="914">
        <v>36389.159999999887</v>
      </c>
      <c r="R470" s="912"/>
      <c r="S470" s="913"/>
      <c r="T470" s="914">
        <v>46171.129999999903</v>
      </c>
      <c r="U470" s="912"/>
      <c r="V470" s="913"/>
      <c r="W470" s="914">
        <v>24983.910000000003</v>
      </c>
      <c r="X470" s="912"/>
      <c r="Y470" s="913"/>
      <c r="Z470" s="914">
        <v>31846.77</v>
      </c>
      <c r="AA470" s="912"/>
      <c r="AB470" s="913"/>
      <c r="AC470" s="914">
        <v>29988.589999999993</v>
      </c>
      <c r="AD470" s="912"/>
      <c r="AE470" s="913"/>
      <c r="AF470" s="914">
        <v>38061.149999999994</v>
      </c>
      <c r="AG470" s="912"/>
      <c r="AH470" s="913"/>
      <c r="AI470" s="914">
        <v>38734.160000000003</v>
      </c>
      <c r="AJ470" s="912"/>
      <c r="AK470" s="913"/>
      <c r="AL470" s="914">
        <v>47762.589999999902</v>
      </c>
      <c r="AM470" s="912"/>
      <c r="AN470" s="913"/>
      <c r="AO470" s="914">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5">
        <v>0.96483904594906367</v>
      </c>
      <c r="D471" s="898"/>
      <c r="E471" s="897">
        <v>7195729.6699999962</v>
      </c>
      <c r="F471" s="895">
        <v>1.0514681184489036</v>
      </c>
      <c r="G471" s="898"/>
      <c r="H471" s="897">
        <v>544467.93000000005</v>
      </c>
      <c r="I471" s="895">
        <v>1.2550454255820702</v>
      </c>
      <c r="J471" s="898"/>
      <c r="K471" s="897">
        <v>522191.66999999969</v>
      </c>
      <c r="L471" s="895">
        <v>0.99561946640157162</v>
      </c>
      <c r="M471" s="898"/>
      <c r="N471" s="897">
        <v>586048.41999999993</v>
      </c>
      <c r="O471" s="895">
        <v>1.0090147174773918</v>
      </c>
      <c r="P471" s="898"/>
      <c r="Q471" s="897">
        <v>574493.78999999946</v>
      </c>
      <c r="R471" s="895">
        <v>0.9272134004764776</v>
      </c>
      <c r="S471" s="898"/>
      <c r="T471" s="897">
        <v>663373.51999999979</v>
      </c>
      <c r="U471" s="895">
        <v>0.90930718686629464</v>
      </c>
      <c r="V471" s="898"/>
      <c r="W471" s="897">
        <v>614618.44999999972</v>
      </c>
      <c r="X471" s="895">
        <v>0.96731316839298398</v>
      </c>
      <c r="Y471" s="898"/>
      <c r="Z471" s="897">
        <v>592366.1399999999</v>
      </c>
      <c r="AA471" s="895">
        <v>0.88551196638643948</v>
      </c>
      <c r="AB471" s="898"/>
      <c r="AC471" s="897">
        <v>576166.17999999959</v>
      </c>
      <c r="AD471" s="895">
        <v>0.94424724158810847</v>
      </c>
      <c r="AE471" s="898"/>
      <c r="AF471" s="897">
        <v>593263.62999999966</v>
      </c>
      <c r="AG471" s="895">
        <v>0.85261073838427404</v>
      </c>
      <c r="AH471" s="898"/>
      <c r="AI471" s="897">
        <v>630935.56999999983</v>
      </c>
      <c r="AJ471" s="895">
        <v>0.82424752781344657</v>
      </c>
      <c r="AK471" s="898"/>
      <c r="AL471" s="897">
        <v>678336.6999999996</v>
      </c>
      <c r="AM471" s="895">
        <v>1.1903775311711209</v>
      </c>
      <c r="AN471" s="898"/>
      <c r="AO471" s="897">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5"/>
      <c r="D472" s="916"/>
      <c r="E472" s="917">
        <v>507447.12000000005</v>
      </c>
      <c r="F472" s="915"/>
      <c r="G472" s="916"/>
      <c r="H472" s="917">
        <v>34076.78</v>
      </c>
      <c r="I472" s="915"/>
      <c r="J472" s="916"/>
      <c r="K472" s="917">
        <v>49402.39</v>
      </c>
      <c r="L472" s="915"/>
      <c r="M472" s="916"/>
      <c r="N472" s="917">
        <v>18031.02</v>
      </c>
      <c r="O472" s="915"/>
      <c r="P472" s="916"/>
      <c r="Q472" s="917">
        <v>130416.22</v>
      </c>
      <c r="R472" s="915"/>
      <c r="S472" s="916"/>
      <c r="T472" s="917">
        <v>12636.76</v>
      </c>
      <c r="U472" s="915"/>
      <c r="V472" s="916"/>
      <c r="W472" s="917">
        <v>46212.49</v>
      </c>
      <c r="X472" s="915"/>
      <c r="Y472" s="916"/>
      <c r="Z472" s="917">
        <v>58975.7</v>
      </c>
      <c r="AA472" s="915"/>
      <c r="AB472" s="916"/>
      <c r="AC472" s="917">
        <v>20948.240000000002</v>
      </c>
      <c r="AD472" s="915"/>
      <c r="AE472" s="916"/>
      <c r="AF472" s="917">
        <v>47782.21</v>
      </c>
      <c r="AG472" s="915"/>
      <c r="AH472" s="916"/>
      <c r="AI472" s="917">
        <v>18795.23</v>
      </c>
      <c r="AJ472" s="915"/>
      <c r="AK472" s="916"/>
      <c r="AL472" s="917">
        <v>780.32</v>
      </c>
      <c r="AM472" s="915"/>
      <c r="AN472" s="916"/>
      <c r="AO472" s="917">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8"/>
      <c r="D473" s="919"/>
      <c r="E473" s="888">
        <v>679516.07</v>
      </c>
      <c r="F473" s="918"/>
      <c r="G473" s="919"/>
      <c r="H473" s="888">
        <v>49875</v>
      </c>
      <c r="I473" s="918"/>
      <c r="J473" s="919"/>
      <c r="K473" s="888">
        <v>15765</v>
      </c>
      <c r="L473" s="918"/>
      <c r="M473" s="919"/>
      <c r="N473" s="888">
        <v>49529.35</v>
      </c>
      <c r="O473" s="918"/>
      <c r="P473" s="919"/>
      <c r="Q473" s="888">
        <v>39086.080000000002</v>
      </c>
      <c r="R473" s="918"/>
      <c r="S473" s="919"/>
      <c r="T473" s="888">
        <v>67424.75</v>
      </c>
      <c r="U473" s="918"/>
      <c r="V473" s="919"/>
      <c r="W473" s="888">
        <v>63469.55</v>
      </c>
      <c r="X473" s="918"/>
      <c r="Y473" s="919"/>
      <c r="Z473" s="888">
        <v>42698.55</v>
      </c>
      <c r="AA473" s="918"/>
      <c r="AB473" s="919"/>
      <c r="AC473" s="888">
        <v>59882.85</v>
      </c>
      <c r="AD473" s="918"/>
      <c r="AE473" s="919"/>
      <c r="AF473" s="888">
        <v>58938</v>
      </c>
      <c r="AG473" s="918"/>
      <c r="AH473" s="919"/>
      <c r="AI473" s="888">
        <v>77258.09</v>
      </c>
      <c r="AJ473" s="918"/>
      <c r="AK473" s="919"/>
      <c r="AL473" s="888">
        <v>100428</v>
      </c>
      <c r="AM473" s="918"/>
      <c r="AN473" s="919"/>
      <c r="AO473" s="888">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3863</v>
      </c>
      <c r="C474" s="918"/>
      <c r="D474" s="919"/>
      <c r="E474" s="888">
        <v>31556</v>
      </c>
      <c r="F474" s="918"/>
      <c r="G474" s="919"/>
      <c r="H474" s="888">
        <v>0</v>
      </c>
      <c r="I474" s="918"/>
      <c r="J474" s="919"/>
      <c r="K474" s="888">
        <v>0</v>
      </c>
      <c r="L474" s="918"/>
      <c r="M474" s="919"/>
      <c r="N474" s="888">
        <v>0</v>
      </c>
      <c r="O474" s="918"/>
      <c r="P474" s="919"/>
      <c r="Q474" s="888">
        <v>0</v>
      </c>
      <c r="R474" s="918"/>
      <c r="S474" s="919"/>
      <c r="T474" s="888">
        <v>0</v>
      </c>
      <c r="U474" s="918"/>
      <c r="V474" s="919"/>
      <c r="W474" s="888">
        <v>0</v>
      </c>
      <c r="X474" s="918"/>
      <c r="Y474" s="919"/>
      <c r="Z474" s="888">
        <v>0</v>
      </c>
      <c r="AA474" s="918"/>
      <c r="AB474" s="919"/>
      <c r="AC474" s="888">
        <v>0</v>
      </c>
      <c r="AD474" s="918"/>
      <c r="AE474" s="919"/>
      <c r="AF474" s="888">
        <v>0</v>
      </c>
      <c r="AG474" s="918"/>
      <c r="AH474" s="919"/>
      <c r="AI474" s="888">
        <v>0</v>
      </c>
      <c r="AJ474" s="918"/>
      <c r="AK474" s="919"/>
      <c r="AL474" s="888">
        <v>0</v>
      </c>
      <c r="AM474" s="918"/>
      <c r="AN474" s="919"/>
      <c r="AO474" s="888">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3864</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3867</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20"/>
      <c r="D483" s="919"/>
      <c r="E483" s="888">
        <v>399858.9</v>
      </c>
      <c r="F483" s="920"/>
      <c r="G483" s="919"/>
      <c r="H483" s="888">
        <v>27306</v>
      </c>
      <c r="I483" s="920"/>
      <c r="J483" s="919"/>
      <c r="K483" s="888">
        <v>18119</v>
      </c>
      <c r="L483" s="920"/>
      <c r="M483" s="919"/>
      <c r="N483" s="888">
        <v>29520</v>
      </c>
      <c r="O483" s="920"/>
      <c r="P483" s="919"/>
      <c r="Q483" s="888">
        <v>20244</v>
      </c>
      <c r="R483" s="920"/>
      <c r="S483" s="919"/>
      <c r="T483" s="888">
        <v>32220</v>
      </c>
      <c r="U483" s="920"/>
      <c r="V483" s="919"/>
      <c r="W483" s="888">
        <v>34938</v>
      </c>
      <c r="X483" s="920"/>
      <c r="Y483" s="919"/>
      <c r="Z483" s="888">
        <v>33906</v>
      </c>
      <c r="AA483" s="920"/>
      <c r="AB483" s="919"/>
      <c r="AC483" s="888">
        <v>43757</v>
      </c>
      <c r="AD483" s="920"/>
      <c r="AE483" s="919"/>
      <c r="AF483" s="888">
        <v>40734</v>
      </c>
      <c r="AG483" s="920"/>
      <c r="AH483" s="919"/>
      <c r="AI483" s="888">
        <v>39298</v>
      </c>
      <c r="AJ483" s="920"/>
      <c r="AK483" s="919"/>
      <c r="AL483" s="888">
        <v>49621.9</v>
      </c>
      <c r="AM483" s="920"/>
      <c r="AN483" s="919"/>
      <c r="AO483" s="888">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5">
        <v>0.21700014368945417</v>
      </c>
      <c r="D484" s="921"/>
      <c r="E484" s="897">
        <v>1618378.0899999999</v>
      </c>
      <c r="F484" s="895">
        <v>0.21485931889395588</v>
      </c>
      <c r="G484" s="921"/>
      <c r="H484" s="897">
        <v>111257.78</v>
      </c>
      <c r="I484" s="895">
        <v>0.2001720992269837</v>
      </c>
      <c r="J484" s="921"/>
      <c r="K484" s="897">
        <v>83286.39</v>
      </c>
      <c r="L484" s="895">
        <v>0.16492682665617825</v>
      </c>
      <c r="M484" s="921"/>
      <c r="N484" s="897">
        <v>97080.37</v>
      </c>
      <c r="O484" s="895">
        <v>0.33326175603548408</v>
      </c>
      <c r="P484" s="921"/>
      <c r="Q484" s="897">
        <v>189746.3</v>
      </c>
      <c r="R484" s="895">
        <v>0.15693861385623842</v>
      </c>
      <c r="S484" s="921"/>
      <c r="T484" s="897">
        <v>112281.51</v>
      </c>
      <c r="U484" s="895">
        <v>0.21396045259769061</v>
      </c>
      <c r="V484" s="921"/>
      <c r="W484" s="897">
        <v>144620.04</v>
      </c>
      <c r="X484" s="895">
        <v>0.2213978017025296</v>
      </c>
      <c r="Y484" s="921"/>
      <c r="Z484" s="897">
        <v>135580.25</v>
      </c>
      <c r="AA484" s="895">
        <v>0.19147990353101041</v>
      </c>
      <c r="AB484" s="921"/>
      <c r="AC484" s="897">
        <v>124588.09</v>
      </c>
      <c r="AD484" s="895">
        <v>0.2346903198044582</v>
      </c>
      <c r="AE484" s="921"/>
      <c r="AF484" s="897">
        <v>147454.21</v>
      </c>
      <c r="AG484" s="895">
        <v>0.1829061387147442</v>
      </c>
      <c r="AH484" s="921"/>
      <c r="AI484" s="897">
        <v>135351.32</v>
      </c>
      <c r="AJ484" s="895">
        <v>0.18327393454394894</v>
      </c>
      <c r="AK484" s="921"/>
      <c r="AL484" s="897">
        <v>150830.22</v>
      </c>
      <c r="AM484" s="895">
        <v>0.35799971702317418</v>
      </c>
      <c r="AN484" s="921"/>
      <c r="AO484" s="897">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2"/>
      <c r="D485" s="923"/>
      <c r="E485" s="924">
        <v>211320.06999999986</v>
      </c>
      <c r="F485" s="922"/>
      <c r="G485" s="923"/>
      <c r="H485" s="924">
        <v>20002.799999999988</v>
      </c>
      <c r="I485" s="922"/>
      <c r="J485" s="923"/>
      <c r="K485" s="924">
        <v>14605.999999999989</v>
      </c>
      <c r="L485" s="922"/>
      <c r="M485" s="923"/>
      <c r="N485" s="924">
        <v>18381.769999999979</v>
      </c>
      <c r="O485" s="922"/>
      <c r="P485" s="923"/>
      <c r="Q485" s="924">
        <v>16443.709999999981</v>
      </c>
      <c r="R485" s="922"/>
      <c r="S485" s="923"/>
      <c r="T485" s="924">
        <v>23923.939999999991</v>
      </c>
      <c r="U485" s="922"/>
      <c r="V485" s="923"/>
      <c r="W485" s="924">
        <v>11589.88999999999</v>
      </c>
      <c r="X485" s="922"/>
      <c r="Y485" s="923"/>
      <c r="Z485" s="924">
        <v>17120.339999999989</v>
      </c>
      <c r="AA485" s="922"/>
      <c r="AB485" s="923"/>
      <c r="AC485" s="924">
        <v>21619.28999999999</v>
      </c>
      <c r="AD485" s="922"/>
      <c r="AE485" s="923"/>
      <c r="AF485" s="924">
        <v>14063.88999999999</v>
      </c>
      <c r="AG485" s="922"/>
      <c r="AH485" s="923"/>
      <c r="AI485" s="924">
        <v>19451.429999999989</v>
      </c>
      <c r="AJ485" s="922"/>
      <c r="AK485" s="923"/>
      <c r="AL485" s="924">
        <v>16397.03999999999</v>
      </c>
      <c r="AM485" s="922"/>
      <c r="AN485" s="923"/>
      <c r="AO485" s="924">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5" t="s">
        <v>219</v>
      </c>
      <c r="D486" s="926">
        <v>2.5729601404658988E-2</v>
      </c>
      <c r="E486" s="927">
        <v>1880607.0299999947</v>
      </c>
      <c r="F486" s="928" t="s">
        <v>219</v>
      </c>
      <c r="G486" s="929">
        <v>2.1156016983481556E-2</v>
      </c>
      <c r="H486" s="930">
        <v>84606.719999999536</v>
      </c>
      <c r="I486" s="928" t="s">
        <v>219</v>
      </c>
      <c r="J486" s="929">
        <v>-6.6386658238457826E-3</v>
      </c>
      <c r="K486" s="930">
        <v>-22831.360000000117</v>
      </c>
      <c r="L486" s="928" t="s">
        <v>219</v>
      </c>
      <c r="M486" s="929">
        <v>2.1404234382881339E-2</v>
      </c>
      <c r="N486" s="930">
        <v>99658.869999999413</v>
      </c>
      <c r="O486" s="928" t="s">
        <v>219</v>
      </c>
      <c r="P486" s="929">
        <v>5.807810945553319E-2</v>
      </c>
      <c r="Q486" s="930">
        <v>184613.66999999987</v>
      </c>
      <c r="R486" s="928" t="s">
        <v>219</v>
      </c>
      <c r="S486" s="929">
        <v>3.164197490106916E-2</v>
      </c>
      <c r="T486" s="930">
        <v>164356.57999999868</v>
      </c>
      <c r="U486" s="928" t="s">
        <v>219</v>
      </c>
      <c r="V486" s="929">
        <v>3.7297857634574071E-2</v>
      </c>
      <c r="W486" s="930">
        <v>205921.07999999935</v>
      </c>
      <c r="X486" s="928" t="s">
        <v>219</v>
      </c>
      <c r="Y486" s="929">
        <v>3.3448077057872894E-2</v>
      </c>
      <c r="Z486" s="930">
        <v>155597.10999999929</v>
      </c>
      <c r="AA486" s="928" t="s">
        <v>219</v>
      </c>
      <c r="AB486" s="929">
        <v>3.7447641448976658E-2</v>
      </c>
      <c r="AC486" s="930">
        <v>199080.7399999999</v>
      </c>
      <c r="AD486" s="928" t="s">
        <v>219</v>
      </c>
      <c r="AE486" s="929">
        <v>3.9905801248578739E-2</v>
      </c>
      <c r="AF486" s="930">
        <v>182483.25999999981</v>
      </c>
      <c r="AG486" s="928" t="s">
        <v>219</v>
      </c>
      <c r="AH486" s="929">
        <v>2.3031411601125099E-2</v>
      </c>
      <c r="AI486" s="930">
        <v>244419.99999999889</v>
      </c>
      <c r="AJ486" s="928" t="s">
        <v>219</v>
      </c>
      <c r="AK486" s="929">
        <v>2.3953705022798043E-2</v>
      </c>
      <c r="AL486" s="930">
        <v>295470.45000000007</v>
      </c>
      <c r="AM486" s="928" t="s">
        <v>219</v>
      </c>
      <c r="AN486" s="929">
        <v>9.0728956966248629E-3</v>
      </c>
      <c r="AO486" s="930">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3873</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2" t="s">
        <v>219</v>
      </c>
      <c r="D492" s="933">
        <v>2.5729601404658988E-2</v>
      </c>
      <c r="E492" s="934">
        <v>1880607.0299999947</v>
      </c>
      <c r="F492" s="935" t="s">
        <v>219</v>
      </c>
      <c r="G492" s="933">
        <v>2.1156016983481556E-2</v>
      </c>
      <c r="H492" s="936">
        <v>84606.719999999536</v>
      </c>
      <c r="I492" s="935" t="s">
        <v>219</v>
      </c>
      <c r="J492" s="933">
        <v>-6.6386658238457826E-3</v>
      </c>
      <c r="K492" s="936">
        <v>-22831.360000000117</v>
      </c>
      <c r="L492" s="935" t="s">
        <v>219</v>
      </c>
      <c r="M492" s="933">
        <v>2.1404234382881339E-2</v>
      </c>
      <c r="N492" s="936">
        <v>99658.869999999413</v>
      </c>
      <c r="O492" s="935" t="s">
        <v>219</v>
      </c>
      <c r="P492" s="933">
        <v>5.807810945553319E-2</v>
      </c>
      <c r="Q492" s="936">
        <v>184613.66999999987</v>
      </c>
      <c r="R492" s="935" t="s">
        <v>219</v>
      </c>
      <c r="S492" s="933">
        <v>3.164197490106916E-2</v>
      </c>
      <c r="T492" s="936">
        <v>164356.57999999868</v>
      </c>
      <c r="U492" s="935" t="s">
        <v>219</v>
      </c>
      <c r="V492" s="933">
        <v>3.7297857634574071E-2</v>
      </c>
      <c r="W492" s="936">
        <v>205921.07999999935</v>
      </c>
      <c r="X492" s="935" t="s">
        <v>219</v>
      </c>
      <c r="Y492" s="933">
        <v>3.3448077057872894E-2</v>
      </c>
      <c r="Z492" s="936">
        <v>155597.10999999929</v>
      </c>
      <c r="AA492" s="935" t="s">
        <v>219</v>
      </c>
      <c r="AB492" s="933">
        <v>3.7447641448976658E-2</v>
      </c>
      <c r="AC492" s="936">
        <v>199080.7399999999</v>
      </c>
      <c r="AD492" s="935" t="s">
        <v>219</v>
      </c>
      <c r="AE492" s="933">
        <v>3.9905801248578739E-2</v>
      </c>
      <c r="AF492" s="936">
        <v>182483.25999999981</v>
      </c>
      <c r="AG492" s="935" t="s">
        <v>219</v>
      </c>
      <c r="AH492" s="933">
        <v>2.3031411601125099E-2</v>
      </c>
      <c r="AI492" s="936">
        <v>244419.99999999889</v>
      </c>
      <c r="AJ492" s="935" t="s">
        <v>219</v>
      </c>
      <c r="AK492" s="933">
        <v>2.3953705022798043E-2</v>
      </c>
      <c r="AL492" s="936">
        <v>295470.45000000007</v>
      </c>
      <c r="AM492" s="935" t="s">
        <v>219</v>
      </c>
      <c r="AN492" s="933">
        <v>9.0728956966248629E-3</v>
      </c>
      <c r="AO492" s="936">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7"/>
      <c r="D494" s="890"/>
      <c r="E494" s="940">
        <v>51774</v>
      </c>
      <c r="F494" s="891"/>
      <c r="G494" s="890"/>
      <c r="H494" s="899">
        <v>4314.5</v>
      </c>
      <c r="I494" s="891"/>
      <c r="J494" s="890"/>
      <c r="K494" s="899">
        <v>4314.5</v>
      </c>
      <c r="L494" s="891"/>
      <c r="M494" s="890"/>
      <c r="N494" s="899">
        <v>4314.5</v>
      </c>
      <c r="O494" s="891"/>
      <c r="P494" s="890"/>
      <c r="Q494" s="899">
        <v>4314.5</v>
      </c>
      <c r="R494" s="891"/>
      <c r="S494" s="890"/>
      <c r="T494" s="899">
        <v>4314.5</v>
      </c>
      <c r="U494" s="891"/>
      <c r="V494" s="890"/>
      <c r="W494" s="899">
        <v>4314.5</v>
      </c>
      <c r="X494" s="891"/>
      <c r="Y494" s="890"/>
      <c r="Z494" s="899">
        <v>4314.5</v>
      </c>
      <c r="AA494" s="891"/>
      <c r="AB494" s="890"/>
      <c r="AC494" s="899">
        <v>4314.5</v>
      </c>
      <c r="AD494" s="891"/>
      <c r="AE494" s="890"/>
      <c r="AF494" s="899">
        <v>4314.5</v>
      </c>
      <c r="AG494" s="891"/>
      <c r="AH494" s="890"/>
      <c r="AI494" s="899">
        <v>4314.5</v>
      </c>
      <c r="AJ494" s="891"/>
      <c r="AK494" s="890"/>
      <c r="AL494" s="899">
        <v>4314.5</v>
      </c>
      <c r="AM494" s="891"/>
      <c r="AN494" s="890"/>
      <c r="AO494" s="899">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9"/>
      <c r="D496" s="759"/>
      <c r="E496" s="940">
        <v>-2098.77</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3869</v>
      </c>
      <c r="C499" s="812"/>
      <c r="D499" s="812"/>
      <c r="E499" s="940"/>
      <c r="F499" s="943"/>
      <c r="G499" s="812"/>
      <c r="H499" s="888"/>
      <c r="I499" s="943"/>
      <c r="J499" s="812"/>
      <c r="K499" s="888"/>
      <c r="L499" s="943"/>
      <c r="M499" s="812"/>
      <c r="N499" s="888"/>
      <c r="O499" s="943"/>
      <c r="P499" s="812"/>
      <c r="Q499" s="888"/>
      <c r="R499" s="943"/>
      <c r="S499" s="812"/>
      <c r="T499" s="888"/>
      <c r="U499" s="943"/>
      <c r="V499" s="812"/>
      <c r="W499" s="888"/>
      <c r="X499" s="943"/>
      <c r="Y499" s="812"/>
      <c r="Z499" s="888"/>
      <c r="AA499" s="943"/>
      <c r="AB499" s="812"/>
      <c r="AC499" s="888"/>
      <c r="AD499" s="943"/>
      <c r="AE499" s="812"/>
      <c r="AF499" s="888"/>
      <c r="AG499" s="943"/>
      <c r="AH499" s="812"/>
      <c r="AI499" s="888"/>
      <c r="AJ499" s="943"/>
      <c r="AK499" s="812"/>
      <c r="AL499" s="888"/>
      <c r="AM499" s="943"/>
      <c r="AN499" s="812"/>
      <c r="AO499" s="888"/>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4" t="s">
        <v>219</v>
      </c>
      <c r="D501" s="945">
        <v>2.5049967729363857E-2</v>
      </c>
      <c r="E501" s="946">
        <v>1830931.7999999947</v>
      </c>
      <c r="F501" s="947" t="s">
        <v>219</v>
      </c>
      <c r="G501" s="945">
        <v>2.0077170820018045E-2</v>
      </c>
      <c r="H501" s="948">
        <v>80292.219999999536</v>
      </c>
      <c r="I501" s="947" t="s">
        <v>219</v>
      </c>
      <c r="J501" s="945">
        <v>-7.8931913403714072E-3</v>
      </c>
      <c r="K501" s="948">
        <v>-27145.860000000117</v>
      </c>
      <c r="L501" s="947" t="s">
        <v>219</v>
      </c>
      <c r="M501" s="945">
        <v>2.047758762033083E-2</v>
      </c>
      <c r="N501" s="948">
        <v>95344.369999999413</v>
      </c>
      <c r="O501" s="947" t="s">
        <v>219</v>
      </c>
      <c r="P501" s="945">
        <v>5.6720799331933469E-2</v>
      </c>
      <c r="Q501" s="948">
        <v>180299.16999999987</v>
      </c>
      <c r="R501" s="947" t="s">
        <v>219</v>
      </c>
      <c r="S501" s="945">
        <v>3.0811346150393867E-2</v>
      </c>
      <c r="T501" s="948">
        <v>160042.07999999868</v>
      </c>
      <c r="U501" s="947" t="s">
        <v>219</v>
      </c>
      <c r="V501" s="945">
        <v>3.6516385398878873E-2</v>
      </c>
      <c r="W501" s="948">
        <v>201606.57999999935</v>
      </c>
      <c r="X501" s="947" t="s">
        <v>219</v>
      </c>
      <c r="Y501" s="945">
        <v>3.2520606563940235E-2</v>
      </c>
      <c r="Z501" s="948">
        <v>151282.60999999929</v>
      </c>
      <c r="AA501" s="947" t="s">
        <v>219</v>
      </c>
      <c r="AB501" s="945">
        <v>3.663607198710099E-2</v>
      </c>
      <c r="AC501" s="948">
        <v>194766.2399999999</v>
      </c>
      <c r="AD501" s="947" t="s">
        <v>219</v>
      </c>
      <c r="AE501" s="945">
        <v>3.8962297830857064E-2</v>
      </c>
      <c r="AF501" s="948">
        <v>178168.75999999981</v>
      </c>
      <c r="AG501" s="947" t="s">
        <v>219</v>
      </c>
      <c r="AH501" s="945">
        <v>2.262486129692309E-2</v>
      </c>
      <c r="AI501" s="948">
        <v>240105.49999999889</v>
      </c>
      <c r="AJ501" s="947" t="s">
        <v>219</v>
      </c>
      <c r="AK501" s="945">
        <v>2.3603929739615372E-2</v>
      </c>
      <c r="AL501" s="948">
        <v>291155.95000000007</v>
      </c>
      <c r="AM501" s="947" t="s">
        <v>219</v>
      </c>
      <c r="AN501" s="945">
        <v>8.8424347551670224E-3</v>
      </c>
      <c r="AO501" s="948">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K15" sqref="K15"/>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97" t="s">
        <v>228</v>
      </c>
      <c r="B4" s="119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98"/>
      <c r="B5" s="1198"/>
      <c r="C5" s="1199" t="s">
        <v>248</v>
      </c>
      <c r="D5" s="1200"/>
      <c r="E5" s="103">
        <f t="shared" ref="E5:S5" si="0">+SUM(E6:E20)</f>
        <v>96462.09</v>
      </c>
      <c r="F5" s="104">
        <f t="shared" si="0"/>
        <v>83000</v>
      </c>
      <c r="G5" s="104">
        <f t="shared" si="0"/>
        <v>13462.089999999991</v>
      </c>
      <c r="H5" s="105">
        <f t="shared" si="0"/>
        <v>4849.8699999999953</v>
      </c>
      <c r="I5" s="106">
        <f t="shared" si="0"/>
        <v>11606.23</v>
      </c>
      <c r="J5" s="106">
        <f t="shared" si="0"/>
        <v>10913</v>
      </c>
      <c r="K5" s="106">
        <f t="shared" si="0"/>
        <v>12548.99</v>
      </c>
      <c r="L5" s="106">
        <f t="shared" si="0"/>
        <v>16097</v>
      </c>
      <c r="M5" s="106">
        <f t="shared" si="0"/>
        <v>5447</v>
      </c>
      <c r="N5" s="106">
        <f t="shared" si="0"/>
        <v>25000</v>
      </c>
      <c r="O5" s="106">
        <f t="shared" si="0"/>
        <v>0</v>
      </c>
      <c r="P5" s="106">
        <f t="shared" si="0"/>
        <v>5000</v>
      </c>
      <c r="Q5" s="106">
        <f t="shared" si="0"/>
        <v>0</v>
      </c>
      <c r="R5" s="106">
        <f t="shared" si="0"/>
        <v>0</v>
      </c>
      <c r="S5" s="106">
        <f t="shared" si="0"/>
        <v>5000</v>
      </c>
      <c r="T5" s="107"/>
      <c r="U5" s="3"/>
      <c r="V5" s="3"/>
      <c r="W5" s="3"/>
      <c r="X5" s="1" t="s">
        <v>66</v>
      </c>
      <c r="Y5" s="3"/>
      <c r="Z5" s="3"/>
    </row>
    <row r="6" spans="1:26" ht="30" customHeight="1">
      <c r="A6" s="108" t="str">
        <f>+Parametres!$B$1</f>
        <v>Volks</v>
      </c>
      <c r="B6" s="109" t="s">
        <v>249</v>
      </c>
      <c r="C6" t="s">
        <v>3896</v>
      </c>
      <c r="D6" s="110"/>
      <c r="E6" s="111">
        <f t="shared" ref="E6:E20" si="1">+SUM(H6:S6)</f>
        <v>51000.09</v>
      </c>
      <c r="F6" s="111">
        <v>51000</v>
      </c>
      <c r="G6" s="111">
        <f t="shared" ref="G6:G20" si="2">+E6-F6</f>
        <v>8.999999999650754E-2</v>
      </c>
      <c r="H6" s="112"/>
      <c r="I6" s="111">
        <v>9903.09</v>
      </c>
      <c r="J6" s="111"/>
      <c r="K6" s="111"/>
      <c r="L6" s="111">
        <v>16097</v>
      </c>
      <c r="M6" s="111"/>
      <c r="N6" s="111">
        <v>25000</v>
      </c>
      <c r="O6" s="111"/>
      <c r="P6" s="111"/>
      <c r="Q6" s="111"/>
      <c r="R6" s="111"/>
      <c r="S6" s="111"/>
      <c r="T6" s="113"/>
      <c r="U6" s="3"/>
      <c r="V6" s="3"/>
      <c r="W6" s="3"/>
      <c r="X6" s="3" t="s">
        <v>68</v>
      </c>
      <c r="Y6" s="3"/>
      <c r="Z6" s="3"/>
    </row>
    <row r="7" spans="1:26" ht="30" customHeight="1">
      <c r="A7" s="113" t="str">
        <f>+Parametres!$B$1</f>
        <v>Volks</v>
      </c>
      <c r="B7" s="114" t="s">
        <v>250</v>
      </c>
      <c r="C7" t="s">
        <v>3897</v>
      </c>
      <c r="D7" s="110"/>
      <c r="E7" s="112">
        <f t="shared" si="1"/>
        <v>22000.009999999995</v>
      </c>
      <c r="F7" s="111">
        <v>22000</v>
      </c>
      <c r="G7" s="111">
        <f t="shared" si="2"/>
        <v>9.9999999947613105E-3</v>
      </c>
      <c r="H7" s="112">
        <v>4849.8699999999953</v>
      </c>
      <c r="I7" s="111">
        <v>1703.14</v>
      </c>
      <c r="J7" s="111"/>
      <c r="K7" s="111"/>
      <c r="L7" s="111"/>
      <c r="M7" s="111">
        <v>5447</v>
      </c>
      <c r="N7" s="111"/>
      <c r="O7" s="111"/>
      <c r="P7" s="111">
        <v>5000</v>
      </c>
      <c r="Q7" s="111"/>
      <c r="R7" s="111"/>
      <c r="S7" s="111">
        <v>5000</v>
      </c>
      <c r="T7" s="113"/>
      <c r="U7" s="3"/>
      <c r="V7" s="3"/>
      <c r="W7" s="3"/>
      <c r="X7" s="3" t="s">
        <v>70</v>
      </c>
      <c r="Y7" s="3"/>
      <c r="Z7" s="3"/>
    </row>
    <row r="8" spans="1:26" ht="30" customHeight="1">
      <c r="A8" s="113" t="str">
        <f>+Parametres!$B$1</f>
        <v>Volks</v>
      </c>
      <c r="B8" s="114" t="s">
        <v>250</v>
      </c>
      <c r="C8" t="s">
        <v>3898</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3938</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3939</v>
      </c>
      <c r="D10" s="110"/>
      <c r="E10" s="112">
        <f t="shared" si="1"/>
        <v>3046.99</v>
      </c>
      <c r="F10" s="111"/>
      <c r="G10" s="111">
        <f t="shared" si="2"/>
        <v>3046.99</v>
      </c>
      <c r="H10" s="112"/>
      <c r="I10" s="111"/>
      <c r="J10" s="111">
        <v>498</v>
      </c>
      <c r="K10" s="111">
        <v>2548.9899999999998</v>
      </c>
      <c r="L10" s="111"/>
      <c r="M10" s="111"/>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9" t="s">
        <v>252</v>
      </c>
      <c r="B1" s="1075" t="s">
        <v>9</v>
      </c>
      <c r="C1" s="1075" t="s">
        <v>253</v>
      </c>
      <c r="D1" s="1075" t="s">
        <v>254</v>
      </c>
      <c r="E1" s="1071" t="s">
        <v>850</v>
      </c>
      <c r="F1" s="1071" t="s">
        <v>907</v>
      </c>
      <c r="G1" s="1069" t="s">
        <v>257</v>
      </c>
      <c r="H1" s="1073" t="s">
        <v>258</v>
      </c>
      <c r="I1" s="138"/>
      <c r="J1" s="138"/>
      <c r="K1" s="138"/>
      <c r="L1" s="138"/>
      <c r="M1" s="990">
        <v>45169</v>
      </c>
      <c r="N1" s="140" t="s">
        <v>255</v>
      </c>
      <c r="O1" s="140" t="s">
        <v>256</v>
      </c>
      <c r="P1" s="138"/>
      <c r="Q1" s="138"/>
      <c r="R1" s="138"/>
      <c r="S1" s="138"/>
      <c r="T1" s="138"/>
      <c r="U1" s="138"/>
      <c r="V1" s="138"/>
      <c r="W1" s="138"/>
      <c r="X1" s="138"/>
      <c r="Y1" s="138"/>
      <c r="Z1" s="138"/>
      <c r="AA1" s="138"/>
      <c r="AB1" s="138"/>
    </row>
    <row r="2" spans="1:28" ht="14.25" customHeight="1">
      <c r="A2" s="1070" t="s">
        <v>281</v>
      </c>
      <c r="B2" s="1070" t="s">
        <v>278</v>
      </c>
      <c r="C2" s="1070" t="s">
        <v>267</v>
      </c>
      <c r="D2" s="1070" t="s">
        <v>282</v>
      </c>
      <c r="E2" s="1072">
        <v>32007.51</v>
      </c>
      <c r="F2" s="1072">
        <v>-22494.36</v>
      </c>
      <c r="G2" s="1070" t="s">
        <v>283</v>
      </c>
      <c r="H2" s="1067">
        <v>423</v>
      </c>
      <c r="I2" s="1029"/>
      <c r="J2" s="1028"/>
      <c r="K2" s="102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70" t="s">
        <v>3344</v>
      </c>
      <c r="B3" s="1070" t="s">
        <v>278</v>
      </c>
      <c r="C3" s="1070" t="s">
        <v>267</v>
      </c>
      <c r="D3" s="1070" t="s">
        <v>282</v>
      </c>
      <c r="E3" s="1072">
        <v>24454.46</v>
      </c>
      <c r="F3" s="1068"/>
      <c r="G3" s="1070" t="s">
        <v>3345</v>
      </c>
      <c r="H3" s="1067">
        <v>306</v>
      </c>
      <c r="I3" s="1028"/>
      <c r="J3" s="1028"/>
      <c r="K3" s="102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70" t="s">
        <v>3423</v>
      </c>
      <c r="B4" s="1070" t="s">
        <v>268</v>
      </c>
      <c r="C4" s="1070" t="s">
        <v>267</v>
      </c>
      <c r="D4" s="1070" t="s">
        <v>269</v>
      </c>
      <c r="E4" s="1072">
        <v>37735.15</v>
      </c>
      <c r="F4" s="1068"/>
      <c r="G4" s="1070" t="s">
        <v>3424</v>
      </c>
      <c r="H4" s="1067">
        <v>188</v>
      </c>
      <c r="I4" s="1028"/>
      <c r="J4" s="1028"/>
      <c r="K4" s="1028"/>
      <c r="L4" s="138"/>
      <c r="M4" s="138"/>
      <c r="N4" s="138"/>
      <c r="O4" s="138"/>
      <c r="P4" s="138"/>
      <c r="Q4" s="138"/>
      <c r="R4" s="138"/>
      <c r="S4" s="138"/>
      <c r="T4" s="138"/>
      <c r="U4" s="138"/>
      <c r="V4" s="138"/>
      <c r="W4" s="138"/>
      <c r="X4" s="138"/>
      <c r="Y4" s="138"/>
      <c r="Z4" s="138"/>
      <c r="AA4" s="138"/>
      <c r="AB4" s="138"/>
    </row>
    <row r="5" spans="1:28" ht="14.25" customHeight="1">
      <c r="A5" s="1070" t="s">
        <v>3425</v>
      </c>
      <c r="B5" s="1070" t="s">
        <v>266</v>
      </c>
      <c r="C5" s="1070" t="s">
        <v>267</v>
      </c>
      <c r="D5" s="1070" t="s">
        <v>3412</v>
      </c>
      <c r="E5" s="1072">
        <v>29929.55</v>
      </c>
      <c r="F5" s="1068"/>
      <c r="G5" s="1070" t="s">
        <v>3426</v>
      </c>
      <c r="H5" s="1067">
        <v>187</v>
      </c>
      <c r="I5" s="1028"/>
      <c r="J5" s="1028"/>
      <c r="K5" s="102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70" t="s">
        <v>3445</v>
      </c>
      <c r="B6" s="1070" t="s">
        <v>266</v>
      </c>
      <c r="C6" s="1070" t="s">
        <v>267</v>
      </c>
      <c r="D6" s="1070" t="s">
        <v>262</v>
      </c>
      <c r="E6" s="1072">
        <v>31306.12</v>
      </c>
      <c r="F6" s="1068"/>
      <c r="G6" s="1070" t="s">
        <v>3446</v>
      </c>
      <c r="H6" s="1067">
        <v>131</v>
      </c>
      <c r="I6" s="1028"/>
      <c r="J6" s="1028"/>
      <c r="K6" s="1028"/>
      <c r="L6" s="138"/>
      <c r="M6" s="138"/>
      <c r="N6" s="138"/>
      <c r="O6" s="138"/>
      <c r="P6" s="138"/>
      <c r="Q6" s="138"/>
      <c r="R6" s="138"/>
      <c r="S6" s="138"/>
      <c r="T6" s="138"/>
      <c r="U6" s="138"/>
      <c r="V6" s="138"/>
      <c r="W6" s="138"/>
      <c r="X6" s="138"/>
      <c r="Y6" s="138"/>
      <c r="Z6" s="138"/>
      <c r="AA6" s="138"/>
      <c r="AB6" s="138"/>
    </row>
    <row r="7" spans="1:28" ht="14.25" customHeight="1">
      <c r="A7" s="1070" t="s">
        <v>3552</v>
      </c>
      <c r="B7" s="1070" t="s">
        <v>3553</v>
      </c>
      <c r="C7" s="1070" t="s">
        <v>3547</v>
      </c>
      <c r="D7" s="1070" t="s">
        <v>3548</v>
      </c>
      <c r="E7" s="1072">
        <v>17680.419999999998</v>
      </c>
      <c r="F7" s="1068"/>
      <c r="G7" s="1070" t="s">
        <v>3554</v>
      </c>
      <c r="H7" s="1067">
        <v>121</v>
      </c>
      <c r="I7" s="1028"/>
      <c r="J7" s="1028"/>
      <c r="K7" s="102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70" t="s">
        <v>3467</v>
      </c>
      <c r="B8" s="1070" t="s">
        <v>268</v>
      </c>
      <c r="C8" s="1070" t="s">
        <v>267</v>
      </c>
      <c r="D8" s="1070" t="s">
        <v>260</v>
      </c>
      <c r="E8" s="1072">
        <v>28635.15</v>
      </c>
      <c r="F8" s="1072">
        <v>-31332.799999999999</v>
      </c>
      <c r="G8" s="1070" t="s">
        <v>3468</v>
      </c>
      <c r="H8" s="1067">
        <v>104</v>
      </c>
      <c r="I8" s="1028"/>
      <c r="J8" s="1028"/>
      <c r="K8" s="102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70" t="s">
        <v>3463</v>
      </c>
      <c r="B9" s="1070" t="s">
        <v>259</v>
      </c>
      <c r="C9" s="1070" t="s">
        <v>267</v>
      </c>
      <c r="D9" s="1070" t="s">
        <v>260</v>
      </c>
      <c r="E9" s="1072">
        <v>38815.25</v>
      </c>
      <c r="F9" s="1068"/>
      <c r="G9" s="1070" t="s">
        <v>3464</v>
      </c>
      <c r="H9" s="1067">
        <v>94</v>
      </c>
      <c r="I9" s="1028"/>
      <c r="J9" s="1028"/>
      <c r="K9" s="1028"/>
      <c r="L9" s="138"/>
      <c r="M9" s="138"/>
      <c r="N9" s="138"/>
      <c r="O9" s="138"/>
      <c r="P9" s="138"/>
      <c r="Q9" s="138"/>
      <c r="R9" s="138"/>
      <c r="S9" s="138"/>
      <c r="T9" s="138"/>
      <c r="U9" s="138"/>
      <c r="V9" s="138"/>
      <c r="W9" s="138"/>
      <c r="X9" s="138"/>
      <c r="Y9" s="138"/>
      <c r="Z9" s="138"/>
      <c r="AA9" s="138"/>
      <c r="AB9" s="138"/>
    </row>
    <row r="10" spans="1:28" ht="14.25" customHeight="1">
      <c r="A10" s="1070" t="s">
        <v>3465</v>
      </c>
      <c r="B10" s="1070" t="s">
        <v>278</v>
      </c>
      <c r="C10" s="1070" t="s">
        <v>267</v>
      </c>
      <c r="D10" s="1070" t="s">
        <v>260</v>
      </c>
      <c r="E10" s="1072">
        <v>31315.25</v>
      </c>
      <c r="F10" s="1072">
        <v>-24944.54</v>
      </c>
      <c r="G10" s="1070" t="s">
        <v>3466</v>
      </c>
      <c r="H10" s="1067">
        <v>94</v>
      </c>
      <c r="I10" s="1028"/>
      <c r="J10" s="1028"/>
      <c r="K10" s="1028"/>
      <c r="L10" s="138"/>
      <c r="M10" s="138"/>
      <c r="N10" s="138"/>
      <c r="O10" s="138"/>
      <c r="P10" s="138"/>
      <c r="Q10" s="138"/>
      <c r="R10" s="138"/>
      <c r="S10" s="138"/>
      <c r="T10" s="138"/>
      <c r="U10" s="138"/>
      <c r="V10" s="138"/>
      <c r="W10" s="138"/>
      <c r="X10" s="138"/>
      <c r="Y10" s="138"/>
      <c r="Z10" s="138"/>
      <c r="AA10" s="138"/>
      <c r="AB10" s="138"/>
    </row>
    <row r="11" spans="1:28" ht="14.25" customHeight="1">
      <c r="A11" s="1070" t="s">
        <v>3470</v>
      </c>
      <c r="B11" s="1070" t="s">
        <v>275</v>
      </c>
      <c r="C11" s="1070" t="s">
        <v>267</v>
      </c>
      <c r="D11" s="1070" t="s">
        <v>277</v>
      </c>
      <c r="E11" s="1072">
        <v>21280.25</v>
      </c>
      <c r="F11" s="1072">
        <v>-10962</v>
      </c>
      <c r="G11" s="1070" t="s">
        <v>3471</v>
      </c>
      <c r="H11" s="1067">
        <v>94</v>
      </c>
      <c r="I11" s="1028"/>
      <c r="J11" s="1028"/>
      <c r="K11" s="1028"/>
      <c r="L11" s="138"/>
      <c r="M11" s="138"/>
      <c r="N11" s="138"/>
      <c r="O11" s="138"/>
      <c r="P11" s="138"/>
      <c r="Q11" s="138"/>
      <c r="R11" s="138"/>
      <c r="S11" s="138"/>
      <c r="T11" s="138"/>
      <c r="U11" s="138"/>
      <c r="V11" s="138"/>
      <c r="W11" s="138"/>
      <c r="X11" s="138"/>
      <c r="Y11" s="138"/>
      <c r="Z11" s="138"/>
      <c r="AA11" s="138"/>
      <c r="AB11" s="138"/>
    </row>
    <row r="12" spans="1:28" ht="14.25" customHeight="1">
      <c r="A12" s="1070" t="s">
        <v>3472</v>
      </c>
      <c r="B12" s="1070" t="s">
        <v>266</v>
      </c>
      <c r="C12" s="1070" t="s">
        <v>3473</v>
      </c>
      <c r="D12" s="1070" t="s">
        <v>3474</v>
      </c>
      <c r="E12" s="1072">
        <v>17550</v>
      </c>
      <c r="F12" s="1068"/>
      <c r="G12" s="1070" t="s">
        <v>3475</v>
      </c>
      <c r="H12" s="1067">
        <v>93</v>
      </c>
      <c r="I12" s="1028"/>
      <c r="J12" s="1028"/>
      <c r="K12" s="1028"/>
      <c r="L12" s="138"/>
      <c r="M12" s="138"/>
      <c r="N12" s="138"/>
      <c r="O12" s="138"/>
      <c r="P12" s="138"/>
      <c r="Q12" s="138"/>
      <c r="R12" s="138"/>
      <c r="S12" s="138"/>
      <c r="T12" s="138"/>
      <c r="U12" s="138"/>
      <c r="V12" s="138"/>
      <c r="W12" s="138"/>
      <c r="X12" s="138"/>
      <c r="Y12" s="138"/>
      <c r="Z12" s="138"/>
      <c r="AA12" s="138"/>
      <c r="AB12" s="138"/>
    </row>
    <row r="13" spans="1:28" ht="14.25" customHeight="1">
      <c r="A13" s="1070" t="s">
        <v>3538</v>
      </c>
      <c r="B13" s="1070" t="s">
        <v>275</v>
      </c>
      <c r="C13" s="1070" t="s">
        <v>267</v>
      </c>
      <c r="D13" s="1070" t="s">
        <v>279</v>
      </c>
      <c r="E13" s="1072">
        <v>27280.25</v>
      </c>
      <c r="F13" s="1072">
        <v>-17480.23</v>
      </c>
      <c r="G13" s="1070" t="s">
        <v>3539</v>
      </c>
      <c r="H13" s="1067">
        <v>90</v>
      </c>
      <c r="I13" s="1028"/>
      <c r="J13" s="1028"/>
      <c r="K13" s="1028"/>
      <c r="L13" s="138"/>
      <c r="M13" s="138"/>
      <c r="N13" s="138"/>
      <c r="O13" s="138"/>
      <c r="P13" s="138"/>
      <c r="Q13" s="138"/>
      <c r="R13" s="138"/>
      <c r="S13" s="138"/>
      <c r="T13" s="138"/>
      <c r="U13" s="138"/>
      <c r="V13" s="138"/>
      <c r="W13" s="138"/>
      <c r="X13" s="138"/>
      <c r="Y13" s="138"/>
      <c r="Z13" s="138"/>
      <c r="AA13" s="138"/>
      <c r="AB13" s="138"/>
    </row>
    <row r="14" spans="1:28" ht="14.25" customHeight="1">
      <c r="A14" s="1070" t="s">
        <v>3515</v>
      </c>
      <c r="B14" s="1070" t="s">
        <v>259</v>
      </c>
      <c r="C14" s="1070" t="s">
        <v>267</v>
      </c>
      <c r="D14" s="1070" t="s">
        <v>269</v>
      </c>
      <c r="E14" s="1072">
        <v>44105.05</v>
      </c>
      <c r="F14" s="1072">
        <v>-38250</v>
      </c>
      <c r="G14" s="1070" t="s">
        <v>3516</v>
      </c>
      <c r="H14" s="1074">
        <v>88</v>
      </c>
      <c r="I14" s="1028"/>
      <c r="J14" s="1028"/>
      <c r="K14" s="1028"/>
      <c r="L14" s="138"/>
      <c r="M14" s="138"/>
      <c r="N14" s="138"/>
      <c r="O14" s="138"/>
      <c r="P14" s="138"/>
      <c r="Q14" s="138"/>
      <c r="R14" s="138"/>
      <c r="S14" s="138"/>
      <c r="T14" s="138"/>
      <c r="U14" s="138"/>
      <c r="V14" s="138"/>
      <c r="W14" s="138"/>
      <c r="X14" s="138"/>
      <c r="Y14" s="138"/>
      <c r="Z14" s="138"/>
      <c r="AA14" s="138"/>
      <c r="AB14" s="138"/>
    </row>
    <row r="15" spans="1:28" ht="14.25" customHeight="1">
      <c r="A15" s="1070" t="s">
        <v>3529</v>
      </c>
      <c r="B15" s="1070" t="s">
        <v>278</v>
      </c>
      <c r="C15" s="1070" t="s">
        <v>267</v>
      </c>
      <c r="D15" s="1070" t="s">
        <v>269</v>
      </c>
      <c r="E15" s="1072">
        <v>36415.129999999997</v>
      </c>
      <c r="F15" s="1072">
        <v>-26892</v>
      </c>
      <c r="G15" s="1070" t="s">
        <v>3530</v>
      </c>
      <c r="H15" s="1074">
        <v>82</v>
      </c>
      <c r="I15" s="1028"/>
      <c r="J15" s="1028"/>
      <c r="K15" s="1028"/>
      <c r="L15" s="138"/>
      <c r="M15" s="138"/>
      <c r="N15" s="138"/>
      <c r="O15" s="138"/>
      <c r="P15" s="138"/>
      <c r="Q15" s="138"/>
      <c r="R15" s="138"/>
      <c r="S15" s="138"/>
      <c r="T15" s="138"/>
      <c r="U15" s="138"/>
      <c r="V15" s="138"/>
      <c r="W15" s="138"/>
      <c r="X15" s="138"/>
      <c r="Y15" s="138"/>
      <c r="Z15" s="138"/>
      <c r="AA15" s="138"/>
      <c r="AB15" s="138"/>
    </row>
    <row r="16" spans="1:28" ht="14.25" customHeight="1">
      <c r="A16" s="1070" t="s">
        <v>3523</v>
      </c>
      <c r="B16" s="1070" t="s">
        <v>278</v>
      </c>
      <c r="C16" s="1070" t="s">
        <v>267</v>
      </c>
      <c r="D16" s="1070" t="s">
        <v>260</v>
      </c>
      <c r="E16" s="1072">
        <v>27935.05</v>
      </c>
      <c r="F16" s="1068"/>
      <c r="G16" s="1070" t="s">
        <v>3524</v>
      </c>
      <c r="H16" s="1074">
        <v>76</v>
      </c>
      <c r="I16" s="1028"/>
      <c r="J16" s="1028"/>
      <c r="K16" s="1028"/>
      <c r="L16" s="138"/>
      <c r="M16" s="138"/>
      <c r="N16" s="138"/>
      <c r="O16" s="138"/>
      <c r="P16" s="138"/>
      <c r="Q16" s="138"/>
      <c r="R16" s="138"/>
      <c r="S16" s="138"/>
      <c r="T16" s="138"/>
      <c r="U16" s="138"/>
      <c r="V16" s="138"/>
      <c r="W16" s="138"/>
      <c r="X16" s="138"/>
      <c r="Y16" s="138"/>
      <c r="Z16" s="138"/>
      <c r="AA16" s="138"/>
      <c r="AB16" s="138"/>
    </row>
    <row r="17" spans="1:28" ht="14.25" customHeight="1">
      <c r="A17" s="1070" t="s">
        <v>3549</v>
      </c>
      <c r="B17" s="1070" t="s">
        <v>280</v>
      </c>
      <c r="C17" s="1070" t="s">
        <v>3355</v>
      </c>
      <c r="D17" s="1070" t="s">
        <v>3550</v>
      </c>
      <c r="E17" s="1072">
        <v>20050</v>
      </c>
      <c r="F17" s="1068"/>
      <c r="G17" s="1070" t="s">
        <v>3551</v>
      </c>
      <c r="H17" s="1074">
        <v>74</v>
      </c>
      <c r="I17" s="1028"/>
      <c r="J17" s="1028"/>
      <c r="K17" s="1028"/>
      <c r="L17" s="138"/>
      <c r="M17" s="138"/>
      <c r="N17" s="138"/>
      <c r="O17" s="138"/>
      <c r="P17" s="138"/>
      <c r="Q17" s="138"/>
      <c r="R17" s="138"/>
      <c r="S17" s="138"/>
      <c r="T17" s="138"/>
      <c r="U17" s="138"/>
      <c r="V17" s="138"/>
      <c r="W17" s="138"/>
      <c r="X17" s="138"/>
      <c r="Y17" s="138"/>
      <c r="Z17" s="138"/>
      <c r="AA17" s="138"/>
      <c r="AB17" s="138"/>
    </row>
    <row r="18" spans="1:28" ht="14.25" customHeight="1">
      <c r="A18" s="1070" t="s">
        <v>3542</v>
      </c>
      <c r="B18" s="1070" t="s">
        <v>266</v>
      </c>
      <c r="C18" s="1070" t="s">
        <v>267</v>
      </c>
      <c r="D18" s="1070" t="s">
        <v>260</v>
      </c>
      <c r="E18" s="1072">
        <v>20497.05</v>
      </c>
      <c r="F18" s="1068"/>
      <c r="G18" s="1070" t="s">
        <v>3543</v>
      </c>
      <c r="H18" s="1074">
        <v>72</v>
      </c>
      <c r="I18" s="1028"/>
      <c r="J18" s="1028"/>
      <c r="K18" s="1028"/>
      <c r="L18" s="138"/>
      <c r="M18" s="138"/>
      <c r="N18" s="138"/>
      <c r="O18" s="138"/>
      <c r="P18" s="138"/>
      <c r="Q18" s="138"/>
      <c r="R18" s="138"/>
      <c r="S18" s="138"/>
      <c r="T18" s="138"/>
      <c r="U18" s="138"/>
      <c r="V18" s="138"/>
      <c r="W18" s="138"/>
      <c r="X18" s="138"/>
      <c r="Y18" s="138"/>
      <c r="Z18" s="138"/>
      <c r="AA18" s="138"/>
      <c r="AB18" s="138"/>
    </row>
    <row r="19" spans="1:28" ht="14.25" customHeight="1">
      <c r="A19" s="1070" t="s">
        <v>3525</v>
      </c>
      <c r="B19" s="1070" t="s">
        <v>278</v>
      </c>
      <c r="C19" s="1070" t="s">
        <v>267</v>
      </c>
      <c r="D19" s="1070" t="s">
        <v>260</v>
      </c>
      <c r="E19" s="1072">
        <v>28075.78</v>
      </c>
      <c r="F19" s="1072">
        <v>-23850</v>
      </c>
      <c r="G19" s="1070" t="s">
        <v>3526</v>
      </c>
      <c r="H19" s="1074">
        <v>69</v>
      </c>
      <c r="I19" s="1028"/>
      <c r="J19" s="1028"/>
      <c r="K19" s="1028"/>
      <c r="L19" s="138"/>
      <c r="M19" s="138"/>
      <c r="N19" s="138"/>
      <c r="O19" s="138"/>
      <c r="P19" s="138"/>
      <c r="Q19" s="138"/>
      <c r="R19" s="138"/>
      <c r="S19" s="138"/>
      <c r="T19" s="138"/>
      <c r="U19" s="138"/>
      <c r="V19" s="138"/>
      <c r="W19" s="138"/>
      <c r="X19" s="138"/>
      <c r="Y19" s="138"/>
      <c r="Z19" s="138"/>
      <c r="AA19" s="138"/>
      <c r="AB19" s="138"/>
    </row>
    <row r="20" spans="1:28" ht="14.25" customHeight="1">
      <c r="A20" s="1070" t="s">
        <v>3536</v>
      </c>
      <c r="B20" s="1070" t="s">
        <v>275</v>
      </c>
      <c r="C20" s="1070" t="s">
        <v>267</v>
      </c>
      <c r="D20" s="1070" t="s">
        <v>260</v>
      </c>
      <c r="E20" s="1072">
        <v>26815.25</v>
      </c>
      <c r="F20" s="1068"/>
      <c r="G20" s="1070" t="s">
        <v>3537</v>
      </c>
      <c r="H20" s="1074">
        <v>69</v>
      </c>
      <c r="I20" s="1028"/>
      <c r="J20" s="1028"/>
      <c r="K20" s="1028"/>
      <c r="L20" s="138"/>
      <c r="M20" s="138"/>
      <c r="N20" s="138"/>
      <c r="O20" s="138"/>
      <c r="P20" s="138"/>
      <c r="Q20" s="138"/>
      <c r="R20" s="138"/>
      <c r="S20" s="138"/>
      <c r="T20" s="138"/>
      <c r="U20" s="138"/>
      <c r="V20" s="138"/>
      <c r="W20" s="138"/>
      <c r="X20" s="138"/>
      <c r="Y20" s="138"/>
      <c r="Z20" s="138"/>
      <c r="AA20" s="138"/>
      <c r="AB20" s="138"/>
    </row>
    <row r="21" spans="1:28" ht="14.25" customHeight="1">
      <c r="A21" s="1070" t="s">
        <v>3586</v>
      </c>
      <c r="B21" s="1070" t="s">
        <v>268</v>
      </c>
      <c r="C21" s="1070" t="s">
        <v>267</v>
      </c>
      <c r="D21" s="1070" t="s">
        <v>260</v>
      </c>
      <c r="E21" s="1072">
        <v>28447.25</v>
      </c>
      <c r="F21" s="1072">
        <v>-24418.799999999999</v>
      </c>
      <c r="G21" s="1070" t="s">
        <v>3587</v>
      </c>
      <c r="H21" s="1074">
        <v>68</v>
      </c>
      <c r="I21" s="1028"/>
      <c r="J21" s="1028"/>
      <c r="K21" s="1028"/>
      <c r="L21" s="138"/>
      <c r="M21" s="138"/>
      <c r="N21" s="138"/>
      <c r="O21" s="138"/>
      <c r="P21" s="138"/>
      <c r="Q21" s="138"/>
      <c r="R21" s="138"/>
      <c r="S21" s="138"/>
      <c r="T21" s="138"/>
      <c r="U21" s="138"/>
      <c r="V21" s="138"/>
      <c r="W21" s="138"/>
      <c r="X21" s="138"/>
      <c r="Y21" s="138"/>
      <c r="Z21" s="138"/>
      <c r="AA21" s="138"/>
      <c r="AB21" s="138"/>
    </row>
    <row r="22" spans="1:28" ht="14.25" customHeight="1">
      <c r="A22" s="1070" t="s">
        <v>3540</v>
      </c>
      <c r="B22" s="1070" t="s">
        <v>275</v>
      </c>
      <c r="C22" s="1070" t="s">
        <v>267</v>
      </c>
      <c r="D22" s="1070" t="s">
        <v>262</v>
      </c>
      <c r="E22" s="1072">
        <v>29352</v>
      </c>
      <c r="F22" s="1068"/>
      <c r="G22" s="1070" t="s">
        <v>3541</v>
      </c>
      <c r="H22" s="1074">
        <v>66</v>
      </c>
      <c r="I22" s="1028"/>
      <c r="J22" s="1028"/>
      <c r="K22" s="1028"/>
      <c r="L22" s="138"/>
      <c r="M22" s="138"/>
      <c r="N22" s="138"/>
      <c r="O22" s="138"/>
      <c r="P22" s="138"/>
      <c r="Q22" s="138"/>
      <c r="R22" s="138"/>
      <c r="S22" s="138"/>
      <c r="T22" s="138"/>
      <c r="U22" s="138"/>
      <c r="V22" s="138"/>
      <c r="W22" s="138"/>
      <c r="X22" s="138"/>
      <c r="Y22" s="138"/>
      <c r="Z22" s="138"/>
      <c r="AA22" s="138"/>
      <c r="AB22" s="138"/>
    </row>
    <row r="23" spans="1:28" ht="14.25" customHeight="1">
      <c r="A23" s="1070" t="s">
        <v>3545</v>
      </c>
      <c r="B23" s="1070" t="s">
        <v>266</v>
      </c>
      <c r="C23" s="1070" t="s">
        <v>267</v>
      </c>
      <c r="D23" s="1070" t="s">
        <v>273</v>
      </c>
      <c r="E23" s="1072">
        <v>18787.5</v>
      </c>
      <c r="F23" s="1068"/>
      <c r="G23" s="1070" t="s">
        <v>3546</v>
      </c>
      <c r="H23" s="1074">
        <v>66</v>
      </c>
      <c r="I23" s="1028"/>
      <c r="J23" s="1028"/>
      <c r="K23" s="1028"/>
      <c r="L23" s="138"/>
      <c r="M23" s="138"/>
      <c r="N23" s="138"/>
      <c r="O23" s="138"/>
      <c r="P23" s="138"/>
      <c r="Q23" s="138"/>
      <c r="R23" s="138"/>
      <c r="S23" s="138"/>
      <c r="T23" s="138"/>
      <c r="U23" s="138"/>
      <c r="V23" s="138"/>
      <c r="W23" s="138"/>
      <c r="X23" s="138"/>
      <c r="Y23" s="138"/>
      <c r="Z23" s="138"/>
      <c r="AA23" s="138"/>
      <c r="AB23" s="138"/>
    </row>
    <row r="24" spans="1:28" ht="14.25" customHeight="1">
      <c r="A24" s="1070" t="s">
        <v>3527</v>
      </c>
      <c r="B24" s="1070" t="s">
        <v>278</v>
      </c>
      <c r="C24" s="1070" t="s">
        <v>267</v>
      </c>
      <c r="D24" s="1070" t="s">
        <v>277</v>
      </c>
      <c r="E24" s="1072">
        <v>18043.82</v>
      </c>
      <c r="F24" s="1068"/>
      <c r="G24" s="1070" t="s">
        <v>3528</v>
      </c>
      <c r="H24" s="1074">
        <v>65</v>
      </c>
      <c r="I24" s="1028"/>
      <c r="J24" s="1028"/>
      <c r="K24" s="1028"/>
      <c r="L24" s="138"/>
      <c r="M24" s="138"/>
      <c r="N24" s="138"/>
      <c r="O24" s="138"/>
      <c r="P24" s="138"/>
      <c r="Q24" s="138"/>
      <c r="R24" s="138"/>
      <c r="S24" s="138"/>
      <c r="T24" s="138"/>
      <c r="U24" s="138"/>
      <c r="V24" s="138"/>
      <c r="W24" s="138"/>
      <c r="X24" s="138"/>
      <c r="Y24" s="138"/>
      <c r="Z24" s="138"/>
      <c r="AA24" s="138"/>
      <c r="AB24" s="138"/>
    </row>
    <row r="25" spans="1:28" ht="14.25" customHeight="1">
      <c r="A25" s="1070" t="s">
        <v>3519</v>
      </c>
      <c r="B25" s="1070" t="s">
        <v>268</v>
      </c>
      <c r="C25" s="1070" t="s">
        <v>267</v>
      </c>
      <c r="D25" s="1070" t="s">
        <v>262</v>
      </c>
      <c r="E25" s="1072">
        <v>40209.65</v>
      </c>
      <c r="F25" s="1068"/>
      <c r="G25" s="1070" t="s">
        <v>3520</v>
      </c>
      <c r="H25" s="1074">
        <v>62</v>
      </c>
      <c r="I25" s="1028"/>
      <c r="J25" s="1028"/>
      <c r="K25" s="1028"/>
      <c r="L25" s="138"/>
      <c r="M25" s="138"/>
      <c r="N25" s="138"/>
      <c r="O25" s="138"/>
      <c r="P25" s="138"/>
      <c r="Q25" s="138"/>
      <c r="R25" s="138"/>
      <c r="S25" s="138"/>
      <c r="T25" s="138"/>
      <c r="U25" s="138"/>
      <c r="V25" s="138"/>
      <c r="W25" s="138"/>
      <c r="X25" s="138"/>
      <c r="Y25" s="138"/>
      <c r="Z25" s="138"/>
      <c r="AA25" s="138"/>
      <c r="AB25" s="138"/>
    </row>
    <row r="26" spans="1:28" ht="14.25" customHeight="1">
      <c r="A26" s="1070" t="s">
        <v>3521</v>
      </c>
      <c r="B26" s="1070" t="s">
        <v>278</v>
      </c>
      <c r="C26" s="1070" t="s">
        <v>267</v>
      </c>
      <c r="D26" s="1070" t="s">
        <v>260</v>
      </c>
      <c r="E26" s="1072">
        <v>30620.3</v>
      </c>
      <c r="F26" s="1068"/>
      <c r="G26" s="1070" t="s">
        <v>3522</v>
      </c>
      <c r="H26" s="1074">
        <v>62</v>
      </c>
      <c r="I26" s="1028"/>
      <c r="J26" s="1028"/>
      <c r="K26" s="1028"/>
      <c r="L26" s="138"/>
      <c r="M26" s="138"/>
      <c r="N26" s="138"/>
      <c r="O26" s="138"/>
      <c r="P26" s="138"/>
      <c r="Q26" s="138"/>
      <c r="R26" s="138"/>
      <c r="S26" s="138"/>
      <c r="T26" s="138"/>
      <c r="U26" s="138"/>
      <c r="V26" s="138"/>
      <c r="W26" s="138"/>
      <c r="X26" s="138"/>
      <c r="Y26" s="138"/>
      <c r="Z26" s="138"/>
      <c r="AA26" s="138"/>
      <c r="AB26" s="138"/>
    </row>
    <row r="27" spans="1:28" ht="14.25" customHeight="1">
      <c r="A27" s="1070" t="s">
        <v>3534</v>
      </c>
      <c r="B27" s="1070" t="s">
        <v>278</v>
      </c>
      <c r="C27" s="1070" t="s">
        <v>3477</v>
      </c>
      <c r="D27" s="1070" t="s">
        <v>3478</v>
      </c>
      <c r="E27" s="1072">
        <v>28211.38</v>
      </c>
      <c r="F27" s="1068"/>
      <c r="G27" s="1070" t="s">
        <v>3535</v>
      </c>
      <c r="H27" s="1074">
        <v>62</v>
      </c>
      <c r="I27" s="1028"/>
      <c r="J27" s="1028"/>
      <c r="K27" s="1028"/>
      <c r="L27" s="138"/>
      <c r="M27" s="138"/>
      <c r="N27" s="138"/>
      <c r="O27" s="138"/>
      <c r="P27" s="138"/>
      <c r="Q27" s="138"/>
      <c r="R27" s="138"/>
      <c r="S27" s="138"/>
      <c r="T27" s="138"/>
      <c r="U27" s="138"/>
      <c r="V27" s="138"/>
      <c r="W27" s="138"/>
      <c r="X27" s="138"/>
      <c r="Y27" s="138"/>
      <c r="Z27" s="138"/>
      <c r="AA27" s="138"/>
      <c r="AB27" s="138"/>
    </row>
    <row r="28" spans="1:28" ht="14.25" customHeight="1">
      <c r="A28" s="1070" t="s">
        <v>3531</v>
      </c>
      <c r="B28" s="1070" t="s">
        <v>278</v>
      </c>
      <c r="C28" s="1070" t="s">
        <v>3438</v>
      </c>
      <c r="D28" s="1070" t="s">
        <v>3532</v>
      </c>
      <c r="E28" s="1072">
        <v>23550</v>
      </c>
      <c r="F28" s="1068"/>
      <c r="G28" s="1070" t="s">
        <v>3533</v>
      </c>
      <c r="H28" s="1074">
        <v>61</v>
      </c>
      <c r="I28" s="1028"/>
      <c r="J28" s="1028"/>
      <c r="K28" s="1028"/>
      <c r="L28" s="138"/>
      <c r="M28" s="138"/>
      <c r="N28" s="138"/>
      <c r="O28" s="138"/>
      <c r="P28" s="138"/>
      <c r="Q28" s="138"/>
      <c r="R28" s="138"/>
      <c r="S28" s="138"/>
      <c r="T28" s="138"/>
      <c r="U28" s="138"/>
      <c r="V28" s="138"/>
      <c r="W28" s="138"/>
      <c r="X28" s="138"/>
      <c r="Y28" s="138"/>
      <c r="Z28" s="138"/>
      <c r="AA28" s="138"/>
      <c r="AB28" s="138"/>
    </row>
    <row r="29" spans="1:28" ht="14.25" customHeight="1">
      <c r="A29" s="1070" t="s">
        <v>3588</v>
      </c>
      <c r="B29" s="1070" t="s">
        <v>259</v>
      </c>
      <c r="C29" s="1070" t="s">
        <v>267</v>
      </c>
      <c r="D29" s="1070" t="s">
        <v>260</v>
      </c>
      <c r="E29" s="1072">
        <v>36524.6</v>
      </c>
      <c r="F29" s="1068"/>
      <c r="G29" s="1070" t="s">
        <v>3589</v>
      </c>
      <c r="H29" s="1074">
        <v>60</v>
      </c>
      <c r="I29" s="1028"/>
      <c r="J29" s="1028"/>
      <c r="K29" s="1028"/>
      <c r="L29" s="138"/>
      <c r="M29" s="138"/>
      <c r="N29" s="138"/>
      <c r="O29" s="138"/>
      <c r="P29" s="138"/>
      <c r="Q29" s="138"/>
      <c r="R29" s="138"/>
      <c r="S29" s="138"/>
      <c r="T29" s="138"/>
      <c r="U29" s="138"/>
      <c r="V29" s="138"/>
      <c r="W29" s="138"/>
      <c r="X29" s="138"/>
      <c r="Y29" s="138"/>
      <c r="Z29" s="138"/>
      <c r="AA29" s="138"/>
      <c r="AB29" s="138"/>
    </row>
    <row r="30" spans="1:28" ht="14.25" customHeight="1">
      <c r="A30" s="1070" t="s">
        <v>3590</v>
      </c>
      <c r="B30" s="1070" t="s">
        <v>278</v>
      </c>
      <c r="C30" s="1070" t="s">
        <v>267</v>
      </c>
      <c r="D30" s="1070" t="s">
        <v>260</v>
      </c>
      <c r="E30" s="1072">
        <v>24346.21</v>
      </c>
      <c r="F30" s="1072">
        <v>-16047.88</v>
      </c>
      <c r="G30" s="1070" t="s">
        <v>3591</v>
      </c>
      <c r="H30" s="1074">
        <v>60</v>
      </c>
      <c r="I30" s="1028"/>
      <c r="J30" s="1028"/>
      <c r="K30" s="1028"/>
      <c r="L30" s="138"/>
      <c r="M30" s="138"/>
      <c r="N30" s="138"/>
      <c r="O30" s="138"/>
      <c r="P30" s="138"/>
      <c r="Q30" s="138"/>
      <c r="R30" s="138"/>
      <c r="S30" s="138"/>
      <c r="T30" s="138"/>
      <c r="U30" s="138"/>
      <c r="V30" s="138"/>
      <c r="W30" s="138"/>
      <c r="X30" s="138"/>
      <c r="Y30" s="138"/>
      <c r="Z30" s="138"/>
      <c r="AA30" s="138"/>
      <c r="AB30" s="138"/>
    </row>
    <row r="31" spans="1:28" ht="14.25" customHeight="1">
      <c r="A31" s="1070" t="s">
        <v>3592</v>
      </c>
      <c r="B31" s="1070" t="s">
        <v>275</v>
      </c>
      <c r="C31" s="1070" t="s">
        <v>267</v>
      </c>
      <c r="D31" s="1070" t="s">
        <v>273</v>
      </c>
      <c r="E31" s="1072">
        <v>18530.25</v>
      </c>
      <c r="F31" s="1068"/>
      <c r="G31" s="1070" t="s">
        <v>3593</v>
      </c>
      <c r="H31" s="1074">
        <v>60</v>
      </c>
      <c r="I31" s="1028"/>
      <c r="J31" s="1028"/>
      <c r="K31" s="1028"/>
      <c r="L31" s="138"/>
      <c r="M31" s="138"/>
      <c r="N31" s="138"/>
      <c r="O31" s="138"/>
      <c r="P31" s="138"/>
      <c r="Q31" s="138"/>
      <c r="R31" s="138"/>
      <c r="S31" s="138"/>
      <c r="T31" s="138"/>
      <c r="U31" s="138"/>
      <c r="V31" s="138"/>
      <c r="W31" s="138"/>
      <c r="X31" s="138"/>
      <c r="Y31" s="138"/>
      <c r="Z31" s="138"/>
      <c r="AA31" s="138"/>
      <c r="AB31" s="138"/>
    </row>
    <row r="32" spans="1:28" ht="14.25" customHeight="1">
      <c r="A32" s="1070" t="s">
        <v>3517</v>
      </c>
      <c r="B32" s="1070" t="s">
        <v>268</v>
      </c>
      <c r="C32" s="1070" t="s">
        <v>267</v>
      </c>
      <c r="D32" s="1070" t="s">
        <v>260</v>
      </c>
      <c r="E32" s="1072">
        <v>29670.31</v>
      </c>
      <c r="F32" s="1072">
        <v>-25505.1</v>
      </c>
      <c r="G32" s="1070" t="s">
        <v>3518</v>
      </c>
      <c r="H32" s="1074">
        <v>59</v>
      </c>
      <c r="I32" s="1028"/>
      <c r="J32" s="1028"/>
      <c r="K32" s="1028"/>
      <c r="L32" s="138"/>
      <c r="M32" s="138"/>
      <c r="N32" s="138"/>
      <c r="O32" s="138"/>
      <c r="P32" s="138"/>
      <c r="Q32" s="138"/>
      <c r="R32" s="138"/>
      <c r="S32" s="138"/>
      <c r="T32" s="138"/>
      <c r="U32" s="138"/>
      <c r="V32" s="138"/>
      <c r="W32" s="138"/>
      <c r="X32" s="138"/>
      <c r="Y32" s="138"/>
      <c r="Z32" s="138"/>
      <c r="AA32" s="138"/>
      <c r="AB32" s="138"/>
    </row>
    <row r="33" spans="1:28" ht="14.25" customHeight="1">
      <c r="A33" s="1070" t="s">
        <v>3594</v>
      </c>
      <c r="B33" s="1070" t="s">
        <v>278</v>
      </c>
      <c r="C33" s="1070" t="s">
        <v>267</v>
      </c>
      <c r="D33" s="1070" t="s">
        <v>277</v>
      </c>
      <c r="E33" s="1072">
        <v>22965.200000000001</v>
      </c>
      <c r="F33" s="1068"/>
      <c r="G33" s="1070" t="s">
        <v>3595</v>
      </c>
      <c r="H33" s="1074">
        <v>55</v>
      </c>
      <c r="I33" s="1028"/>
      <c r="J33" s="1028"/>
      <c r="K33" s="1028"/>
      <c r="L33" s="1002"/>
      <c r="M33" s="138"/>
      <c r="N33" s="138"/>
      <c r="O33" s="138"/>
      <c r="P33" s="138"/>
      <c r="Q33" s="138"/>
      <c r="R33" s="138"/>
      <c r="S33" s="138"/>
      <c r="T33" s="138"/>
      <c r="U33" s="138"/>
      <c r="V33" s="138"/>
      <c r="W33" s="138"/>
      <c r="X33" s="138"/>
      <c r="Y33" s="138"/>
      <c r="Z33" s="138"/>
      <c r="AA33" s="138"/>
      <c r="AB33" s="138"/>
    </row>
    <row r="34" spans="1:28" ht="14.25" customHeight="1">
      <c r="A34" s="1070" t="s">
        <v>3755</v>
      </c>
      <c r="B34" s="1070" t="s">
        <v>268</v>
      </c>
      <c r="C34" s="1070" t="s">
        <v>267</v>
      </c>
      <c r="D34" s="1070" t="s">
        <v>260</v>
      </c>
      <c r="E34" s="1072">
        <v>31666.799999999999</v>
      </c>
      <c r="F34" s="1072">
        <v>-33046.589999999997</v>
      </c>
      <c r="G34" s="1070" t="s">
        <v>3756</v>
      </c>
      <c r="H34" s="1074">
        <v>54</v>
      </c>
      <c r="I34" s="1028"/>
      <c r="J34" s="1028"/>
      <c r="K34" s="1028"/>
      <c r="L34" s="138"/>
      <c r="M34" s="138"/>
      <c r="N34" s="138"/>
      <c r="O34" s="138"/>
      <c r="P34" s="138"/>
      <c r="Q34" s="138"/>
      <c r="R34" s="138"/>
      <c r="S34" s="138"/>
      <c r="T34" s="138"/>
      <c r="U34" s="138"/>
      <c r="V34" s="138"/>
      <c r="W34" s="138"/>
      <c r="X34" s="138"/>
      <c r="Y34" s="138"/>
      <c r="Z34" s="138"/>
      <c r="AA34" s="138"/>
      <c r="AB34" s="138"/>
    </row>
    <row r="35" spans="1:28" ht="14.25" customHeight="1">
      <c r="A35" s="1070" t="s">
        <v>3596</v>
      </c>
      <c r="B35" s="1070" t="s">
        <v>275</v>
      </c>
      <c r="C35" s="1070" t="s">
        <v>267</v>
      </c>
      <c r="D35" s="1070" t="s">
        <v>260</v>
      </c>
      <c r="E35" s="1072">
        <v>24846.26</v>
      </c>
      <c r="F35" s="1068"/>
      <c r="G35" s="1070" t="s">
        <v>3597</v>
      </c>
      <c r="H35" s="1074">
        <v>53</v>
      </c>
      <c r="I35" s="1028"/>
      <c r="J35" s="1028"/>
      <c r="K35" s="1028"/>
      <c r="L35" s="138"/>
      <c r="M35" s="138"/>
      <c r="N35" s="138"/>
      <c r="O35" s="138"/>
      <c r="P35" s="138"/>
      <c r="Q35" s="138"/>
      <c r="R35" s="138"/>
      <c r="S35" s="138"/>
      <c r="T35" s="138"/>
      <c r="U35" s="138"/>
      <c r="V35" s="138"/>
      <c r="W35" s="138"/>
      <c r="X35" s="138"/>
      <c r="Y35" s="138"/>
      <c r="Z35" s="138"/>
      <c r="AA35" s="138"/>
      <c r="AB35" s="138"/>
    </row>
    <row r="36" spans="1:28" ht="14.25" customHeight="1">
      <c r="A36" s="1070" t="s">
        <v>3598</v>
      </c>
      <c r="B36" s="1070" t="s">
        <v>278</v>
      </c>
      <c r="C36" s="1070" t="s">
        <v>267</v>
      </c>
      <c r="D36" s="1070" t="s">
        <v>277</v>
      </c>
      <c r="E36" s="1072">
        <v>19323.740000000002</v>
      </c>
      <c r="F36" s="1068"/>
      <c r="G36" s="1070" t="s">
        <v>3599</v>
      </c>
      <c r="H36" s="1074">
        <v>51</v>
      </c>
      <c r="I36" s="1028"/>
      <c r="J36" s="1028"/>
      <c r="K36" s="1028"/>
      <c r="L36" s="138"/>
      <c r="M36" s="138"/>
      <c r="N36" s="138"/>
      <c r="O36" s="138"/>
      <c r="P36" s="138"/>
      <c r="Q36" s="138"/>
      <c r="R36" s="138"/>
      <c r="S36" s="138"/>
      <c r="T36" s="138"/>
      <c r="U36" s="138"/>
      <c r="V36" s="138"/>
      <c r="W36" s="138"/>
      <c r="X36" s="138"/>
      <c r="Y36" s="138"/>
      <c r="Z36" s="138"/>
      <c r="AA36" s="138"/>
      <c r="AB36" s="138"/>
    </row>
    <row r="37" spans="1:28" ht="14.25" customHeight="1">
      <c r="A37" s="1070" t="s">
        <v>3600</v>
      </c>
      <c r="B37" s="1070" t="s">
        <v>275</v>
      </c>
      <c r="C37" s="1070" t="s">
        <v>267</v>
      </c>
      <c r="D37" s="1070" t="s">
        <v>273</v>
      </c>
      <c r="E37" s="1072">
        <v>18294.75</v>
      </c>
      <c r="F37" s="1068"/>
      <c r="G37" s="1070" t="s">
        <v>3601</v>
      </c>
      <c r="H37" s="1074">
        <v>48</v>
      </c>
      <c r="I37" s="1028"/>
      <c r="J37" s="1028"/>
      <c r="K37" s="1028"/>
      <c r="L37" s="138"/>
      <c r="M37" s="138"/>
      <c r="N37" s="138"/>
      <c r="O37" s="138"/>
      <c r="P37" s="138"/>
      <c r="Q37" s="138"/>
      <c r="R37" s="138"/>
      <c r="S37" s="138"/>
      <c r="T37" s="138"/>
      <c r="U37" s="138"/>
      <c r="V37" s="138"/>
      <c r="W37" s="138"/>
      <c r="X37" s="138"/>
      <c r="Y37" s="138"/>
      <c r="Z37" s="138"/>
      <c r="AA37" s="138"/>
      <c r="AB37" s="138"/>
    </row>
    <row r="38" spans="1:28" ht="14.25" customHeight="1">
      <c r="A38" s="1070" t="s">
        <v>3602</v>
      </c>
      <c r="B38" s="1070" t="s">
        <v>266</v>
      </c>
      <c r="C38" s="1070" t="s">
        <v>267</v>
      </c>
      <c r="D38" s="1070" t="s">
        <v>273</v>
      </c>
      <c r="E38" s="1072">
        <v>16745.3</v>
      </c>
      <c r="F38" s="1068"/>
      <c r="G38" s="1070" t="s">
        <v>3603</v>
      </c>
      <c r="H38" s="1074">
        <v>48</v>
      </c>
      <c r="I38" s="1028"/>
      <c r="J38" s="1028"/>
      <c r="K38" s="1028"/>
      <c r="L38" s="138"/>
      <c r="M38" s="138"/>
      <c r="N38" s="138"/>
      <c r="O38" s="138"/>
      <c r="P38" s="138"/>
      <c r="Q38" s="138"/>
      <c r="R38" s="138"/>
      <c r="S38" s="138"/>
      <c r="T38" s="138"/>
      <c r="U38" s="138"/>
      <c r="V38" s="138"/>
      <c r="W38" s="138"/>
      <c r="X38" s="138"/>
      <c r="Y38" s="138"/>
      <c r="Z38" s="138"/>
      <c r="AA38" s="138"/>
      <c r="AB38" s="138"/>
    </row>
    <row r="39" spans="1:28" ht="14.25" customHeight="1">
      <c r="A39" s="1070" t="s">
        <v>3604</v>
      </c>
      <c r="B39" s="1070" t="s">
        <v>259</v>
      </c>
      <c r="C39" s="1070" t="s">
        <v>267</v>
      </c>
      <c r="D39" s="1070" t="s">
        <v>262</v>
      </c>
      <c r="E39" s="1072">
        <v>49927.29</v>
      </c>
      <c r="F39" s="1068"/>
      <c r="G39" s="1070" t="s">
        <v>3605</v>
      </c>
      <c r="H39" s="1074">
        <v>47</v>
      </c>
      <c r="I39" s="1028"/>
      <c r="J39" s="1028"/>
      <c r="K39" s="1028"/>
      <c r="L39" s="138"/>
      <c r="M39" s="138"/>
      <c r="N39" s="138"/>
      <c r="O39" s="138"/>
      <c r="P39" s="138"/>
      <c r="Q39" s="138"/>
      <c r="R39" s="138"/>
      <c r="S39" s="138"/>
      <c r="T39" s="138"/>
      <c r="U39" s="138"/>
      <c r="V39" s="138"/>
      <c r="W39" s="138"/>
      <c r="X39" s="138"/>
      <c r="Y39" s="138"/>
      <c r="Z39" s="138"/>
      <c r="AA39" s="138"/>
      <c r="AB39" s="138"/>
    </row>
    <row r="40" spans="1:28" ht="14.25" customHeight="1">
      <c r="A40" s="1070" t="s">
        <v>3606</v>
      </c>
      <c r="B40" s="1070" t="s">
        <v>278</v>
      </c>
      <c r="C40" s="1070" t="s">
        <v>267</v>
      </c>
      <c r="D40" s="1070" t="s">
        <v>260</v>
      </c>
      <c r="E40" s="1072">
        <v>24483.1</v>
      </c>
      <c r="F40" s="1072">
        <v>-18876</v>
      </c>
      <c r="G40" s="1070" t="s">
        <v>3607</v>
      </c>
      <c r="H40" s="1074">
        <v>47</v>
      </c>
      <c r="I40" s="1028"/>
      <c r="J40" s="1028"/>
      <c r="K40" s="1028"/>
      <c r="L40" s="138"/>
      <c r="M40" s="138"/>
      <c r="N40" s="138"/>
      <c r="O40" s="138"/>
      <c r="P40" s="138"/>
      <c r="Q40" s="138"/>
      <c r="R40" s="138"/>
      <c r="S40" s="138"/>
      <c r="T40" s="138"/>
      <c r="U40" s="138"/>
      <c r="V40" s="138"/>
      <c r="W40" s="138"/>
      <c r="X40" s="138"/>
      <c r="Y40" s="138"/>
      <c r="Z40" s="138"/>
      <c r="AA40" s="138"/>
      <c r="AB40" s="138"/>
    </row>
    <row r="41" spans="1:28" ht="14.25" customHeight="1">
      <c r="A41" s="1070" t="s">
        <v>3608</v>
      </c>
      <c r="B41" s="1070" t="s">
        <v>275</v>
      </c>
      <c r="C41" s="1070" t="s">
        <v>267</v>
      </c>
      <c r="D41" s="1070" t="s">
        <v>273</v>
      </c>
      <c r="E41" s="1072">
        <v>21779.599999999999</v>
      </c>
      <c r="F41" s="1068"/>
      <c r="G41" s="1070" t="s">
        <v>3609</v>
      </c>
      <c r="H41" s="1074">
        <v>47</v>
      </c>
      <c r="I41" s="1028"/>
      <c r="J41" s="1028"/>
      <c r="K41" s="1028"/>
      <c r="L41" s="138"/>
      <c r="M41" s="138"/>
      <c r="N41" s="138"/>
      <c r="O41" s="138"/>
      <c r="P41" s="138"/>
      <c r="Q41" s="138"/>
      <c r="R41" s="138"/>
      <c r="S41" s="138"/>
      <c r="T41" s="138"/>
      <c r="U41" s="138"/>
      <c r="V41" s="138"/>
      <c r="W41" s="138"/>
      <c r="X41" s="138"/>
      <c r="Y41" s="138"/>
      <c r="Z41" s="138"/>
      <c r="AA41" s="138"/>
      <c r="AB41" s="138"/>
    </row>
    <row r="42" spans="1:28" ht="14.25" customHeight="1">
      <c r="A42" s="1070" t="s">
        <v>3610</v>
      </c>
      <c r="B42" s="1070" t="s">
        <v>268</v>
      </c>
      <c r="C42" s="1070" t="s">
        <v>267</v>
      </c>
      <c r="D42" s="1070" t="s">
        <v>273</v>
      </c>
      <c r="E42" s="1072">
        <v>21350</v>
      </c>
      <c r="F42" s="1068"/>
      <c r="G42" s="1070" t="s">
        <v>3611</v>
      </c>
      <c r="H42" s="1074">
        <v>45</v>
      </c>
      <c r="I42" s="1028"/>
      <c r="J42" s="1028"/>
      <c r="K42" s="1028"/>
      <c r="L42" s="138"/>
      <c r="M42" s="138"/>
      <c r="N42" s="138"/>
      <c r="O42" s="138"/>
      <c r="P42" s="138"/>
      <c r="Q42" s="138"/>
      <c r="R42" s="138"/>
      <c r="S42" s="138"/>
      <c r="T42" s="138"/>
      <c r="U42" s="138"/>
      <c r="V42" s="138"/>
      <c r="W42" s="138"/>
      <c r="X42" s="138"/>
      <c r="Y42" s="138"/>
      <c r="Z42" s="138"/>
      <c r="AA42" s="138"/>
      <c r="AB42" s="138"/>
    </row>
    <row r="43" spans="1:28" ht="14.25" customHeight="1">
      <c r="A43" s="1070" t="s">
        <v>3612</v>
      </c>
      <c r="B43" s="1070" t="s">
        <v>275</v>
      </c>
      <c r="C43" s="1070" t="s">
        <v>267</v>
      </c>
      <c r="D43" s="1070" t="s">
        <v>277</v>
      </c>
      <c r="E43" s="1072">
        <v>17488.18</v>
      </c>
      <c r="F43" s="1068"/>
      <c r="G43" s="1070" t="s">
        <v>3613</v>
      </c>
      <c r="H43" s="1074">
        <v>45</v>
      </c>
      <c r="I43" s="1028"/>
      <c r="J43" s="1028"/>
      <c r="K43" s="1028"/>
      <c r="L43" s="138"/>
      <c r="M43" s="138"/>
      <c r="N43" s="138"/>
      <c r="O43" s="138"/>
      <c r="P43" s="138"/>
      <c r="Q43" s="138"/>
      <c r="R43" s="138"/>
      <c r="S43" s="138"/>
      <c r="T43" s="138"/>
      <c r="U43" s="138"/>
      <c r="V43" s="138"/>
      <c r="W43" s="138"/>
      <c r="X43" s="138"/>
      <c r="Y43" s="138"/>
      <c r="Z43" s="138"/>
      <c r="AA43" s="138"/>
      <c r="AB43" s="138"/>
    </row>
    <row r="44" spans="1:28" ht="14.25" customHeight="1">
      <c r="A44" s="1070" t="s">
        <v>3614</v>
      </c>
      <c r="B44" s="1070" t="s">
        <v>278</v>
      </c>
      <c r="C44" s="1070" t="s">
        <v>267</v>
      </c>
      <c r="D44" s="1070" t="s">
        <v>277</v>
      </c>
      <c r="E44" s="1072">
        <v>18370.25</v>
      </c>
      <c r="F44" s="1068"/>
      <c r="G44" s="1070" t="s">
        <v>3615</v>
      </c>
      <c r="H44" s="1074">
        <v>44</v>
      </c>
      <c r="I44" s="1028"/>
      <c r="J44" s="1028"/>
      <c r="K44" s="1028"/>
      <c r="L44" s="138"/>
      <c r="M44" s="138"/>
      <c r="N44" s="138"/>
      <c r="O44" s="138"/>
      <c r="P44" s="138"/>
      <c r="Q44" s="138"/>
      <c r="R44" s="138"/>
      <c r="S44" s="138"/>
      <c r="T44" s="138"/>
      <c r="U44" s="138"/>
      <c r="V44" s="138"/>
      <c r="W44" s="138"/>
      <c r="X44" s="138"/>
      <c r="Y44" s="138"/>
      <c r="Z44" s="138"/>
      <c r="AA44" s="138"/>
      <c r="AB44" s="138"/>
    </row>
    <row r="45" spans="1:28" ht="14.25" customHeight="1">
      <c r="A45" s="1070" t="s">
        <v>3616</v>
      </c>
      <c r="B45" s="1070" t="s">
        <v>266</v>
      </c>
      <c r="C45" s="1070" t="s">
        <v>267</v>
      </c>
      <c r="D45" s="1070" t="s">
        <v>260</v>
      </c>
      <c r="E45" s="1072">
        <v>20165.3</v>
      </c>
      <c r="F45" s="1068"/>
      <c r="G45" s="1070" t="s">
        <v>3617</v>
      </c>
      <c r="H45" s="1074">
        <v>44</v>
      </c>
      <c r="I45" s="1028"/>
      <c r="J45" s="1028"/>
      <c r="K45" s="1028"/>
      <c r="L45" s="138"/>
      <c r="M45" s="138"/>
      <c r="N45" s="138"/>
      <c r="O45" s="138"/>
      <c r="P45" s="138"/>
      <c r="Q45" s="138"/>
      <c r="R45" s="138"/>
      <c r="S45" s="138"/>
      <c r="T45" s="138"/>
      <c r="U45" s="138"/>
      <c r="V45" s="138"/>
      <c r="W45" s="138"/>
      <c r="X45" s="138"/>
      <c r="Y45" s="138"/>
      <c r="Z45" s="138"/>
      <c r="AA45" s="138"/>
      <c r="AB45" s="138"/>
    </row>
    <row r="46" spans="1:28" ht="14.25" customHeight="1">
      <c r="A46" s="1070" t="s">
        <v>3757</v>
      </c>
      <c r="B46" s="1070" t="s">
        <v>3343</v>
      </c>
      <c r="C46" s="1070" t="s">
        <v>3477</v>
      </c>
      <c r="D46" s="1070" t="s">
        <v>3758</v>
      </c>
      <c r="E46" s="1072">
        <v>15050</v>
      </c>
      <c r="F46" s="1068"/>
      <c r="G46" s="1070" t="s">
        <v>3759</v>
      </c>
      <c r="H46" s="1074">
        <v>44</v>
      </c>
      <c r="I46" s="1028"/>
      <c r="J46" s="1028"/>
      <c r="K46" s="1028"/>
      <c r="L46" s="138"/>
      <c r="M46" s="138"/>
      <c r="N46" s="138"/>
      <c r="O46" s="138"/>
      <c r="P46" s="138"/>
      <c r="Q46" s="138"/>
      <c r="R46" s="138"/>
      <c r="S46" s="138"/>
      <c r="T46" s="138"/>
      <c r="U46" s="138"/>
      <c r="V46" s="138"/>
      <c r="W46" s="138"/>
      <c r="X46" s="138"/>
      <c r="Y46" s="138"/>
      <c r="Z46" s="138"/>
      <c r="AA46" s="138"/>
      <c r="AB46" s="138"/>
    </row>
    <row r="47" spans="1:28" ht="14.25" customHeight="1">
      <c r="A47" s="1070" t="s">
        <v>3618</v>
      </c>
      <c r="B47" s="1070" t="s">
        <v>278</v>
      </c>
      <c r="C47" s="1070" t="s">
        <v>267</v>
      </c>
      <c r="D47" s="1070" t="s">
        <v>277</v>
      </c>
      <c r="E47" s="1072">
        <v>21360.2</v>
      </c>
      <c r="F47" s="1068"/>
      <c r="G47" s="1070" t="s">
        <v>3619</v>
      </c>
      <c r="H47" s="1074">
        <v>41</v>
      </c>
      <c r="I47" s="1028"/>
      <c r="J47" s="1028"/>
      <c r="K47" s="1028"/>
      <c r="L47" s="138"/>
      <c r="M47" s="138"/>
      <c r="N47" s="138"/>
      <c r="O47" s="138"/>
      <c r="P47" s="138"/>
      <c r="Q47" s="138"/>
      <c r="R47" s="138"/>
      <c r="S47" s="138"/>
      <c r="T47" s="138"/>
      <c r="U47" s="138"/>
      <c r="V47" s="138"/>
      <c r="W47" s="138"/>
      <c r="X47" s="138"/>
      <c r="Y47" s="138"/>
      <c r="Z47" s="138"/>
      <c r="AA47" s="138"/>
      <c r="AB47" s="138"/>
    </row>
    <row r="48" spans="1:28" ht="14.25" customHeight="1">
      <c r="A48" s="1070" t="s">
        <v>3620</v>
      </c>
      <c r="B48" s="1070" t="s">
        <v>268</v>
      </c>
      <c r="C48" s="1070" t="s">
        <v>267</v>
      </c>
      <c r="D48" s="1070" t="s">
        <v>277</v>
      </c>
      <c r="E48" s="1072">
        <v>25003.85</v>
      </c>
      <c r="F48" s="1072">
        <v>-21330</v>
      </c>
      <c r="G48" s="1070" t="s">
        <v>3621</v>
      </c>
      <c r="H48" s="1074">
        <v>40</v>
      </c>
      <c r="I48" s="1028"/>
      <c r="J48" s="1028"/>
      <c r="K48" s="1028"/>
      <c r="L48" s="138"/>
      <c r="M48" s="138"/>
      <c r="N48" s="138"/>
      <c r="O48" s="138"/>
      <c r="P48" s="138"/>
      <c r="Q48" s="138"/>
      <c r="R48" s="138"/>
      <c r="S48" s="138"/>
      <c r="T48" s="138"/>
      <c r="U48" s="138"/>
      <c r="V48" s="138"/>
      <c r="W48" s="138"/>
      <c r="X48" s="138"/>
      <c r="Y48" s="138"/>
      <c r="Z48" s="138"/>
      <c r="AA48" s="138"/>
      <c r="AB48" s="138"/>
    </row>
    <row r="49" spans="1:28" ht="14.25" customHeight="1">
      <c r="A49" s="1070" t="s">
        <v>3622</v>
      </c>
      <c r="B49" s="1070" t="s">
        <v>278</v>
      </c>
      <c r="C49" s="1070" t="s">
        <v>267</v>
      </c>
      <c r="D49" s="1070" t="s">
        <v>260</v>
      </c>
      <c r="E49" s="1072">
        <v>24894.97</v>
      </c>
      <c r="F49" s="1068"/>
      <c r="G49" s="1070" t="s">
        <v>3623</v>
      </c>
      <c r="H49" s="1074">
        <v>40</v>
      </c>
      <c r="I49" s="1028"/>
      <c r="J49" s="1028"/>
      <c r="K49" s="1028"/>
      <c r="L49" s="138"/>
      <c r="M49" s="138"/>
      <c r="N49" s="138"/>
      <c r="O49" s="138"/>
      <c r="P49" s="138"/>
      <c r="Q49" s="138"/>
      <c r="R49" s="138"/>
      <c r="S49" s="138"/>
      <c r="T49" s="138"/>
      <c r="U49" s="138"/>
      <c r="V49" s="138"/>
      <c r="W49" s="138"/>
      <c r="X49" s="138"/>
      <c r="Y49" s="138"/>
      <c r="Z49" s="138"/>
      <c r="AA49" s="138"/>
      <c r="AB49" s="138"/>
    </row>
    <row r="50" spans="1:28" ht="14.25" customHeight="1">
      <c r="A50" s="1070" t="s">
        <v>3624</v>
      </c>
      <c r="B50" s="1070" t="s">
        <v>275</v>
      </c>
      <c r="C50" s="1070" t="s">
        <v>267</v>
      </c>
      <c r="D50" s="1070" t="s">
        <v>260</v>
      </c>
      <c r="E50" s="1072">
        <v>27870.3</v>
      </c>
      <c r="F50" s="1068"/>
      <c r="G50" s="1070" t="s">
        <v>3625</v>
      </c>
      <c r="H50" s="1074">
        <v>40</v>
      </c>
      <c r="I50" s="1028"/>
      <c r="J50" s="1028"/>
      <c r="K50" s="1028"/>
      <c r="L50" s="138"/>
      <c r="M50" s="138"/>
      <c r="N50" s="138"/>
      <c r="O50" s="138"/>
      <c r="P50" s="138"/>
      <c r="Q50" s="138"/>
      <c r="R50" s="138"/>
      <c r="S50" s="138"/>
      <c r="T50" s="138"/>
      <c r="U50" s="138"/>
      <c r="V50" s="138"/>
      <c r="W50" s="138"/>
      <c r="X50" s="138"/>
      <c r="Y50" s="138"/>
      <c r="Z50" s="138"/>
      <c r="AA50" s="138"/>
      <c r="AB50" s="138"/>
    </row>
    <row r="51" spans="1:28" ht="14.25" customHeight="1">
      <c r="A51" s="1070" t="s">
        <v>3626</v>
      </c>
      <c r="B51" s="1070" t="s">
        <v>268</v>
      </c>
      <c r="C51" s="1070" t="s">
        <v>267</v>
      </c>
      <c r="D51" s="1070" t="s">
        <v>277</v>
      </c>
      <c r="E51" s="1072">
        <v>24530.400000000001</v>
      </c>
      <c r="F51" s="1068"/>
      <c r="G51" s="1070" t="s">
        <v>3627</v>
      </c>
      <c r="H51" s="1074">
        <v>37</v>
      </c>
      <c r="I51" s="1028"/>
      <c r="J51" s="1028"/>
      <c r="K51" s="1028"/>
      <c r="L51" s="138"/>
      <c r="M51" s="138"/>
      <c r="N51" s="138"/>
      <c r="O51" s="138"/>
      <c r="P51" s="138"/>
      <c r="Q51" s="138"/>
      <c r="R51" s="138"/>
      <c r="S51" s="138"/>
      <c r="T51" s="138"/>
      <c r="U51" s="138"/>
      <c r="V51" s="138"/>
      <c r="W51" s="138"/>
      <c r="X51" s="138"/>
      <c r="Y51" s="138"/>
      <c r="Z51" s="138"/>
      <c r="AA51" s="138"/>
      <c r="AB51" s="138"/>
    </row>
    <row r="52" spans="1:28" ht="14.25" customHeight="1">
      <c r="A52" s="1070" t="s">
        <v>3628</v>
      </c>
      <c r="B52" s="1070" t="s">
        <v>3629</v>
      </c>
      <c r="C52" s="1070" t="s">
        <v>267</v>
      </c>
      <c r="D52" s="1070" t="s">
        <v>3630</v>
      </c>
      <c r="E52" s="1072">
        <v>4314.03</v>
      </c>
      <c r="F52" s="1068"/>
      <c r="G52" s="1070" t="s">
        <v>3631</v>
      </c>
      <c r="H52" s="1074">
        <v>37</v>
      </c>
      <c r="I52" s="1028"/>
      <c r="J52" s="1028"/>
      <c r="K52" s="1028"/>
      <c r="L52" s="138"/>
      <c r="M52" s="138"/>
      <c r="N52" s="138"/>
      <c r="O52" s="138"/>
      <c r="P52" s="138"/>
      <c r="Q52" s="138"/>
      <c r="R52" s="138"/>
      <c r="S52" s="138"/>
      <c r="T52" s="138"/>
      <c r="U52" s="138"/>
      <c r="V52" s="138"/>
      <c r="W52" s="138"/>
      <c r="X52" s="138"/>
      <c r="Y52" s="138"/>
      <c r="Z52" s="138"/>
      <c r="AA52" s="138"/>
      <c r="AB52" s="138"/>
    </row>
    <row r="53" spans="1:28" ht="14.25" customHeight="1">
      <c r="A53" s="1070" t="s">
        <v>3634</v>
      </c>
      <c r="B53" s="1070" t="s">
        <v>268</v>
      </c>
      <c r="C53" s="1070" t="s">
        <v>267</v>
      </c>
      <c r="D53" s="1070" t="s">
        <v>277</v>
      </c>
      <c r="E53" s="1072">
        <v>24447.5</v>
      </c>
      <c r="F53" s="1068"/>
      <c r="G53" s="1070" t="s">
        <v>3635</v>
      </c>
      <c r="H53" s="1074">
        <v>33</v>
      </c>
      <c r="I53" s="1028"/>
      <c r="J53" s="1028"/>
      <c r="K53" s="1028"/>
      <c r="L53" s="138"/>
      <c r="M53" s="138"/>
      <c r="N53" s="138"/>
      <c r="O53" s="138"/>
      <c r="P53" s="138"/>
      <c r="Q53" s="138"/>
      <c r="R53" s="138"/>
      <c r="S53" s="138"/>
      <c r="T53" s="138"/>
      <c r="U53" s="138"/>
      <c r="V53" s="138"/>
      <c r="W53" s="138"/>
      <c r="X53" s="138"/>
      <c r="Y53" s="138"/>
      <c r="Z53" s="138"/>
      <c r="AA53" s="138"/>
      <c r="AB53" s="138"/>
    </row>
    <row r="54" spans="1:28" ht="14.25" customHeight="1">
      <c r="A54" s="1070" t="s">
        <v>3636</v>
      </c>
      <c r="B54" s="1070" t="s">
        <v>275</v>
      </c>
      <c r="C54" s="1070" t="s">
        <v>267</v>
      </c>
      <c r="D54" s="1070" t="s">
        <v>273</v>
      </c>
      <c r="E54" s="1072">
        <v>20373.45</v>
      </c>
      <c r="F54" s="1072">
        <v>-12553.38</v>
      </c>
      <c r="G54" s="1070" t="s">
        <v>3637</v>
      </c>
      <c r="H54" s="1074">
        <v>33</v>
      </c>
      <c r="I54" s="1028"/>
      <c r="J54" s="1028"/>
      <c r="K54" s="1028"/>
      <c r="L54" s="138"/>
      <c r="M54" s="138"/>
      <c r="N54" s="138"/>
      <c r="O54" s="138"/>
      <c r="P54" s="138"/>
      <c r="Q54" s="138"/>
      <c r="R54" s="138"/>
      <c r="S54" s="138"/>
      <c r="T54" s="138"/>
      <c r="U54" s="138"/>
      <c r="V54" s="138"/>
      <c r="W54" s="138"/>
      <c r="X54" s="138"/>
      <c r="Y54" s="138"/>
      <c r="Z54" s="138"/>
      <c r="AA54" s="138"/>
      <c r="AB54" s="138"/>
    </row>
    <row r="55" spans="1:28" ht="14.25" customHeight="1">
      <c r="A55" s="1070" t="s">
        <v>3642</v>
      </c>
      <c r="B55" s="1070" t="s">
        <v>268</v>
      </c>
      <c r="C55" s="1070" t="s">
        <v>267</v>
      </c>
      <c r="D55" s="1070" t="s">
        <v>279</v>
      </c>
      <c r="E55" s="1072">
        <v>32388.2</v>
      </c>
      <c r="F55" s="1068"/>
      <c r="G55" s="1070" t="s">
        <v>3643</v>
      </c>
      <c r="H55" s="1074">
        <v>32</v>
      </c>
      <c r="I55" s="1028"/>
      <c r="J55" s="1028"/>
      <c r="K55" s="1028"/>
      <c r="L55" s="138"/>
      <c r="M55" s="138"/>
      <c r="N55" s="138"/>
      <c r="O55" s="138"/>
      <c r="P55" s="138"/>
      <c r="Q55" s="138"/>
      <c r="R55" s="138"/>
      <c r="S55" s="138"/>
      <c r="T55" s="138"/>
      <c r="U55" s="138"/>
      <c r="V55" s="138"/>
      <c r="W55" s="138"/>
      <c r="X55" s="138"/>
      <c r="Y55" s="138"/>
      <c r="Z55" s="138"/>
      <c r="AA55" s="138"/>
      <c r="AB55" s="138"/>
    </row>
    <row r="56" spans="1:28" ht="14.25" customHeight="1">
      <c r="A56" s="1070" t="s">
        <v>3646</v>
      </c>
      <c r="B56" s="1070" t="s">
        <v>278</v>
      </c>
      <c r="C56" s="1070" t="s">
        <v>267</v>
      </c>
      <c r="D56" s="1070" t="s">
        <v>3647</v>
      </c>
      <c r="E56" s="1072">
        <v>23491.599999999999</v>
      </c>
      <c r="F56" s="1068"/>
      <c r="G56" s="1070" t="s">
        <v>3648</v>
      </c>
      <c r="H56" s="1074">
        <v>32</v>
      </c>
      <c r="I56" s="1028"/>
      <c r="J56" s="1028"/>
      <c r="K56" s="1028"/>
      <c r="L56" s="138"/>
      <c r="M56" s="138"/>
      <c r="N56" s="138"/>
      <c r="O56" s="138"/>
      <c r="P56" s="138"/>
      <c r="Q56" s="138"/>
      <c r="R56" s="138"/>
      <c r="S56" s="138"/>
      <c r="T56" s="138"/>
      <c r="U56" s="138"/>
      <c r="V56" s="138"/>
      <c r="W56" s="138"/>
      <c r="X56" s="138"/>
      <c r="Y56" s="138"/>
      <c r="Z56" s="138"/>
      <c r="AA56" s="138"/>
      <c r="AB56" s="138"/>
    </row>
    <row r="57" spans="1:28" ht="14.25" customHeight="1">
      <c r="A57" s="1070" t="s">
        <v>3649</v>
      </c>
      <c r="B57" s="1070" t="s">
        <v>268</v>
      </c>
      <c r="C57" s="1070" t="s">
        <v>267</v>
      </c>
      <c r="D57" s="1070" t="s">
        <v>260</v>
      </c>
      <c r="E57" s="1072">
        <v>29343.25</v>
      </c>
      <c r="F57" s="1068"/>
      <c r="G57" s="1070" t="s">
        <v>3650</v>
      </c>
      <c r="H57" s="1074">
        <v>31</v>
      </c>
      <c r="I57" s="1028"/>
      <c r="J57" s="1028"/>
      <c r="K57" s="1028"/>
      <c r="L57" s="138"/>
      <c r="M57" s="138"/>
      <c r="N57" s="138"/>
      <c r="O57" s="138"/>
      <c r="P57" s="138"/>
      <c r="Q57" s="138"/>
      <c r="R57" s="138"/>
      <c r="S57" s="138"/>
      <c r="T57" s="138"/>
      <c r="U57" s="138"/>
      <c r="V57" s="138"/>
      <c r="W57" s="138"/>
      <c r="X57" s="138"/>
      <c r="Y57" s="138"/>
      <c r="Z57" s="138"/>
      <c r="AA57" s="138"/>
      <c r="AB57" s="138"/>
    </row>
    <row r="58" spans="1:28" ht="14.25" customHeight="1">
      <c r="A58" s="1070" t="s">
        <v>3651</v>
      </c>
      <c r="B58" s="1070" t="s">
        <v>278</v>
      </c>
      <c r="C58" s="1070" t="s">
        <v>267</v>
      </c>
      <c r="D58" s="1070" t="s">
        <v>260</v>
      </c>
      <c r="E58" s="1072">
        <v>29950</v>
      </c>
      <c r="F58" s="1068"/>
      <c r="G58" s="1070" t="s">
        <v>3652</v>
      </c>
      <c r="H58" s="1074">
        <v>31</v>
      </c>
      <c r="I58" s="1028"/>
      <c r="J58" s="1028"/>
      <c r="K58" s="1028"/>
      <c r="L58" s="138"/>
      <c r="M58" s="138"/>
      <c r="N58" s="138"/>
      <c r="O58" s="138"/>
      <c r="P58" s="138"/>
      <c r="Q58" s="138"/>
      <c r="R58" s="138"/>
      <c r="S58" s="138"/>
      <c r="T58" s="138"/>
      <c r="U58" s="138"/>
      <c r="V58" s="138"/>
      <c r="W58" s="138"/>
      <c r="X58" s="138"/>
      <c r="Y58" s="138"/>
      <c r="Z58" s="138"/>
      <c r="AA58" s="138"/>
      <c r="AB58" s="138"/>
    </row>
    <row r="59" spans="1:28" ht="14.25" customHeight="1">
      <c r="A59" s="1070" t="s">
        <v>3653</v>
      </c>
      <c r="B59" s="1070" t="s">
        <v>275</v>
      </c>
      <c r="C59" s="1070" t="s">
        <v>267</v>
      </c>
      <c r="D59" s="1070" t="s">
        <v>260</v>
      </c>
      <c r="E59" s="1072">
        <v>21448.99</v>
      </c>
      <c r="F59" s="1072">
        <v>-18000</v>
      </c>
      <c r="G59" s="1070" t="s">
        <v>3654</v>
      </c>
      <c r="H59" s="1074">
        <v>31</v>
      </c>
      <c r="I59" s="1028"/>
      <c r="J59" s="1028"/>
      <c r="K59" s="1028"/>
      <c r="L59" s="138"/>
      <c r="M59" s="138"/>
      <c r="N59" s="138"/>
      <c r="O59" s="138"/>
      <c r="P59" s="138"/>
      <c r="Q59" s="138"/>
      <c r="R59" s="138"/>
      <c r="S59" s="138"/>
      <c r="T59" s="138"/>
      <c r="U59" s="138"/>
      <c r="V59" s="138"/>
      <c r="W59" s="138"/>
      <c r="X59" s="138"/>
      <c r="Y59" s="138"/>
      <c r="Z59" s="138"/>
      <c r="AA59" s="138"/>
      <c r="AB59" s="138"/>
    </row>
    <row r="60" spans="1:28" ht="14.25" customHeight="1">
      <c r="A60" s="1070" t="s">
        <v>3655</v>
      </c>
      <c r="B60" s="1070" t="s">
        <v>275</v>
      </c>
      <c r="C60" s="1070" t="s">
        <v>267</v>
      </c>
      <c r="D60" s="1070" t="s">
        <v>3544</v>
      </c>
      <c r="E60" s="1072">
        <v>23680.2</v>
      </c>
      <c r="F60" s="1068"/>
      <c r="G60" s="1070" t="s">
        <v>3656</v>
      </c>
      <c r="H60" s="1074">
        <v>31</v>
      </c>
      <c r="I60" s="1028"/>
      <c r="J60" s="1028"/>
      <c r="K60" s="1028"/>
      <c r="L60" s="138"/>
      <c r="M60" s="138"/>
      <c r="N60" s="138"/>
      <c r="O60" s="138"/>
      <c r="P60" s="138"/>
      <c r="Q60" s="138"/>
      <c r="R60" s="138"/>
      <c r="S60" s="138"/>
      <c r="T60" s="138"/>
      <c r="U60" s="138"/>
      <c r="V60" s="138"/>
      <c r="W60" s="138"/>
      <c r="X60" s="138"/>
      <c r="Y60" s="138"/>
      <c r="Z60" s="138"/>
      <c r="AA60" s="138"/>
      <c r="AB60" s="138"/>
    </row>
    <row r="61" spans="1:28" ht="14.25" customHeight="1">
      <c r="A61" s="1070" t="s">
        <v>3657</v>
      </c>
      <c r="B61" s="1070" t="s">
        <v>275</v>
      </c>
      <c r="C61" s="1070" t="s">
        <v>267</v>
      </c>
      <c r="D61" s="1070" t="s">
        <v>273</v>
      </c>
      <c r="E61" s="1072">
        <v>19433.849999999999</v>
      </c>
      <c r="F61" s="1068"/>
      <c r="G61" s="1070" t="s">
        <v>3658</v>
      </c>
      <c r="H61" s="1074">
        <v>31</v>
      </c>
      <c r="I61" s="1028"/>
      <c r="J61" s="1028"/>
      <c r="K61" s="1028"/>
      <c r="L61" s="138"/>
      <c r="M61" s="138"/>
      <c r="N61" s="138"/>
      <c r="O61" s="138"/>
      <c r="P61" s="138"/>
      <c r="Q61" s="138"/>
      <c r="R61" s="138"/>
      <c r="S61" s="138"/>
      <c r="T61" s="138"/>
      <c r="U61" s="138"/>
      <c r="V61" s="138"/>
      <c r="W61" s="138"/>
      <c r="X61" s="138"/>
      <c r="Y61" s="138"/>
      <c r="Z61" s="138"/>
      <c r="AA61" s="138"/>
      <c r="AB61" s="138"/>
    </row>
    <row r="62" spans="1:28" ht="14.25" customHeight="1">
      <c r="A62" s="1070" t="s">
        <v>3659</v>
      </c>
      <c r="B62" s="1070" t="s">
        <v>275</v>
      </c>
      <c r="C62" s="1070" t="s">
        <v>3438</v>
      </c>
      <c r="D62" s="1070" t="s">
        <v>3532</v>
      </c>
      <c r="E62" s="1072">
        <v>17516.849999999999</v>
      </c>
      <c r="F62" s="1068"/>
      <c r="G62" s="1070" t="s">
        <v>3660</v>
      </c>
      <c r="H62" s="1074">
        <v>31</v>
      </c>
      <c r="I62" s="1028"/>
      <c r="J62" s="1028"/>
      <c r="K62" s="1028"/>
      <c r="L62" s="138"/>
      <c r="M62" s="138"/>
      <c r="N62" s="138"/>
      <c r="O62" s="138"/>
      <c r="P62" s="138"/>
      <c r="Q62" s="138"/>
      <c r="R62" s="138"/>
      <c r="S62" s="138"/>
      <c r="T62" s="138"/>
      <c r="U62" s="138"/>
      <c r="V62" s="138"/>
      <c r="W62" s="138"/>
      <c r="X62" s="138"/>
      <c r="Y62" s="138"/>
      <c r="Z62" s="138"/>
      <c r="AA62" s="138"/>
      <c r="AB62" s="138"/>
    </row>
    <row r="63" spans="1:28" ht="14.25" customHeight="1">
      <c r="A63" s="1070" t="s">
        <v>3640</v>
      </c>
      <c r="B63" s="1070" t="s">
        <v>268</v>
      </c>
      <c r="C63" s="1070" t="s">
        <v>267</v>
      </c>
      <c r="D63" s="1070" t="s">
        <v>260</v>
      </c>
      <c r="E63" s="1072">
        <v>28418.09</v>
      </c>
      <c r="F63" s="1068"/>
      <c r="G63" s="1070" t="s">
        <v>3641</v>
      </c>
      <c r="H63" s="1074">
        <v>30</v>
      </c>
      <c r="I63" s="1028"/>
      <c r="J63" s="1028"/>
      <c r="K63" s="1028"/>
      <c r="L63" s="138"/>
      <c r="M63" s="138"/>
      <c r="N63" s="138"/>
      <c r="O63" s="138"/>
      <c r="P63" s="138"/>
      <c r="Q63" s="138"/>
      <c r="R63" s="138"/>
      <c r="S63" s="138"/>
      <c r="T63" s="138"/>
      <c r="U63" s="138"/>
      <c r="V63" s="138"/>
      <c r="W63" s="138"/>
      <c r="X63" s="138"/>
      <c r="Y63" s="138"/>
      <c r="Z63" s="138"/>
      <c r="AA63" s="138"/>
      <c r="AB63" s="138"/>
    </row>
    <row r="64" spans="1:28" ht="14.25" customHeight="1">
      <c r="A64" s="1070" t="s">
        <v>3644</v>
      </c>
      <c r="B64" s="1070" t="s">
        <v>278</v>
      </c>
      <c r="C64" s="1070" t="s">
        <v>267</v>
      </c>
      <c r="D64" s="1070" t="s">
        <v>260</v>
      </c>
      <c r="E64" s="1072">
        <v>26650</v>
      </c>
      <c r="F64" s="1068"/>
      <c r="G64" s="1070" t="s">
        <v>3645</v>
      </c>
      <c r="H64" s="1074">
        <v>30</v>
      </c>
      <c r="I64" s="1028"/>
      <c r="J64" s="1028"/>
      <c r="K64" s="1028"/>
      <c r="L64" s="138"/>
      <c r="M64" s="138"/>
      <c r="N64" s="138"/>
      <c r="O64" s="138"/>
      <c r="P64" s="138"/>
      <c r="Q64" s="138"/>
      <c r="R64" s="138"/>
      <c r="S64" s="138"/>
      <c r="T64" s="138"/>
      <c r="U64" s="138"/>
      <c r="V64" s="138"/>
      <c r="W64" s="138"/>
      <c r="X64" s="138"/>
      <c r="Y64" s="138"/>
      <c r="Z64" s="138"/>
      <c r="AA64" s="138"/>
      <c r="AB64" s="138"/>
    </row>
    <row r="65" spans="1:28" ht="14.25" customHeight="1">
      <c r="A65" s="1070" t="s">
        <v>3760</v>
      </c>
      <c r="B65" s="1070" t="s">
        <v>275</v>
      </c>
      <c r="C65" s="1070" t="s">
        <v>267</v>
      </c>
      <c r="D65" s="1070" t="s">
        <v>260</v>
      </c>
      <c r="E65" s="1072">
        <v>22943.200000000001</v>
      </c>
      <c r="F65" s="1072">
        <v>-14910</v>
      </c>
      <c r="G65" s="1070" t="s">
        <v>3761</v>
      </c>
      <c r="H65" s="1074">
        <v>27</v>
      </c>
      <c r="I65" s="1028"/>
      <c r="J65" s="1028"/>
      <c r="K65" s="1028"/>
      <c r="L65" s="138"/>
      <c r="M65" s="138"/>
      <c r="N65" s="138"/>
      <c r="O65" s="138"/>
      <c r="P65" s="138"/>
      <c r="Q65" s="138"/>
      <c r="R65" s="138"/>
      <c r="S65" s="138"/>
      <c r="T65" s="138"/>
      <c r="U65" s="138"/>
      <c r="V65" s="138"/>
      <c r="W65" s="138"/>
      <c r="X65" s="138"/>
      <c r="Y65" s="138"/>
      <c r="Z65" s="138"/>
      <c r="AA65" s="138"/>
      <c r="AB65" s="138"/>
    </row>
    <row r="66" spans="1:28" ht="14.25" customHeight="1">
      <c r="A66" s="1070" t="s">
        <v>3762</v>
      </c>
      <c r="B66" s="1070" t="s">
        <v>3443</v>
      </c>
      <c r="C66" s="1070" t="s">
        <v>267</v>
      </c>
      <c r="D66" s="1070" t="s">
        <v>3577</v>
      </c>
      <c r="E66" s="1072">
        <v>56282.9</v>
      </c>
      <c r="F66" s="1072">
        <v>-53444.44</v>
      </c>
      <c r="G66" s="1070" t="s">
        <v>3763</v>
      </c>
      <c r="H66" s="1074">
        <v>26</v>
      </c>
      <c r="I66" s="1028"/>
      <c r="J66" s="1028"/>
      <c r="K66" s="1028"/>
      <c r="L66" s="138"/>
      <c r="M66" s="138"/>
      <c r="N66" s="138"/>
      <c r="O66" s="138"/>
      <c r="P66" s="138"/>
      <c r="Q66" s="138"/>
      <c r="R66" s="138"/>
      <c r="S66" s="138"/>
      <c r="T66" s="138"/>
      <c r="U66" s="138"/>
      <c r="V66" s="138"/>
      <c r="W66" s="138"/>
      <c r="X66" s="138"/>
      <c r="Y66" s="138"/>
      <c r="Z66" s="138"/>
      <c r="AA66" s="138"/>
      <c r="AB66" s="138"/>
    </row>
    <row r="67" spans="1:28" ht="14.25" customHeight="1">
      <c r="A67" s="1070" t="s">
        <v>3764</v>
      </c>
      <c r="B67" s="1070" t="s">
        <v>264</v>
      </c>
      <c r="C67" s="1070" t="s">
        <v>267</v>
      </c>
      <c r="D67" s="1070" t="s">
        <v>260</v>
      </c>
      <c r="E67" s="1072">
        <v>37343.25</v>
      </c>
      <c r="F67" s="1072">
        <v>-31500</v>
      </c>
      <c r="G67" s="1070" t="s">
        <v>3765</v>
      </c>
      <c r="H67" s="1074">
        <v>26</v>
      </c>
      <c r="I67" s="1028"/>
      <c r="J67" s="1028"/>
      <c r="K67" s="1028"/>
      <c r="L67" s="138"/>
      <c r="M67" s="138"/>
      <c r="N67" s="138"/>
      <c r="O67" s="138"/>
      <c r="P67" s="138"/>
      <c r="Q67" s="138"/>
      <c r="R67" s="138"/>
      <c r="S67" s="138"/>
      <c r="T67" s="138"/>
      <c r="U67" s="138"/>
      <c r="V67" s="138"/>
      <c r="W67" s="138"/>
      <c r="X67" s="138"/>
      <c r="Y67" s="138"/>
      <c r="Z67" s="138"/>
      <c r="AA67" s="138"/>
      <c r="AB67" s="138"/>
    </row>
    <row r="68" spans="1:28" ht="14.25" customHeight="1">
      <c r="A68" s="1070" t="s">
        <v>3766</v>
      </c>
      <c r="B68" s="1070" t="s">
        <v>268</v>
      </c>
      <c r="C68" s="1070" t="s">
        <v>267</v>
      </c>
      <c r="D68" s="1070" t="s">
        <v>260</v>
      </c>
      <c r="E68" s="1072">
        <v>27555.439999999999</v>
      </c>
      <c r="F68" s="1072">
        <v>-26142.19</v>
      </c>
      <c r="G68" s="1070" t="s">
        <v>3767</v>
      </c>
      <c r="H68" s="1074">
        <v>26</v>
      </c>
      <c r="I68" s="1028"/>
      <c r="J68" s="1028"/>
      <c r="K68" s="1028"/>
      <c r="L68" s="138"/>
      <c r="M68" s="138"/>
      <c r="N68" s="138"/>
      <c r="O68" s="138"/>
      <c r="P68" s="138"/>
      <c r="Q68" s="138"/>
      <c r="R68" s="138"/>
      <c r="S68" s="138"/>
      <c r="T68" s="138"/>
      <c r="U68" s="138"/>
      <c r="V68" s="138"/>
      <c r="W68" s="138"/>
      <c r="X68" s="138"/>
      <c r="Y68" s="138"/>
      <c r="Z68" s="138"/>
      <c r="AA68" s="138"/>
      <c r="AB68" s="138"/>
    </row>
    <row r="69" spans="1:28" ht="14.25" customHeight="1">
      <c r="A69" s="1070" t="s">
        <v>3632</v>
      </c>
      <c r="B69" s="1070" t="s">
        <v>275</v>
      </c>
      <c r="C69" s="1070" t="s">
        <v>267</v>
      </c>
      <c r="D69" s="1070" t="s">
        <v>277</v>
      </c>
      <c r="E69" s="1072">
        <v>15050</v>
      </c>
      <c r="F69" s="1068"/>
      <c r="G69" s="1070" t="s">
        <v>3633</v>
      </c>
      <c r="H69" s="1074">
        <v>26</v>
      </c>
      <c r="I69" s="1028"/>
      <c r="J69" s="1028"/>
      <c r="K69" s="1028"/>
      <c r="L69" s="138"/>
      <c r="M69" s="138"/>
      <c r="N69" s="138"/>
      <c r="O69" s="138"/>
      <c r="P69" s="138"/>
      <c r="Q69" s="138"/>
      <c r="R69" s="138"/>
      <c r="S69" s="138"/>
      <c r="T69" s="138"/>
      <c r="U69" s="138"/>
      <c r="V69" s="138"/>
      <c r="W69" s="138"/>
      <c r="X69" s="138"/>
      <c r="Y69" s="138"/>
      <c r="Z69" s="138"/>
      <c r="AA69" s="138"/>
      <c r="AB69" s="138"/>
    </row>
    <row r="70" spans="1:28" ht="14.25" customHeight="1">
      <c r="A70" s="1070" t="s">
        <v>3768</v>
      </c>
      <c r="B70" s="1070" t="s">
        <v>278</v>
      </c>
      <c r="C70" s="1070" t="s">
        <v>267</v>
      </c>
      <c r="D70" s="1070" t="s">
        <v>282</v>
      </c>
      <c r="E70" s="1072">
        <v>24148.3</v>
      </c>
      <c r="F70" s="1072">
        <v>-13011</v>
      </c>
      <c r="G70" s="1070" t="s">
        <v>3769</v>
      </c>
      <c r="H70" s="1074">
        <v>25</v>
      </c>
      <c r="I70" s="1028"/>
      <c r="J70" s="1028"/>
      <c r="K70" s="1028"/>
      <c r="L70" s="138"/>
      <c r="M70" s="138"/>
      <c r="N70" s="138"/>
      <c r="O70" s="138"/>
      <c r="P70" s="138"/>
      <c r="Q70" s="138"/>
      <c r="R70" s="138"/>
      <c r="S70" s="138"/>
      <c r="T70" s="138"/>
      <c r="U70" s="138"/>
      <c r="V70" s="138"/>
      <c r="W70" s="138"/>
      <c r="X70" s="138"/>
      <c r="Y70" s="138"/>
      <c r="Z70" s="138"/>
      <c r="AA70" s="138"/>
      <c r="AB70" s="138"/>
    </row>
    <row r="71" spans="1:28" ht="14.25" customHeight="1">
      <c r="A71" s="1070" t="s">
        <v>3770</v>
      </c>
      <c r="B71" s="1070" t="s">
        <v>280</v>
      </c>
      <c r="C71" s="1070" t="s">
        <v>267</v>
      </c>
      <c r="D71" s="1070" t="s">
        <v>260</v>
      </c>
      <c r="E71" s="1072">
        <v>17323.25</v>
      </c>
      <c r="F71" s="1072">
        <v>-14400</v>
      </c>
      <c r="G71" s="1070" t="s">
        <v>3771</v>
      </c>
      <c r="H71" s="1074">
        <v>25</v>
      </c>
      <c r="I71" s="1028"/>
      <c r="J71" s="1028"/>
      <c r="K71" s="1028"/>
      <c r="L71" s="138"/>
      <c r="M71" s="138"/>
      <c r="N71" s="138"/>
      <c r="O71" s="138"/>
      <c r="P71" s="138"/>
      <c r="Q71" s="138"/>
      <c r="R71" s="138"/>
      <c r="S71" s="138"/>
      <c r="T71" s="138"/>
      <c r="U71" s="138"/>
      <c r="V71" s="138"/>
      <c r="W71" s="138"/>
      <c r="X71" s="138"/>
      <c r="Y71" s="138"/>
      <c r="Z71" s="138"/>
      <c r="AA71" s="138"/>
      <c r="AB71" s="138"/>
    </row>
    <row r="72" spans="1:28" ht="14.25" customHeight="1">
      <c r="A72" s="1070" t="s">
        <v>3772</v>
      </c>
      <c r="B72" s="1070" t="s">
        <v>278</v>
      </c>
      <c r="C72" s="1070" t="s">
        <v>267</v>
      </c>
      <c r="D72" s="1070" t="s">
        <v>260</v>
      </c>
      <c r="E72" s="1072">
        <v>24729.89</v>
      </c>
      <c r="F72" s="1072">
        <v>-21121.07</v>
      </c>
      <c r="G72" s="1070" t="s">
        <v>3773</v>
      </c>
      <c r="H72" s="1074">
        <v>24</v>
      </c>
      <c r="I72" s="1028"/>
      <c r="J72" s="1028"/>
      <c r="K72" s="1028"/>
      <c r="L72" s="138"/>
      <c r="M72" s="138"/>
      <c r="N72" s="138"/>
      <c r="O72" s="138"/>
      <c r="P72" s="138"/>
      <c r="Q72" s="138"/>
      <c r="R72" s="138"/>
      <c r="S72" s="138"/>
      <c r="T72" s="138"/>
      <c r="U72" s="138"/>
      <c r="V72" s="138"/>
      <c r="W72" s="138"/>
      <c r="X72" s="138"/>
      <c r="Y72" s="138"/>
      <c r="Z72" s="138"/>
      <c r="AA72" s="138"/>
      <c r="AB72" s="138"/>
    </row>
    <row r="73" spans="1:28" ht="14.25" customHeight="1">
      <c r="A73" s="1070" t="s">
        <v>3774</v>
      </c>
      <c r="B73" s="1070" t="s">
        <v>264</v>
      </c>
      <c r="C73" s="1070" t="s">
        <v>3639</v>
      </c>
      <c r="D73" s="1070" t="s">
        <v>3775</v>
      </c>
      <c r="E73" s="1072">
        <v>39801.279999999999</v>
      </c>
      <c r="F73" s="1068"/>
      <c r="G73" s="1070" t="s">
        <v>3776</v>
      </c>
      <c r="H73" s="1074">
        <v>17</v>
      </c>
      <c r="I73" s="1028"/>
      <c r="J73" s="1028"/>
      <c r="K73" s="1028"/>
      <c r="L73" s="138"/>
      <c r="M73" s="138"/>
      <c r="N73" s="138"/>
      <c r="O73" s="138"/>
      <c r="P73" s="138"/>
      <c r="Q73" s="138"/>
      <c r="R73" s="138"/>
      <c r="S73" s="138"/>
      <c r="T73" s="138"/>
      <c r="U73" s="138"/>
      <c r="V73" s="138"/>
      <c r="W73" s="138"/>
      <c r="X73" s="138"/>
      <c r="Y73" s="138"/>
      <c r="Z73" s="138"/>
      <c r="AA73" s="138"/>
      <c r="AB73" s="138"/>
    </row>
    <row r="74" spans="1:28" ht="14.25" customHeight="1">
      <c r="A74" s="1070" t="s">
        <v>3777</v>
      </c>
      <c r="B74" s="1070" t="s">
        <v>278</v>
      </c>
      <c r="C74" s="1070" t="s">
        <v>267</v>
      </c>
      <c r="D74" s="1070" t="s">
        <v>260</v>
      </c>
      <c r="E74" s="1072">
        <v>27897</v>
      </c>
      <c r="F74" s="1072">
        <v>-21259.15</v>
      </c>
      <c r="G74" s="1070" t="s">
        <v>3778</v>
      </c>
      <c r="H74" s="1074">
        <v>17</v>
      </c>
      <c r="I74" s="1028"/>
      <c r="J74" s="1028"/>
      <c r="K74" s="1028"/>
      <c r="L74" s="138"/>
      <c r="M74" s="138"/>
      <c r="N74" s="138"/>
      <c r="O74" s="138"/>
      <c r="P74" s="138"/>
      <c r="Q74" s="138"/>
      <c r="R74" s="138"/>
      <c r="S74" s="138"/>
      <c r="T74" s="138"/>
      <c r="U74" s="138"/>
      <c r="V74" s="138"/>
      <c r="W74" s="138"/>
      <c r="X74" s="138"/>
      <c r="Y74" s="138"/>
      <c r="Z74" s="138"/>
      <c r="AA74" s="138"/>
      <c r="AB74" s="138"/>
    </row>
    <row r="75" spans="1:28" ht="14.25" customHeight="1">
      <c r="A75" s="1070" t="s">
        <v>3779</v>
      </c>
      <c r="B75" s="1070" t="s">
        <v>268</v>
      </c>
      <c r="C75" s="1070" t="s">
        <v>267</v>
      </c>
      <c r="D75" s="1070" t="s">
        <v>260</v>
      </c>
      <c r="E75" s="1072">
        <v>29849.7</v>
      </c>
      <c r="F75" s="1072">
        <v>-25650</v>
      </c>
      <c r="G75" s="1070" t="s">
        <v>3780</v>
      </c>
      <c r="H75" s="1074">
        <v>16</v>
      </c>
      <c r="I75" s="1028"/>
      <c r="J75" s="1028"/>
      <c r="K75" s="1028"/>
      <c r="L75" s="138"/>
      <c r="M75" s="138"/>
      <c r="N75" s="138"/>
      <c r="O75" s="138"/>
      <c r="P75" s="138"/>
      <c r="Q75" s="138"/>
      <c r="R75" s="138"/>
      <c r="S75" s="138"/>
      <c r="T75" s="138"/>
      <c r="U75" s="138"/>
      <c r="V75" s="138"/>
      <c r="W75" s="138"/>
      <c r="X75" s="138"/>
      <c r="Y75" s="138"/>
      <c r="Z75" s="138"/>
      <c r="AA75" s="138"/>
      <c r="AB75" s="138"/>
    </row>
    <row r="76" spans="1:28" ht="14.25" customHeight="1">
      <c r="A76" s="1070" t="s">
        <v>3781</v>
      </c>
      <c r="B76" s="1070" t="s">
        <v>268</v>
      </c>
      <c r="C76" s="1070" t="s">
        <v>267</v>
      </c>
      <c r="D76" s="1070" t="s">
        <v>277</v>
      </c>
      <c r="E76" s="1072">
        <v>22734.85</v>
      </c>
      <c r="F76" s="1068"/>
      <c r="G76" s="1070" t="s">
        <v>3782</v>
      </c>
      <c r="H76" s="1074">
        <v>16</v>
      </c>
      <c r="I76" s="1028"/>
      <c r="J76" s="1028"/>
      <c r="K76" s="1028"/>
      <c r="L76" s="138"/>
      <c r="M76" s="138"/>
      <c r="N76" s="138"/>
      <c r="O76" s="138"/>
      <c r="P76" s="138"/>
      <c r="Q76" s="138"/>
      <c r="R76" s="138"/>
      <c r="S76" s="138"/>
      <c r="T76" s="138"/>
      <c r="U76" s="138"/>
      <c r="V76" s="138"/>
      <c r="W76" s="138"/>
      <c r="X76" s="138"/>
      <c r="Y76" s="138"/>
      <c r="Z76" s="138"/>
      <c r="AA76" s="138"/>
      <c r="AB76" s="138"/>
    </row>
    <row r="77" spans="1:28" ht="14.25" customHeight="1">
      <c r="A77" s="1070" t="s">
        <v>3783</v>
      </c>
      <c r="B77" s="1070" t="s">
        <v>278</v>
      </c>
      <c r="C77" s="1070" t="s">
        <v>267</v>
      </c>
      <c r="D77" s="1070" t="s">
        <v>260</v>
      </c>
      <c r="E77" s="1072">
        <v>23937.85</v>
      </c>
      <c r="F77" s="1068"/>
      <c r="G77" s="1070" t="s">
        <v>3784</v>
      </c>
      <c r="H77" s="1074">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70" t="s">
        <v>3785</v>
      </c>
      <c r="B78" s="1070" t="s">
        <v>278</v>
      </c>
      <c r="C78" s="1070" t="s">
        <v>3786</v>
      </c>
      <c r="D78" s="1070" t="s">
        <v>3787</v>
      </c>
      <c r="E78" s="1072">
        <v>37860.379999999997</v>
      </c>
      <c r="F78" s="1068"/>
      <c r="G78" s="1070" t="s">
        <v>3788</v>
      </c>
      <c r="H78" s="1074">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70" t="s">
        <v>3789</v>
      </c>
      <c r="B79" s="1070" t="s">
        <v>275</v>
      </c>
      <c r="C79" s="1070" t="s">
        <v>267</v>
      </c>
      <c r="D79" s="1070" t="s">
        <v>273</v>
      </c>
      <c r="E79" s="1072">
        <v>17250</v>
      </c>
      <c r="F79" s="1072">
        <v>-10994</v>
      </c>
      <c r="G79" s="1070" t="s">
        <v>3790</v>
      </c>
      <c r="H79" s="1074">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70" t="s">
        <v>3791</v>
      </c>
      <c r="B80" s="1070" t="s">
        <v>3343</v>
      </c>
      <c r="C80" s="1070" t="s">
        <v>267</v>
      </c>
      <c r="D80" s="1070" t="s">
        <v>265</v>
      </c>
      <c r="E80" s="1072">
        <v>9050</v>
      </c>
      <c r="F80" s="1068"/>
      <c r="G80" s="1070" t="s">
        <v>3792</v>
      </c>
      <c r="H80" s="1074">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70" t="s">
        <v>3793</v>
      </c>
      <c r="B81" s="1070" t="s">
        <v>3553</v>
      </c>
      <c r="C81" s="1070" t="s">
        <v>3438</v>
      </c>
      <c r="D81" s="1070" t="s">
        <v>3794</v>
      </c>
      <c r="E81" s="1072">
        <v>10550</v>
      </c>
      <c r="F81" s="1068"/>
      <c r="G81" s="1070" t="s">
        <v>3795</v>
      </c>
      <c r="H81" s="1074">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70" t="s">
        <v>3796</v>
      </c>
      <c r="B82" s="1070" t="s">
        <v>259</v>
      </c>
      <c r="C82" s="1070" t="s">
        <v>267</v>
      </c>
      <c r="D82" s="1070" t="s">
        <v>3577</v>
      </c>
      <c r="E82" s="1072">
        <v>48197.8</v>
      </c>
      <c r="F82" s="1072">
        <v>-42300</v>
      </c>
      <c r="G82" s="1070" t="s">
        <v>3797</v>
      </c>
      <c r="H82" s="1074">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70" t="s">
        <v>3798</v>
      </c>
      <c r="B83" s="1070" t="s">
        <v>275</v>
      </c>
      <c r="C83" s="1070" t="s">
        <v>267</v>
      </c>
      <c r="D83" s="1070" t="s">
        <v>277</v>
      </c>
      <c r="E83" s="1072">
        <v>21402.85</v>
      </c>
      <c r="F83" s="1068"/>
      <c r="G83" s="1070" t="s">
        <v>3799</v>
      </c>
      <c r="H83" s="1074">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70" t="s">
        <v>3800</v>
      </c>
      <c r="B84" s="1070" t="s">
        <v>275</v>
      </c>
      <c r="C84" s="1070" t="s">
        <v>267</v>
      </c>
      <c r="D84" s="1070" t="s">
        <v>273</v>
      </c>
      <c r="E84" s="1072">
        <v>18179.95</v>
      </c>
      <c r="F84" s="1068"/>
      <c r="G84" s="1070" t="s">
        <v>3801</v>
      </c>
      <c r="H84" s="1074">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70" t="s">
        <v>3802</v>
      </c>
      <c r="B85" s="1070" t="s">
        <v>3476</v>
      </c>
      <c r="C85" s="1070" t="s">
        <v>3803</v>
      </c>
      <c r="D85" s="1070" t="s">
        <v>3804</v>
      </c>
      <c r="E85" s="1072">
        <v>22550</v>
      </c>
      <c r="F85" s="1068"/>
      <c r="G85" s="1070" t="s">
        <v>3805</v>
      </c>
      <c r="H85" s="1074">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70" t="s">
        <v>3806</v>
      </c>
      <c r="B86" s="1070" t="s">
        <v>3447</v>
      </c>
      <c r="C86" s="1070" t="s">
        <v>3436</v>
      </c>
      <c r="D86" s="1070" t="s">
        <v>3807</v>
      </c>
      <c r="E86" s="1072">
        <v>5450</v>
      </c>
      <c r="F86" s="1068"/>
      <c r="G86" s="1070" t="s">
        <v>3808</v>
      </c>
      <c r="H86" s="1074">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70" t="s">
        <v>3809</v>
      </c>
      <c r="B87" s="1070" t="s">
        <v>275</v>
      </c>
      <c r="C87" s="1070" t="s">
        <v>267</v>
      </c>
      <c r="D87" s="1070" t="s">
        <v>260</v>
      </c>
      <c r="E87" s="1072">
        <v>20650</v>
      </c>
      <c r="F87" s="1068"/>
      <c r="G87" s="1070" t="s">
        <v>3810</v>
      </c>
      <c r="H87" s="1074">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70" t="s">
        <v>3811</v>
      </c>
      <c r="B88" s="1070" t="s">
        <v>3343</v>
      </c>
      <c r="C88" s="1070" t="s">
        <v>267</v>
      </c>
      <c r="D88" s="1070" t="s">
        <v>260</v>
      </c>
      <c r="E88" s="1072">
        <v>8550</v>
      </c>
      <c r="F88" s="1068"/>
      <c r="G88" s="1070" t="s">
        <v>3812</v>
      </c>
      <c r="H88" s="1074">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70" t="s">
        <v>3813</v>
      </c>
      <c r="B89" s="1070" t="s">
        <v>278</v>
      </c>
      <c r="C89" s="1070" t="s">
        <v>267</v>
      </c>
      <c r="D89" s="1070" t="s">
        <v>260</v>
      </c>
      <c r="E89" s="1072">
        <v>25550</v>
      </c>
      <c r="F89" s="1068"/>
      <c r="G89" s="1070" t="s">
        <v>3814</v>
      </c>
      <c r="H89" s="1074">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70" t="s">
        <v>3815</v>
      </c>
      <c r="B90" s="1070" t="s">
        <v>278</v>
      </c>
      <c r="C90" s="1070" t="s">
        <v>3437</v>
      </c>
      <c r="D90" s="1070" t="s">
        <v>3816</v>
      </c>
      <c r="E90" s="1072">
        <v>28550</v>
      </c>
      <c r="F90" s="1068"/>
      <c r="G90" s="1070" t="s">
        <v>3817</v>
      </c>
      <c r="H90" s="1074">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70" t="s">
        <v>3818</v>
      </c>
      <c r="B91" s="1070" t="s">
        <v>275</v>
      </c>
      <c r="C91" s="1070" t="s">
        <v>267</v>
      </c>
      <c r="D91" s="1070" t="s">
        <v>273</v>
      </c>
      <c r="E91" s="1072">
        <v>17050</v>
      </c>
      <c r="F91" s="1068"/>
      <c r="G91" s="1070" t="s">
        <v>3819</v>
      </c>
      <c r="H91" s="1074">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70" t="s">
        <v>3820</v>
      </c>
      <c r="B92" s="1070" t="s">
        <v>259</v>
      </c>
      <c r="C92" s="1070" t="s">
        <v>267</v>
      </c>
      <c r="D92" s="1070" t="s">
        <v>260</v>
      </c>
      <c r="E92" s="1072">
        <v>31300</v>
      </c>
      <c r="F92" s="1068"/>
      <c r="G92" s="1070" t="s">
        <v>3821</v>
      </c>
      <c r="H92" s="1074">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70" t="s">
        <v>3822</v>
      </c>
      <c r="B93" s="1070" t="s">
        <v>264</v>
      </c>
      <c r="C93" s="1070" t="s">
        <v>267</v>
      </c>
      <c r="D93" s="1070" t="s">
        <v>262</v>
      </c>
      <c r="E93" s="1072">
        <v>47388.75</v>
      </c>
      <c r="F93" s="1068"/>
      <c r="G93" s="1070" t="s">
        <v>3823</v>
      </c>
      <c r="H93" s="1074">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70" t="s">
        <v>3824</v>
      </c>
      <c r="B94" s="1070" t="s">
        <v>268</v>
      </c>
      <c r="C94" s="1070" t="s">
        <v>267</v>
      </c>
      <c r="D94" s="1070" t="s">
        <v>277</v>
      </c>
      <c r="E94" s="1072">
        <v>24050</v>
      </c>
      <c r="F94" s="1068"/>
      <c r="G94" s="1070" t="s">
        <v>3825</v>
      </c>
      <c r="H94" s="1074">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70" t="s">
        <v>3826</v>
      </c>
      <c r="B95" s="1070" t="s">
        <v>278</v>
      </c>
      <c r="C95" s="1070" t="s">
        <v>267</v>
      </c>
      <c r="D95" s="1070" t="s">
        <v>260</v>
      </c>
      <c r="E95" s="1072">
        <v>29837.9</v>
      </c>
      <c r="F95" s="1068"/>
      <c r="G95" s="1070" t="s">
        <v>3827</v>
      </c>
      <c r="H95" s="1074">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70" t="s">
        <v>3828</v>
      </c>
      <c r="B96" s="1070" t="s">
        <v>278</v>
      </c>
      <c r="C96" s="1070" t="s">
        <v>267</v>
      </c>
      <c r="D96" s="1070" t="s">
        <v>277</v>
      </c>
      <c r="E96" s="1072">
        <v>18250</v>
      </c>
      <c r="F96" s="1068"/>
      <c r="G96" s="1070" t="s">
        <v>3829</v>
      </c>
      <c r="H96" s="1074">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70" t="s">
        <v>3830</v>
      </c>
      <c r="B97" s="1070" t="s">
        <v>268</v>
      </c>
      <c r="C97" s="1070" t="s">
        <v>267</v>
      </c>
      <c r="D97" s="1070" t="s">
        <v>260</v>
      </c>
      <c r="E97" s="1072">
        <v>24300</v>
      </c>
      <c r="F97" s="1068"/>
      <c r="G97" s="1070" t="s">
        <v>3831</v>
      </c>
      <c r="H97" s="1074">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70" t="s">
        <v>3832</v>
      </c>
      <c r="B98" s="1070" t="s">
        <v>278</v>
      </c>
      <c r="C98" s="1070" t="s">
        <v>267</v>
      </c>
      <c r="D98" s="1070" t="s">
        <v>277</v>
      </c>
      <c r="E98" s="1072">
        <v>16550</v>
      </c>
      <c r="F98" s="1068"/>
      <c r="G98" s="1070" t="s">
        <v>3833</v>
      </c>
      <c r="H98" s="1074">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70" t="s">
        <v>3834</v>
      </c>
      <c r="B99" s="1070" t="s">
        <v>278</v>
      </c>
      <c r="C99" s="1070" t="s">
        <v>3355</v>
      </c>
      <c r="D99" s="1070" t="s">
        <v>3835</v>
      </c>
      <c r="E99" s="1072">
        <v>53050</v>
      </c>
      <c r="F99" s="1068"/>
      <c r="G99" s="1070" t="s">
        <v>3836</v>
      </c>
      <c r="H99" s="1074">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70" t="s">
        <v>3837</v>
      </c>
      <c r="B100" s="1070" t="s">
        <v>280</v>
      </c>
      <c r="C100" s="1070" t="s">
        <v>3838</v>
      </c>
      <c r="D100" s="1070" t="s">
        <v>3839</v>
      </c>
      <c r="E100" s="1072">
        <v>10300</v>
      </c>
      <c r="F100" s="1068"/>
      <c r="G100" s="1070" t="s">
        <v>3840</v>
      </c>
      <c r="H100" s="1074">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70" t="s">
        <v>3841</v>
      </c>
      <c r="B101" s="1070" t="s">
        <v>3638</v>
      </c>
      <c r="C101" s="1070" t="s">
        <v>267</v>
      </c>
      <c r="D101" s="1070" t="s">
        <v>3647</v>
      </c>
      <c r="E101" s="1072">
        <v>2550</v>
      </c>
      <c r="F101" s="1068"/>
      <c r="G101" s="1070" t="s">
        <v>3842</v>
      </c>
      <c r="H101" s="1074">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70" t="s">
        <v>3843</v>
      </c>
      <c r="B102" s="1070" t="s">
        <v>3638</v>
      </c>
      <c r="C102" s="1070" t="s">
        <v>3469</v>
      </c>
      <c r="D102" s="1070" t="s">
        <v>3844</v>
      </c>
      <c r="E102" s="1072">
        <v>2300</v>
      </c>
      <c r="F102" s="1068"/>
      <c r="G102" s="1070" t="s">
        <v>3845</v>
      </c>
      <c r="H102" s="1074">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70" t="s">
        <v>3846</v>
      </c>
      <c r="B103" s="1070" t="s">
        <v>264</v>
      </c>
      <c r="C103" s="1070" t="s">
        <v>267</v>
      </c>
      <c r="D103" s="1070" t="s">
        <v>260</v>
      </c>
      <c r="E103" s="1072">
        <v>36050</v>
      </c>
      <c r="F103" s="1068"/>
      <c r="G103" s="1070" t="s">
        <v>3847</v>
      </c>
      <c r="H103" s="1074">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70" t="s">
        <v>3848</v>
      </c>
      <c r="B104" s="1070" t="s">
        <v>259</v>
      </c>
      <c r="C104" s="1070" t="s">
        <v>267</v>
      </c>
      <c r="D104" s="1070" t="s">
        <v>260</v>
      </c>
      <c r="E104" s="1072">
        <v>33550</v>
      </c>
      <c r="F104" s="1068"/>
      <c r="G104" s="1070" t="s">
        <v>3849</v>
      </c>
      <c r="H104" s="1074">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70" t="s">
        <v>3850</v>
      </c>
      <c r="B105" s="1070" t="s">
        <v>259</v>
      </c>
      <c r="C105" s="1070" t="s">
        <v>3547</v>
      </c>
      <c r="D105" s="1070" t="s">
        <v>3851</v>
      </c>
      <c r="E105" s="1072">
        <v>20750</v>
      </c>
      <c r="F105" s="1068"/>
      <c r="G105" s="1070" t="s">
        <v>3852</v>
      </c>
      <c r="H105" s="1074">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70" t="s">
        <v>3853</v>
      </c>
      <c r="B106" s="1070" t="s">
        <v>268</v>
      </c>
      <c r="C106" s="1070" t="s">
        <v>267</v>
      </c>
      <c r="D106" s="1070" t="s">
        <v>260</v>
      </c>
      <c r="E106" s="1072">
        <v>26050</v>
      </c>
      <c r="F106" s="1068"/>
      <c r="G106" s="1070" t="s">
        <v>3854</v>
      </c>
      <c r="H106" s="1074">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70" t="s">
        <v>3855</v>
      </c>
      <c r="B107" s="1070" t="s">
        <v>268</v>
      </c>
      <c r="C107" s="1070" t="s">
        <v>3547</v>
      </c>
      <c r="D107" s="1070" t="s">
        <v>3548</v>
      </c>
      <c r="E107" s="1072">
        <v>29050</v>
      </c>
      <c r="F107" s="1068"/>
      <c r="G107" s="1070" t="s">
        <v>3856</v>
      </c>
      <c r="H107" s="1074">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70" t="s">
        <v>3857</v>
      </c>
      <c r="B108" s="1070" t="s">
        <v>275</v>
      </c>
      <c r="C108" s="1070" t="s">
        <v>3473</v>
      </c>
      <c r="D108" s="1070" t="s">
        <v>3858</v>
      </c>
      <c r="E108" s="1072">
        <v>35550</v>
      </c>
      <c r="F108" s="1068"/>
      <c r="G108" s="1070" t="s">
        <v>3859</v>
      </c>
      <c r="H108" s="1074">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70" t="s">
        <v>3860</v>
      </c>
      <c r="B109" s="1070" t="s">
        <v>3343</v>
      </c>
      <c r="C109" s="1070" t="s">
        <v>267</v>
      </c>
      <c r="D109" s="1070" t="s">
        <v>265</v>
      </c>
      <c r="E109" s="1072">
        <v>4050</v>
      </c>
      <c r="F109" s="1068"/>
      <c r="G109" s="1070" t="s">
        <v>3861</v>
      </c>
      <c r="H109" s="1074">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52" t="s">
        <v>270</v>
      </c>
      <c r="B112" s="1052" t="s">
        <v>271</v>
      </c>
      <c r="C112" s="1052" t="s">
        <v>267</v>
      </c>
      <c r="D112" s="1052" t="s">
        <v>265</v>
      </c>
      <c r="E112" s="1050">
        <v>9521.7099999999991</v>
      </c>
      <c r="F112" s="1049"/>
      <c r="G112" s="1052" t="s">
        <v>272</v>
      </c>
      <c r="H112" s="1051">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52" t="s">
        <v>3413</v>
      </c>
      <c r="B113" s="1052" t="s">
        <v>275</v>
      </c>
      <c r="C113" s="1052" t="s">
        <v>3414</v>
      </c>
      <c r="D113" s="1052" t="s">
        <v>3661</v>
      </c>
      <c r="E113" s="1050">
        <v>36739.79</v>
      </c>
      <c r="F113" s="1049"/>
      <c r="G113" s="1052" t="s">
        <v>3415</v>
      </c>
      <c r="H113" s="1051">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52" t="s">
        <v>3448</v>
      </c>
      <c r="B114" s="1052" t="s">
        <v>3447</v>
      </c>
      <c r="C114" s="1052" t="s">
        <v>267</v>
      </c>
      <c r="D114" s="1052" t="s">
        <v>1413</v>
      </c>
      <c r="E114" s="1050">
        <v>11948.62</v>
      </c>
      <c r="F114" s="1049"/>
      <c r="G114" s="1052" t="s">
        <v>3449</v>
      </c>
      <c r="H114" s="1051">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0" t="s">
        <v>252</v>
      </c>
      <c r="B1" s="1066" t="s">
        <v>9</v>
      </c>
      <c r="C1" s="1066" t="s">
        <v>253</v>
      </c>
      <c r="D1" s="1066" t="s">
        <v>254</v>
      </c>
      <c r="E1" s="1062" t="s">
        <v>843</v>
      </c>
      <c r="F1" s="1062" t="s">
        <v>905</v>
      </c>
      <c r="G1" s="1060" t="s">
        <v>257</v>
      </c>
      <c r="H1" s="1064" t="s">
        <v>258</v>
      </c>
      <c r="I1" s="138"/>
      <c r="J1" s="138"/>
      <c r="K1" s="990">
        <v>45230</v>
      </c>
      <c r="L1" s="140" t="s">
        <v>255</v>
      </c>
      <c r="M1" s="140" t="s">
        <v>256</v>
      </c>
      <c r="N1" s="138"/>
      <c r="O1" s="138"/>
      <c r="P1" s="138"/>
      <c r="Q1" s="138"/>
      <c r="R1" s="138"/>
      <c r="S1" s="138"/>
      <c r="T1" s="138"/>
      <c r="U1" s="138"/>
      <c r="V1" s="138"/>
      <c r="W1" s="138"/>
      <c r="X1" s="138"/>
      <c r="Y1" s="138"/>
      <c r="Z1" s="138"/>
    </row>
    <row r="2" spans="1:26" ht="14.25" customHeight="1">
      <c r="A2" s="1061" t="s">
        <v>3441</v>
      </c>
      <c r="B2" s="1061" t="s">
        <v>264</v>
      </c>
      <c r="C2" s="1061" t="s">
        <v>267</v>
      </c>
      <c r="D2" s="1061" t="s">
        <v>265</v>
      </c>
      <c r="E2" s="1063">
        <v>33666.97</v>
      </c>
      <c r="F2" s="1063">
        <v>-31504.85</v>
      </c>
      <c r="G2" s="1061" t="s">
        <v>3442</v>
      </c>
      <c r="H2" s="1058">
        <v>142</v>
      </c>
      <c r="I2" s="138"/>
      <c r="J2" s="138"/>
      <c r="K2" s="140" t="s">
        <v>261</v>
      </c>
      <c r="L2" s="1007">
        <f t="shared" ref="L2:M2" si="0">+SUM(E2:E9963)</f>
        <v>3059537.15</v>
      </c>
      <c r="M2" s="1008">
        <f t="shared" si="0"/>
        <v>-2668371.9500000002</v>
      </c>
      <c r="N2" s="138"/>
      <c r="O2" s="138"/>
      <c r="P2" s="138"/>
      <c r="Q2" s="138"/>
      <c r="R2" s="138"/>
      <c r="S2" s="138"/>
      <c r="T2" s="138"/>
      <c r="U2" s="138"/>
      <c r="V2" s="138"/>
      <c r="W2" s="138"/>
      <c r="X2" s="138"/>
      <c r="Y2" s="138"/>
      <c r="Z2" s="138"/>
    </row>
    <row r="3" spans="1:26" ht="14.25" customHeight="1">
      <c r="A3" s="1061" t="s">
        <v>3439</v>
      </c>
      <c r="B3" s="1061" t="s">
        <v>3443</v>
      </c>
      <c r="C3" s="1061" t="s">
        <v>267</v>
      </c>
      <c r="D3" s="1061" t="s">
        <v>262</v>
      </c>
      <c r="E3" s="1063">
        <v>56706.1</v>
      </c>
      <c r="F3" s="1063">
        <v>-57628.2</v>
      </c>
      <c r="G3" s="1061" t="s">
        <v>3440</v>
      </c>
      <c r="H3" s="1058">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61" t="s">
        <v>3460</v>
      </c>
      <c r="B4" s="1061" t="s">
        <v>264</v>
      </c>
      <c r="C4" s="1061" t="s">
        <v>267</v>
      </c>
      <c r="D4" s="1061" t="s">
        <v>265</v>
      </c>
      <c r="E4" s="1063">
        <v>31163.98</v>
      </c>
      <c r="F4" s="1063">
        <v>-32628.75</v>
      </c>
      <c r="G4" s="1061" t="s">
        <v>3461</v>
      </c>
      <c r="H4" s="1058">
        <v>116</v>
      </c>
      <c r="I4" s="138"/>
      <c r="J4" s="138"/>
      <c r="K4" s="138"/>
      <c r="L4" s="138"/>
      <c r="M4" s="138"/>
      <c r="N4" s="138"/>
      <c r="O4" s="138"/>
      <c r="P4" s="138"/>
      <c r="Q4" s="138"/>
      <c r="R4" s="138"/>
      <c r="S4" s="138"/>
      <c r="T4" s="138"/>
      <c r="U4" s="138"/>
      <c r="V4" s="138"/>
      <c r="W4" s="138"/>
      <c r="X4" s="138"/>
      <c r="Y4" s="138"/>
      <c r="Z4" s="138"/>
    </row>
    <row r="5" spans="1:26" ht="14.25" customHeight="1">
      <c r="A5" s="1061" t="s">
        <v>3458</v>
      </c>
      <c r="B5" s="1061" t="s">
        <v>264</v>
      </c>
      <c r="C5" s="1061" t="s">
        <v>267</v>
      </c>
      <c r="D5" s="1061" t="s">
        <v>978</v>
      </c>
      <c r="E5" s="1063">
        <v>38081.07</v>
      </c>
      <c r="F5" s="1063">
        <v>-39936.75</v>
      </c>
      <c r="G5" s="1061" t="s">
        <v>3459</v>
      </c>
      <c r="H5" s="1058">
        <v>111</v>
      </c>
      <c r="I5" s="138"/>
      <c r="J5" s="138"/>
      <c r="K5" s="138"/>
      <c r="L5" s="138"/>
      <c r="M5" s="138"/>
      <c r="N5" s="138"/>
      <c r="O5" s="138"/>
      <c r="P5" s="138"/>
      <c r="Q5" s="138"/>
      <c r="R5" s="138"/>
      <c r="S5" s="138"/>
      <c r="T5" s="138"/>
      <c r="U5" s="138"/>
      <c r="V5" s="138"/>
      <c r="W5" s="138"/>
      <c r="X5" s="138"/>
      <c r="Y5" s="138"/>
      <c r="Z5" s="138"/>
    </row>
    <row r="6" spans="1:26" ht="14.25" customHeight="1">
      <c r="A6" s="1061" t="s">
        <v>3454</v>
      </c>
      <c r="B6" s="1061" t="s">
        <v>3443</v>
      </c>
      <c r="C6" s="1061" t="s">
        <v>267</v>
      </c>
      <c r="D6" s="1061" t="s">
        <v>262</v>
      </c>
      <c r="E6" s="1063">
        <v>50511.98</v>
      </c>
      <c r="F6" s="1063">
        <v>-51427.95</v>
      </c>
      <c r="G6" s="1061" t="s">
        <v>3455</v>
      </c>
      <c r="H6" s="1058">
        <v>108</v>
      </c>
      <c r="I6" s="138"/>
      <c r="J6" s="138"/>
      <c r="K6" s="139" t="s">
        <v>3322</v>
      </c>
      <c r="L6" s="1006">
        <f>SUM(E2:E12)</f>
        <v>532950.78999999992</v>
      </c>
      <c r="M6" s="1006">
        <f>SUM(F2:F12)</f>
        <v>-378366.05</v>
      </c>
      <c r="N6" s="138"/>
      <c r="O6" s="138"/>
      <c r="P6" s="138"/>
      <c r="Q6" s="138"/>
      <c r="R6" s="138"/>
      <c r="S6" s="138"/>
      <c r="T6" s="138"/>
      <c r="U6" s="138"/>
      <c r="V6" s="138"/>
      <c r="W6" s="138"/>
      <c r="X6" s="138"/>
      <c r="Y6" s="138"/>
      <c r="Z6" s="138"/>
    </row>
    <row r="7" spans="1:26" ht="14.25" customHeight="1">
      <c r="A7" s="1061" t="s">
        <v>3452</v>
      </c>
      <c r="B7" s="1061" t="s">
        <v>3443</v>
      </c>
      <c r="C7" s="1061" t="s">
        <v>267</v>
      </c>
      <c r="D7" s="1061" t="s">
        <v>3462</v>
      </c>
      <c r="E7" s="1063">
        <v>54659.17</v>
      </c>
      <c r="F7" s="1063">
        <v>-57051.75</v>
      </c>
      <c r="G7" s="1061" t="s">
        <v>3453</v>
      </c>
      <c r="H7" s="1058">
        <v>104</v>
      </c>
      <c r="I7" s="138"/>
      <c r="J7" s="138"/>
      <c r="K7" s="138"/>
      <c r="L7" s="1013">
        <v>2</v>
      </c>
      <c r="M7" s="145"/>
      <c r="N7" s="138"/>
      <c r="O7" s="138"/>
      <c r="P7" s="138"/>
      <c r="Q7" s="138"/>
      <c r="R7" s="138"/>
      <c r="S7" s="138"/>
      <c r="T7" s="138"/>
      <c r="U7" s="138"/>
      <c r="V7" s="138"/>
      <c r="W7" s="138"/>
      <c r="X7" s="138"/>
      <c r="Y7" s="138"/>
      <c r="Z7" s="138"/>
    </row>
    <row r="8" spans="1:26" ht="14.25" customHeight="1">
      <c r="A8" s="1061" t="s">
        <v>3456</v>
      </c>
      <c r="B8" s="1061" t="s">
        <v>3443</v>
      </c>
      <c r="C8" s="1061" t="s">
        <v>267</v>
      </c>
      <c r="D8" s="1061" t="s">
        <v>3462</v>
      </c>
      <c r="E8" s="1063">
        <v>48328.17</v>
      </c>
      <c r="F8" s="1063">
        <v>-51136.05</v>
      </c>
      <c r="G8" s="1061" t="s">
        <v>3457</v>
      </c>
      <c r="H8" s="1058">
        <v>97</v>
      </c>
      <c r="I8" s="138"/>
      <c r="J8" s="138"/>
      <c r="K8" s="138"/>
      <c r="L8" s="4"/>
      <c r="M8" s="144"/>
      <c r="N8" s="138"/>
      <c r="O8" s="138"/>
      <c r="P8" s="138"/>
      <c r="Q8" s="138"/>
      <c r="R8" s="138"/>
      <c r="S8" s="138"/>
      <c r="T8" s="138"/>
      <c r="U8" s="138"/>
      <c r="V8" s="138"/>
      <c r="W8" s="138"/>
      <c r="X8" s="138"/>
      <c r="Y8" s="138"/>
      <c r="Z8" s="138"/>
    </row>
    <row r="9" spans="1:26" ht="14.25" customHeight="1">
      <c r="A9" s="1061" t="s">
        <v>3450</v>
      </c>
      <c r="B9" s="1061" t="s">
        <v>3443</v>
      </c>
      <c r="C9" s="1061" t="s">
        <v>267</v>
      </c>
      <c r="D9" s="1061" t="s">
        <v>3462</v>
      </c>
      <c r="E9" s="1063">
        <v>57229.1</v>
      </c>
      <c r="F9" s="1059"/>
      <c r="G9" s="1061" t="s">
        <v>3451</v>
      </c>
      <c r="H9" s="1058">
        <v>93</v>
      </c>
      <c r="I9" s="138"/>
      <c r="J9" s="138"/>
      <c r="K9" s="139" t="s">
        <v>3346</v>
      </c>
      <c r="L9" s="1006">
        <v>0</v>
      </c>
      <c r="M9" s="1006">
        <v>0</v>
      </c>
      <c r="N9" s="138"/>
      <c r="O9" s="138"/>
      <c r="P9" s="138"/>
      <c r="Q9" s="138"/>
      <c r="R9" s="138"/>
      <c r="S9" s="138"/>
      <c r="T9" s="138"/>
      <c r="U9" s="138"/>
      <c r="V9" s="138"/>
      <c r="W9" s="138"/>
      <c r="X9" s="138"/>
      <c r="Y9" s="138"/>
      <c r="Z9" s="138"/>
    </row>
    <row r="10" spans="1:26" ht="14.25" customHeight="1">
      <c r="A10" s="1061" t="s">
        <v>3485</v>
      </c>
      <c r="B10" s="1061" t="s">
        <v>3443</v>
      </c>
      <c r="C10" s="1061" t="s">
        <v>267</v>
      </c>
      <c r="D10" s="1061" t="s">
        <v>262</v>
      </c>
      <c r="E10" s="1063">
        <v>58141.01</v>
      </c>
      <c r="F10" s="1059"/>
      <c r="G10" s="1061" t="s">
        <v>3486</v>
      </c>
      <c r="H10" s="1058">
        <v>90</v>
      </c>
      <c r="I10" s="138"/>
      <c r="J10" s="138"/>
      <c r="K10" s="138"/>
      <c r="L10" s="1014">
        <v>0</v>
      </c>
      <c r="M10" s="145"/>
      <c r="N10" s="138"/>
      <c r="O10" s="138"/>
      <c r="P10" s="138"/>
      <c r="Q10" s="138"/>
      <c r="R10" s="138"/>
      <c r="S10" s="138"/>
      <c r="T10" s="138"/>
      <c r="U10" s="138"/>
      <c r="V10" s="138"/>
      <c r="W10" s="138"/>
      <c r="X10" s="138"/>
      <c r="Y10" s="138"/>
      <c r="Z10" s="138"/>
    </row>
    <row r="11" spans="1:26" ht="14.25" customHeight="1">
      <c r="A11" s="1061" t="s">
        <v>3489</v>
      </c>
      <c r="B11" s="1061" t="s">
        <v>3443</v>
      </c>
      <c r="C11" s="1061" t="s">
        <v>267</v>
      </c>
      <c r="D11" s="1061" t="s">
        <v>262</v>
      </c>
      <c r="E11" s="1063">
        <v>48171.23</v>
      </c>
      <c r="F11" s="1059"/>
      <c r="G11" s="1061" t="s">
        <v>3490</v>
      </c>
      <c r="H11" s="1058">
        <v>90</v>
      </c>
      <c r="I11" s="138"/>
      <c r="J11" s="138"/>
      <c r="K11" s="138"/>
      <c r="L11" s="138"/>
      <c r="M11" s="138"/>
      <c r="N11" s="138"/>
      <c r="O11" s="138"/>
      <c r="P11" s="138"/>
      <c r="Q11" s="138"/>
      <c r="R11" s="138"/>
      <c r="S11" s="138"/>
      <c r="T11" s="138"/>
      <c r="U11" s="138"/>
      <c r="V11" s="138"/>
      <c r="W11" s="138"/>
      <c r="X11" s="138"/>
      <c r="Y11" s="138"/>
      <c r="Z11" s="138"/>
    </row>
    <row r="12" spans="1:26" ht="14.25" customHeight="1">
      <c r="A12" s="1061" t="s">
        <v>3499</v>
      </c>
      <c r="B12" s="1061" t="s">
        <v>3443</v>
      </c>
      <c r="C12" s="1061" t="s">
        <v>267</v>
      </c>
      <c r="D12" s="1061" t="s">
        <v>3462</v>
      </c>
      <c r="E12" s="1063">
        <v>56292.01</v>
      </c>
      <c r="F12" s="1063">
        <v>-57051.75</v>
      </c>
      <c r="G12" s="1061" t="s">
        <v>3500</v>
      </c>
      <c r="H12" s="1058">
        <v>90</v>
      </c>
      <c r="I12" s="138"/>
      <c r="J12" s="138"/>
      <c r="K12" s="138"/>
      <c r="L12" s="138"/>
      <c r="M12" s="138"/>
      <c r="N12" s="138"/>
      <c r="O12" s="138"/>
      <c r="P12" s="138"/>
      <c r="Q12" s="138"/>
      <c r="R12" s="138"/>
      <c r="S12" s="138"/>
      <c r="T12" s="138"/>
      <c r="U12" s="138"/>
      <c r="V12" s="138"/>
      <c r="W12" s="138"/>
      <c r="X12" s="138"/>
      <c r="Y12" s="138"/>
      <c r="Z12" s="138"/>
    </row>
    <row r="13" spans="1:26" ht="14.25" customHeight="1">
      <c r="A13" s="1061" t="s">
        <v>3487</v>
      </c>
      <c r="B13" s="1061" t="s">
        <v>3443</v>
      </c>
      <c r="C13" s="1061" t="s">
        <v>267</v>
      </c>
      <c r="D13" s="1061" t="s">
        <v>262</v>
      </c>
      <c r="E13" s="1063">
        <v>56073.919999999998</v>
      </c>
      <c r="F13" s="1063">
        <v>-58869.3</v>
      </c>
      <c r="G13" s="1061" t="s">
        <v>3488</v>
      </c>
      <c r="H13" s="1065">
        <v>86</v>
      </c>
      <c r="I13" s="138"/>
      <c r="J13" s="138"/>
      <c r="K13" s="138"/>
      <c r="L13" s="138"/>
      <c r="M13" s="138"/>
      <c r="N13" s="138"/>
      <c r="O13" s="138"/>
      <c r="P13" s="138"/>
      <c r="Q13" s="138"/>
      <c r="R13" s="138"/>
      <c r="S13" s="138"/>
      <c r="T13" s="138"/>
      <c r="U13" s="138"/>
      <c r="V13" s="138"/>
      <c r="W13" s="138"/>
      <c r="X13" s="138"/>
      <c r="Y13" s="138"/>
      <c r="Z13" s="138"/>
    </row>
    <row r="14" spans="1:26" ht="14.25" customHeight="1">
      <c r="A14" s="1061" t="s">
        <v>3503</v>
      </c>
      <c r="B14" s="1061" t="s">
        <v>3443</v>
      </c>
      <c r="C14" s="1061" t="s">
        <v>267</v>
      </c>
      <c r="D14" s="1061" t="s">
        <v>279</v>
      </c>
      <c r="E14" s="1063">
        <v>37397</v>
      </c>
      <c r="F14" s="1063">
        <v>-39440.1</v>
      </c>
      <c r="G14" s="1061" t="s">
        <v>3504</v>
      </c>
      <c r="H14" s="1065">
        <v>86</v>
      </c>
      <c r="I14" s="138"/>
      <c r="J14" s="138"/>
      <c r="K14" s="138"/>
      <c r="L14" s="138"/>
      <c r="M14" s="138"/>
      <c r="N14" s="138"/>
      <c r="O14" s="138"/>
      <c r="P14" s="138"/>
      <c r="Q14" s="138"/>
      <c r="R14" s="138"/>
      <c r="S14" s="138"/>
      <c r="T14" s="138"/>
      <c r="U14" s="138"/>
      <c r="V14" s="138"/>
      <c r="W14" s="138"/>
      <c r="X14" s="138"/>
      <c r="Y14" s="138"/>
      <c r="Z14" s="138"/>
    </row>
    <row r="15" spans="1:26" ht="14.25" customHeight="1">
      <c r="A15" s="1061" t="s">
        <v>3491</v>
      </c>
      <c r="B15" s="1061" t="s">
        <v>3443</v>
      </c>
      <c r="C15" s="1061" t="s">
        <v>267</v>
      </c>
      <c r="D15" s="1061" t="s">
        <v>3462</v>
      </c>
      <c r="E15" s="1063">
        <v>56197.99</v>
      </c>
      <c r="F15" s="1063">
        <v>-58834.65</v>
      </c>
      <c r="G15" s="1061" t="s">
        <v>3492</v>
      </c>
      <c r="H15" s="1065">
        <v>82</v>
      </c>
      <c r="I15" s="138"/>
      <c r="J15" s="138"/>
      <c r="K15" s="138"/>
      <c r="L15" s="138"/>
      <c r="M15" s="138"/>
      <c r="N15" s="138"/>
      <c r="O15" s="138"/>
      <c r="P15" s="138"/>
      <c r="Q15" s="138"/>
      <c r="R15" s="138"/>
      <c r="S15" s="138"/>
      <c r="T15" s="138"/>
      <c r="U15" s="138"/>
      <c r="V15" s="138"/>
      <c r="W15" s="138"/>
      <c r="X15" s="138"/>
      <c r="Y15" s="138"/>
      <c r="Z15" s="138"/>
    </row>
    <row r="16" spans="1:26" ht="14.25" customHeight="1">
      <c r="A16" s="1061" t="s">
        <v>3481</v>
      </c>
      <c r="B16" s="1061" t="s">
        <v>264</v>
      </c>
      <c r="C16" s="1061" t="s">
        <v>267</v>
      </c>
      <c r="D16" s="1061" t="s">
        <v>978</v>
      </c>
      <c r="E16" s="1063">
        <v>32135.51</v>
      </c>
      <c r="F16" s="1063">
        <v>-34034.699999999997</v>
      </c>
      <c r="G16" s="1061" t="s">
        <v>3482</v>
      </c>
      <c r="H16" s="1065">
        <v>80</v>
      </c>
      <c r="I16" s="138"/>
      <c r="J16" s="138"/>
      <c r="K16" s="138"/>
      <c r="L16" s="138"/>
      <c r="M16" s="138"/>
      <c r="N16" s="138"/>
      <c r="O16" s="138"/>
      <c r="P16" s="138"/>
      <c r="Q16" s="138"/>
      <c r="R16" s="138"/>
      <c r="S16" s="138"/>
      <c r="T16" s="138"/>
      <c r="U16" s="138"/>
      <c r="V16" s="138"/>
      <c r="W16" s="138"/>
      <c r="X16" s="138"/>
      <c r="Y16" s="138"/>
      <c r="Z16" s="138"/>
    </row>
    <row r="17" spans="1:26" ht="14.25" customHeight="1">
      <c r="A17" s="1061" t="s">
        <v>3493</v>
      </c>
      <c r="B17" s="1061" t="s">
        <v>3443</v>
      </c>
      <c r="C17" s="1061" t="s">
        <v>267</v>
      </c>
      <c r="D17" s="1061" t="s">
        <v>3462</v>
      </c>
      <c r="E17" s="1063">
        <v>55950.97</v>
      </c>
      <c r="F17" s="1063">
        <v>-58834.65</v>
      </c>
      <c r="G17" s="1061" t="s">
        <v>3494</v>
      </c>
      <c r="H17" s="1065">
        <v>74</v>
      </c>
      <c r="I17" s="138"/>
      <c r="J17" s="138"/>
      <c r="K17" s="138"/>
      <c r="L17" s="138"/>
      <c r="M17" s="138"/>
      <c r="N17" s="138"/>
      <c r="O17" s="138"/>
      <c r="P17" s="138"/>
      <c r="Q17" s="138"/>
      <c r="R17" s="138"/>
      <c r="S17" s="138"/>
      <c r="T17" s="138"/>
      <c r="U17" s="138"/>
      <c r="V17" s="138"/>
      <c r="W17" s="138"/>
      <c r="X17" s="138"/>
      <c r="Y17" s="138"/>
      <c r="Z17" s="138"/>
    </row>
    <row r="18" spans="1:26" ht="14.25" customHeight="1">
      <c r="A18" s="1061" t="s">
        <v>3495</v>
      </c>
      <c r="B18" s="1061" t="s">
        <v>3443</v>
      </c>
      <c r="C18" s="1061" t="s">
        <v>267</v>
      </c>
      <c r="D18" s="1061" t="s">
        <v>3462</v>
      </c>
      <c r="E18" s="1063">
        <v>55950.97</v>
      </c>
      <c r="F18" s="1063">
        <v>-58834.65</v>
      </c>
      <c r="G18" s="1061" t="s">
        <v>3496</v>
      </c>
      <c r="H18" s="1065">
        <v>74</v>
      </c>
      <c r="I18" s="138"/>
      <c r="J18" s="138"/>
      <c r="K18" s="138"/>
      <c r="L18" s="138"/>
      <c r="M18" s="138"/>
      <c r="N18" s="138"/>
      <c r="O18" s="138"/>
      <c r="P18" s="138"/>
      <c r="Q18" s="138"/>
      <c r="R18" s="138"/>
      <c r="S18" s="138"/>
      <c r="T18" s="138"/>
      <c r="U18" s="138"/>
      <c r="V18" s="138"/>
      <c r="W18" s="138"/>
      <c r="X18" s="138"/>
      <c r="Y18" s="138"/>
      <c r="Z18" s="138"/>
    </row>
    <row r="19" spans="1:26" ht="14.25" customHeight="1">
      <c r="A19" s="1061" t="s">
        <v>3513</v>
      </c>
      <c r="B19" s="1061" t="s">
        <v>3443</v>
      </c>
      <c r="C19" s="1061" t="s">
        <v>267</v>
      </c>
      <c r="D19" s="1061" t="s">
        <v>265</v>
      </c>
      <c r="E19" s="1063">
        <v>26927</v>
      </c>
      <c r="F19" s="1063">
        <v>-28367.85</v>
      </c>
      <c r="G19" s="1061" t="s">
        <v>3514</v>
      </c>
      <c r="H19" s="1065">
        <v>74</v>
      </c>
      <c r="I19" s="138"/>
      <c r="J19" s="138"/>
      <c r="K19" s="138"/>
      <c r="L19" s="138"/>
      <c r="M19" s="138"/>
      <c r="N19" s="138"/>
      <c r="O19" s="138"/>
      <c r="P19" s="138"/>
      <c r="Q19" s="138"/>
      <c r="R19" s="138"/>
      <c r="S19" s="138"/>
      <c r="T19" s="138"/>
      <c r="U19" s="138"/>
      <c r="V19" s="138"/>
      <c r="W19" s="138"/>
      <c r="X19" s="138"/>
      <c r="Y19" s="138"/>
      <c r="Z19" s="138"/>
    </row>
    <row r="20" spans="1:26" ht="14.25" customHeight="1">
      <c r="A20" s="1061" t="s">
        <v>3479</v>
      </c>
      <c r="B20" s="1061" t="s">
        <v>264</v>
      </c>
      <c r="C20" s="1061" t="s">
        <v>267</v>
      </c>
      <c r="D20" s="1061" t="s">
        <v>978</v>
      </c>
      <c r="E20" s="1063">
        <v>37610</v>
      </c>
      <c r="F20" s="1063">
        <v>-39461.1</v>
      </c>
      <c r="G20" s="1061" t="s">
        <v>3480</v>
      </c>
      <c r="H20" s="1065">
        <v>73</v>
      </c>
      <c r="I20" s="138"/>
      <c r="J20" s="138"/>
      <c r="K20" s="138"/>
      <c r="L20" s="138"/>
      <c r="M20" s="138"/>
      <c r="N20" s="138"/>
      <c r="O20" s="138"/>
      <c r="P20" s="138"/>
      <c r="Q20" s="138"/>
      <c r="R20" s="138"/>
      <c r="S20" s="138"/>
      <c r="T20" s="138"/>
      <c r="U20" s="138"/>
      <c r="V20" s="138"/>
      <c r="W20" s="138"/>
      <c r="X20" s="138"/>
      <c r="Y20" s="138"/>
      <c r="Z20" s="138"/>
    </row>
    <row r="21" spans="1:26" ht="14.25" customHeight="1">
      <c r="A21" s="1061" t="s">
        <v>3497</v>
      </c>
      <c r="B21" s="1061" t="s">
        <v>3443</v>
      </c>
      <c r="C21" s="1061" t="s">
        <v>267</v>
      </c>
      <c r="D21" s="1061" t="s">
        <v>3462</v>
      </c>
      <c r="E21" s="1063">
        <v>55950.97</v>
      </c>
      <c r="F21" s="1063">
        <v>-58834.65</v>
      </c>
      <c r="G21" s="1061" t="s">
        <v>3498</v>
      </c>
      <c r="H21" s="1065">
        <v>73</v>
      </c>
      <c r="I21" s="138"/>
      <c r="J21" s="138"/>
      <c r="K21" s="138"/>
      <c r="L21" s="138"/>
      <c r="M21" s="138"/>
      <c r="N21" s="138"/>
      <c r="O21" s="138"/>
      <c r="P21" s="138"/>
      <c r="Q21" s="138"/>
      <c r="R21" s="138"/>
      <c r="S21" s="138"/>
      <c r="T21" s="138"/>
      <c r="U21" s="138"/>
      <c r="V21" s="138"/>
      <c r="W21" s="138"/>
      <c r="X21" s="138"/>
      <c r="Y21" s="138"/>
      <c r="Z21" s="138"/>
    </row>
    <row r="22" spans="1:26" ht="14.25" customHeight="1">
      <c r="A22" s="1061" t="s">
        <v>3511</v>
      </c>
      <c r="B22" s="1061" t="s">
        <v>3443</v>
      </c>
      <c r="C22" s="1061" t="s">
        <v>267</v>
      </c>
      <c r="D22" s="1061" t="s">
        <v>265</v>
      </c>
      <c r="E22" s="1063">
        <v>29531</v>
      </c>
      <c r="F22" s="1063">
        <v>-31102.05</v>
      </c>
      <c r="G22" s="1061" t="s">
        <v>3512</v>
      </c>
      <c r="H22" s="1065">
        <v>73</v>
      </c>
      <c r="I22" s="138"/>
      <c r="J22" s="138"/>
      <c r="K22" s="138"/>
      <c r="L22" s="138"/>
      <c r="M22" s="138"/>
      <c r="N22" s="138"/>
      <c r="O22" s="138"/>
      <c r="P22" s="138"/>
      <c r="Q22" s="138"/>
      <c r="R22" s="138"/>
      <c r="S22" s="138"/>
      <c r="T22" s="138"/>
      <c r="U22" s="138"/>
      <c r="V22" s="138"/>
      <c r="W22" s="138"/>
      <c r="X22" s="138"/>
      <c r="Y22" s="138"/>
      <c r="Z22" s="138"/>
    </row>
    <row r="23" spans="1:26" ht="14.25" customHeight="1">
      <c r="A23" s="1061" t="s">
        <v>3501</v>
      </c>
      <c r="B23" s="1061" t="s">
        <v>3443</v>
      </c>
      <c r="C23" s="1061" t="s">
        <v>267</v>
      </c>
      <c r="D23" s="1061" t="s">
        <v>3462</v>
      </c>
      <c r="E23" s="1063">
        <v>54250</v>
      </c>
      <c r="F23" s="1063">
        <v>-57051.75</v>
      </c>
      <c r="G23" s="1061" t="s">
        <v>3502</v>
      </c>
      <c r="H23" s="1065">
        <v>68</v>
      </c>
      <c r="I23" s="138"/>
      <c r="J23" s="138"/>
      <c r="K23" s="138"/>
      <c r="L23" s="138"/>
      <c r="M23" s="138"/>
      <c r="N23" s="138"/>
      <c r="O23" s="138"/>
      <c r="P23" s="138"/>
      <c r="Q23" s="138"/>
      <c r="R23" s="138"/>
      <c r="S23" s="138"/>
      <c r="T23" s="138"/>
      <c r="U23" s="138"/>
      <c r="V23" s="138"/>
      <c r="W23" s="138"/>
      <c r="X23" s="138"/>
      <c r="Y23" s="138"/>
      <c r="Z23" s="138"/>
    </row>
    <row r="24" spans="1:26" ht="14.25" customHeight="1">
      <c r="A24" s="1061" t="s">
        <v>3505</v>
      </c>
      <c r="B24" s="1061" t="s">
        <v>3443</v>
      </c>
      <c r="C24" s="1061" t="s">
        <v>267</v>
      </c>
      <c r="D24" s="1061" t="s">
        <v>279</v>
      </c>
      <c r="E24" s="1063">
        <v>37506.9</v>
      </c>
      <c r="F24" s="1063">
        <v>-39440.1</v>
      </c>
      <c r="G24" s="1061" t="s">
        <v>3506</v>
      </c>
      <c r="H24" s="1065">
        <v>68</v>
      </c>
      <c r="I24" s="138"/>
      <c r="J24" s="138"/>
      <c r="K24" s="138"/>
      <c r="L24" s="138"/>
      <c r="M24" s="138"/>
      <c r="N24" s="138"/>
      <c r="O24" s="138"/>
      <c r="P24" s="138"/>
      <c r="Q24" s="138"/>
      <c r="R24" s="138"/>
      <c r="S24" s="138"/>
      <c r="T24" s="138"/>
      <c r="U24" s="138"/>
      <c r="V24" s="138"/>
      <c r="W24" s="138"/>
      <c r="X24" s="138"/>
      <c r="Y24" s="138"/>
      <c r="Z24" s="138"/>
    </row>
    <row r="25" spans="1:26" ht="14.25" customHeight="1">
      <c r="A25" s="1061" t="s">
        <v>3507</v>
      </c>
      <c r="B25" s="1061" t="s">
        <v>3443</v>
      </c>
      <c r="C25" s="1061" t="s">
        <v>267</v>
      </c>
      <c r="D25" s="1061" t="s">
        <v>3444</v>
      </c>
      <c r="E25" s="1063">
        <v>32637</v>
      </c>
      <c r="F25" s="1063">
        <v>-34363.35</v>
      </c>
      <c r="G25" s="1061" t="s">
        <v>3508</v>
      </c>
      <c r="H25" s="1065">
        <v>68</v>
      </c>
      <c r="I25" s="138"/>
      <c r="J25" s="138"/>
      <c r="K25" s="138"/>
      <c r="L25" s="138"/>
      <c r="M25" s="138"/>
      <c r="N25" s="138"/>
      <c r="O25" s="138"/>
      <c r="P25" s="138"/>
      <c r="Q25" s="138"/>
      <c r="R25" s="138"/>
      <c r="S25" s="138"/>
      <c r="T25" s="138"/>
      <c r="U25" s="138"/>
      <c r="V25" s="138"/>
      <c r="W25" s="138"/>
      <c r="X25" s="138"/>
      <c r="Y25" s="138"/>
      <c r="Z25" s="138"/>
    </row>
    <row r="26" spans="1:26" ht="14.25" customHeight="1">
      <c r="A26" s="1061" t="s">
        <v>3483</v>
      </c>
      <c r="B26" s="1061" t="s">
        <v>264</v>
      </c>
      <c r="C26" s="1061" t="s">
        <v>267</v>
      </c>
      <c r="D26" s="1061" t="s">
        <v>978</v>
      </c>
      <c r="E26" s="1063">
        <v>28066.02</v>
      </c>
      <c r="F26" s="1063">
        <v>-28951.65</v>
      </c>
      <c r="G26" s="1061" t="s">
        <v>3484</v>
      </c>
      <c r="H26" s="1065">
        <v>62</v>
      </c>
      <c r="I26" s="138"/>
      <c r="J26" s="138"/>
      <c r="K26" s="138"/>
      <c r="L26" s="138"/>
      <c r="M26" s="138"/>
      <c r="N26" s="138"/>
      <c r="O26" s="138"/>
      <c r="P26" s="138"/>
      <c r="Q26" s="138"/>
      <c r="R26" s="138"/>
      <c r="S26" s="138"/>
      <c r="T26" s="138"/>
      <c r="U26" s="138"/>
      <c r="V26" s="138"/>
      <c r="W26" s="138"/>
      <c r="X26" s="138"/>
      <c r="Y26" s="138"/>
      <c r="Z26" s="138"/>
    </row>
    <row r="27" spans="1:26" ht="14.25" customHeight="1">
      <c r="A27" s="1061" t="s">
        <v>3509</v>
      </c>
      <c r="B27" s="1061" t="s">
        <v>3443</v>
      </c>
      <c r="C27" s="1061" t="s">
        <v>267</v>
      </c>
      <c r="D27" s="1061" t="s">
        <v>265</v>
      </c>
      <c r="E27" s="1063">
        <v>32017.87</v>
      </c>
      <c r="F27" s="1063">
        <v>-33204.15</v>
      </c>
      <c r="G27" s="1061" t="s">
        <v>3510</v>
      </c>
      <c r="H27" s="1065">
        <v>62</v>
      </c>
      <c r="I27" s="138"/>
      <c r="J27" s="138"/>
      <c r="K27" s="138"/>
      <c r="L27" s="138"/>
      <c r="M27" s="138"/>
      <c r="N27" s="138"/>
      <c r="O27" s="138"/>
      <c r="P27" s="138"/>
      <c r="Q27" s="138"/>
      <c r="R27" s="138"/>
      <c r="S27" s="138"/>
      <c r="T27" s="138"/>
      <c r="U27" s="138"/>
      <c r="V27" s="138"/>
      <c r="W27" s="138"/>
      <c r="X27" s="138"/>
      <c r="Y27" s="138"/>
      <c r="Z27" s="138"/>
    </row>
    <row r="28" spans="1:26" ht="14.25" customHeight="1">
      <c r="A28" s="1061" t="s">
        <v>3560</v>
      </c>
      <c r="B28" s="1061" t="s">
        <v>3443</v>
      </c>
      <c r="C28" s="1061" t="s">
        <v>267</v>
      </c>
      <c r="D28" s="1061" t="s">
        <v>3444</v>
      </c>
      <c r="E28" s="1063">
        <v>31816.52</v>
      </c>
      <c r="F28" s="1059"/>
      <c r="G28" s="1061" t="s">
        <v>3567</v>
      </c>
      <c r="H28" s="1065">
        <v>52</v>
      </c>
      <c r="I28" s="138"/>
      <c r="J28" s="138"/>
      <c r="K28" s="138"/>
      <c r="L28" s="138"/>
      <c r="M28" s="138"/>
      <c r="N28" s="138"/>
      <c r="O28" s="138"/>
      <c r="P28" s="138"/>
      <c r="Q28" s="138"/>
      <c r="R28" s="138"/>
      <c r="S28" s="138"/>
      <c r="T28" s="138"/>
      <c r="U28" s="138"/>
      <c r="V28" s="138"/>
      <c r="W28" s="138"/>
      <c r="X28" s="138"/>
      <c r="Y28" s="138"/>
      <c r="Z28" s="138"/>
    </row>
    <row r="29" spans="1:26" ht="14.25" customHeight="1">
      <c r="A29" s="1061" t="s">
        <v>3691</v>
      </c>
      <c r="B29" s="1061" t="s">
        <v>3443</v>
      </c>
      <c r="C29" s="1061" t="s">
        <v>267</v>
      </c>
      <c r="D29" s="1061" t="s">
        <v>3444</v>
      </c>
      <c r="E29" s="1063">
        <v>31513</v>
      </c>
      <c r="F29" s="1059"/>
      <c r="G29" s="1061" t="s">
        <v>3692</v>
      </c>
      <c r="H29" s="1065">
        <v>51</v>
      </c>
      <c r="I29" s="138"/>
      <c r="J29" s="138"/>
      <c r="K29" s="138"/>
      <c r="L29" s="138"/>
      <c r="M29" s="138"/>
      <c r="N29" s="138"/>
      <c r="O29" s="138"/>
      <c r="P29" s="138"/>
      <c r="Q29" s="138"/>
      <c r="R29" s="138"/>
      <c r="S29" s="138"/>
      <c r="T29" s="138"/>
      <c r="U29" s="138"/>
      <c r="V29" s="138"/>
      <c r="W29" s="138"/>
      <c r="X29" s="138"/>
      <c r="Y29" s="138"/>
      <c r="Z29" s="138"/>
    </row>
    <row r="30" spans="1:26" ht="14.25" customHeight="1">
      <c r="A30" s="1061" t="s">
        <v>3564</v>
      </c>
      <c r="B30" s="1061" t="s">
        <v>3443</v>
      </c>
      <c r="C30" s="1061" t="s">
        <v>267</v>
      </c>
      <c r="D30" s="1061" t="s">
        <v>262</v>
      </c>
      <c r="E30" s="1063">
        <v>48894</v>
      </c>
      <c r="F30" s="1063">
        <v>-51427.95</v>
      </c>
      <c r="G30" s="1061" t="s">
        <v>3570</v>
      </c>
      <c r="H30" s="1065">
        <v>48</v>
      </c>
      <c r="I30" s="138"/>
      <c r="J30" s="138"/>
      <c r="K30" s="138"/>
      <c r="L30" s="138"/>
      <c r="M30" s="138"/>
      <c r="N30" s="138"/>
      <c r="O30" s="138"/>
      <c r="P30" s="138"/>
      <c r="Q30" s="138"/>
      <c r="R30" s="138"/>
      <c r="S30" s="138"/>
      <c r="T30" s="138"/>
      <c r="U30" s="138"/>
      <c r="V30" s="138"/>
      <c r="W30" s="138"/>
      <c r="X30" s="138"/>
      <c r="Y30" s="138"/>
      <c r="Z30" s="138"/>
    </row>
    <row r="31" spans="1:26" ht="14.25" customHeight="1">
      <c r="A31" s="1061" t="s">
        <v>3579</v>
      </c>
      <c r="B31" s="1061" t="s">
        <v>3443</v>
      </c>
      <c r="C31" s="1061" t="s">
        <v>267</v>
      </c>
      <c r="D31" s="1061" t="s">
        <v>3462</v>
      </c>
      <c r="E31" s="1063">
        <v>55948</v>
      </c>
      <c r="F31" s="1063">
        <v>-58834.65</v>
      </c>
      <c r="G31" s="1061" t="s">
        <v>3569</v>
      </c>
      <c r="H31" s="1065">
        <v>48</v>
      </c>
      <c r="I31" s="138"/>
      <c r="J31" s="138"/>
      <c r="K31" s="138"/>
      <c r="L31" s="138"/>
      <c r="M31" s="138"/>
      <c r="N31" s="138"/>
      <c r="O31" s="138"/>
      <c r="P31" s="138"/>
      <c r="Q31" s="138"/>
      <c r="R31" s="138"/>
      <c r="S31" s="138"/>
      <c r="T31" s="138"/>
      <c r="U31" s="138"/>
      <c r="V31" s="138"/>
      <c r="W31" s="138"/>
      <c r="X31" s="138"/>
      <c r="Y31" s="138"/>
      <c r="Z31" s="138"/>
    </row>
    <row r="32" spans="1:26" ht="14.25" customHeight="1">
      <c r="A32" s="1061" t="s">
        <v>3693</v>
      </c>
      <c r="B32" s="1061" t="s">
        <v>3443</v>
      </c>
      <c r="C32" s="1061" t="s">
        <v>267</v>
      </c>
      <c r="D32" s="1061" t="s">
        <v>3462</v>
      </c>
      <c r="E32" s="1063">
        <v>54236.5</v>
      </c>
      <c r="F32" s="1059"/>
      <c r="G32" s="1061" t="s">
        <v>3694</v>
      </c>
      <c r="H32" s="1065">
        <v>48</v>
      </c>
      <c r="I32" s="138"/>
      <c r="J32" s="138"/>
      <c r="K32" s="138"/>
      <c r="L32" s="138"/>
      <c r="M32" s="138"/>
      <c r="N32" s="138"/>
      <c r="O32" s="138"/>
      <c r="P32" s="138"/>
      <c r="Q32" s="138"/>
      <c r="R32" s="138"/>
      <c r="S32" s="138"/>
      <c r="T32" s="138"/>
      <c r="U32" s="138"/>
      <c r="V32" s="138"/>
      <c r="W32" s="138"/>
      <c r="X32" s="138"/>
      <c r="Y32" s="138"/>
      <c r="Z32" s="138"/>
    </row>
    <row r="33" spans="1:26" ht="14.25" customHeight="1">
      <c r="A33" s="1061" t="s">
        <v>3583</v>
      </c>
      <c r="B33" s="1061" t="s">
        <v>3443</v>
      </c>
      <c r="C33" s="1061" t="s">
        <v>267</v>
      </c>
      <c r="D33" s="1061" t="s">
        <v>978</v>
      </c>
      <c r="E33" s="1063">
        <v>32864</v>
      </c>
      <c r="F33" s="1063">
        <v>-34706.699999999997</v>
      </c>
      <c r="G33" s="1061" t="s">
        <v>3568</v>
      </c>
      <c r="H33" s="1065">
        <v>48</v>
      </c>
      <c r="I33" s="138"/>
      <c r="J33" s="138"/>
      <c r="K33" s="138"/>
      <c r="L33" s="138"/>
      <c r="M33" s="138"/>
      <c r="N33" s="138"/>
      <c r="O33" s="138"/>
      <c r="P33" s="138"/>
      <c r="Q33" s="138"/>
      <c r="R33" s="138"/>
      <c r="S33" s="138"/>
      <c r="T33" s="138"/>
      <c r="U33" s="138"/>
      <c r="V33" s="138"/>
      <c r="W33" s="138"/>
      <c r="X33" s="138"/>
      <c r="Y33" s="138"/>
      <c r="Z33" s="138"/>
    </row>
    <row r="34" spans="1:26" ht="14.25" customHeight="1">
      <c r="A34" s="1061" t="s">
        <v>3571</v>
      </c>
      <c r="B34" s="1061" t="s">
        <v>3443</v>
      </c>
      <c r="C34" s="1061" t="s">
        <v>267</v>
      </c>
      <c r="D34" s="1061" t="s">
        <v>262</v>
      </c>
      <c r="E34" s="1063">
        <v>55259.97</v>
      </c>
      <c r="F34" s="1063">
        <v>-58109.1</v>
      </c>
      <c r="G34" s="1061" t="s">
        <v>3572</v>
      </c>
      <c r="H34" s="1065">
        <v>47</v>
      </c>
      <c r="I34" s="138"/>
      <c r="J34" s="138"/>
      <c r="K34" s="138"/>
      <c r="L34" s="138"/>
      <c r="M34" s="138"/>
      <c r="N34" s="138"/>
      <c r="O34" s="138"/>
      <c r="P34" s="138"/>
      <c r="Q34" s="138"/>
      <c r="R34" s="138"/>
      <c r="S34" s="138"/>
      <c r="T34" s="138"/>
      <c r="U34" s="138"/>
      <c r="V34" s="138"/>
      <c r="W34" s="138"/>
      <c r="X34" s="138"/>
      <c r="Y34" s="138"/>
      <c r="Z34" s="138"/>
    </row>
    <row r="35" spans="1:26" ht="14.25" customHeight="1">
      <c r="A35" s="1061" t="s">
        <v>3563</v>
      </c>
      <c r="B35" s="1061" t="s">
        <v>3443</v>
      </c>
      <c r="C35" s="1061" t="s">
        <v>267</v>
      </c>
      <c r="D35" s="1061" t="s">
        <v>3462</v>
      </c>
      <c r="E35" s="1063">
        <v>53794.97</v>
      </c>
      <c r="F35" s="1063">
        <v>-56570.85</v>
      </c>
      <c r="G35" s="1061" t="s">
        <v>3573</v>
      </c>
      <c r="H35" s="1065">
        <v>45</v>
      </c>
      <c r="I35" s="138"/>
      <c r="J35" s="138"/>
      <c r="K35" s="138"/>
      <c r="L35" s="138"/>
      <c r="M35" s="138"/>
      <c r="N35" s="138"/>
      <c r="O35" s="138"/>
      <c r="P35" s="138"/>
      <c r="Q35" s="138"/>
      <c r="R35" s="138"/>
      <c r="S35" s="138"/>
      <c r="T35" s="138"/>
      <c r="U35" s="138"/>
      <c r="V35" s="138"/>
      <c r="W35" s="138"/>
      <c r="X35" s="138"/>
      <c r="Y35" s="138"/>
      <c r="Z35" s="138"/>
    </row>
    <row r="36" spans="1:26" ht="14.25" customHeight="1">
      <c r="A36" s="1061" t="s">
        <v>3566</v>
      </c>
      <c r="B36" s="1061" t="s">
        <v>3443</v>
      </c>
      <c r="C36" s="1061" t="s">
        <v>267</v>
      </c>
      <c r="D36" s="1061" t="s">
        <v>265</v>
      </c>
      <c r="E36" s="1063">
        <v>28629</v>
      </c>
      <c r="F36" s="1059"/>
      <c r="G36" s="1061" t="s">
        <v>3575</v>
      </c>
      <c r="H36" s="1065">
        <v>44</v>
      </c>
      <c r="I36" s="138"/>
      <c r="J36" s="138"/>
      <c r="K36" s="138"/>
      <c r="L36" s="138"/>
      <c r="M36" s="138"/>
      <c r="N36" s="138"/>
      <c r="O36" s="138"/>
      <c r="P36" s="138"/>
      <c r="Q36" s="138"/>
      <c r="R36" s="138"/>
      <c r="S36" s="138"/>
      <c r="T36" s="138"/>
      <c r="U36" s="138"/>
      <c r="V36" s="138"/>
      <c r="W36" s="138"/>
      <c r="X36" s="138"/>
      <c r="Y36" s="138"/>
      <c r="Z36" s="138"/>
    </row>
    <row r="37" spans="1:26" ht="14.25" customHeight="1">
      <c r="A37" s="1061" t="s">
        <v>3562</v>
      </c>
      <c r="B37" s="1061" t="s">
        <v>3443</v>
      </c>
      <c r="C37" s="1061" t="s">
        <v>267</v>
      </c>
      <c r="D37" s="1061" t="s">
        <v>262</v>
      </c>
      <c r="E37" s="1063">
        <v>54801.97</v>
      </c>
      <c r="F37" s="1063">
        <v>-57628.2</v>
      </c>
      <c r="G37" s="1061" t="s">
        <v>3578</v>
      </c>
      <c r="H37" s="1065">
        <v>41</v>
      </c>
      <c r="I37" s="138"/>
      <c r="J37" s="138"/>
      <c r="K37" s="138"/>
      <c r="L37" s="138"/>
      <c r="M37" s="138"/>
      <c r="N37" s="138"/>
      <c r="O37" s="138"/>
      <c r="P37" s="138"/>
      <c r="Q37" s="138"/>
      <c r="R37" s="138"/>
      <c r="S37" s="138"/>
      <c r="T37" s="138"/>
      <c r="U37" s="138"/>
      <c r="V37" s="138"/>
      <c r="W37" s="138"/>
      <c r="X37" s="138"/>
      <c r="Y37" s="138"/>
      <c r="Z37" s="138"/>
    </row>
    <row r="38" spans="1:26" ht="14.25" customHeight="1">
      <c r="A38" s="1061" t="s">
        <v>3576</v>
      </c>
      <c r="B38" s="1061" t="s">
        <v>3443</v>
      </c>
      <c r="C38" s="1061" t="s">
        <v>267</v>
      </c>
      <c r="D38" s="1061" t="s">
        <v>262</v>
      </c>
      <c r="E38" s="1063">
        <v>58249.97</v>
      </c>
      <c r="F38" s="1059"/>
      <c r="G38" s="1061" t="s">
        <v>3580</v>
      </c>
      <c r="H38" s="1065">
        <v>38</v>
      </c>
      <c r="I38" s="138"/>
      <c r="J38" s="138"/>
      <c r="K38" s="138"/>
      <c r="L38" s="138"/>
      <c r="M38" s="138"/>
      <c r="N38" s="138"/>
      <c r="O38" s="138"/>
      <c r="P38" s="138"/>
      <c r="Q38" s="138"/>
      <c r="R38" s="138"/>
      <c r="S38" s="138"/>
      <c r="T38" s="138"/>
      <c r="U38" s="138"/>
      <c r="V38" s="138"/>
      <c r="W38" s="138"/>
      <c r="X38" s="138"/>
      <c r="Y38" s="138"/>
      <c r="Z38" s="138"/>
    </row>
    <row r="39" spans="1:26" ht="14.25" customHeight="1">
      <c r="A39" s="1061" t="s">
        <v>3559</v>
      </c>
      <c r="B39" s="1061" t="s">
        <v>3443</v>
      </c>
      <c r="C39" s="1061" t="s">
        <v>267</v>
      </c>
      <c r="D39" s="1061" t="s">
        <v>260</v>
      </c>
      <c r="E39" s="1063">
        <v>45175.95</v>
      </c>
      <c r="F39" s="1063">
        <v>-47526.15</v>
      </c>
      <c r="G39" s="1061" t="s">
        <v>3581</v>
      </c>
      <c r="H39" s="1065">
        <v>37</v>
      </c>
      <c r="I39" s="138"/>
      <c r="J39" s="138"/>
      <c r="K39" s="138"/>
      <c r="L39" s="138"/>
      <c r="M39" s="138"/>
      <c r="N39" s="138"/>
      <c r="O39" s="138"/>
      <c r="P39" s="138"/>
      <c r="Q39" s="138"/>
      <c r="R39" s="138"/>
      <c r="S39" s="138"/>
      <c r="T39" s="138"/>
      <c r="U39" s="138"/>
      <c r="V39" s="138"/>
      <c r="W39" s="138"/>
      <c r="X39" s="138"/>
      <c r="Y39" s="138"/>
      <c r="Z39" s="138"/>
    </row>
    <row r="40" spans="1:26" ht="14.25" customHeight="1">
      <c r="A40" s="1061" t="s">
        <v>3561</v>
      </c>
      <c r="B40" s="1061" t="s">
        <v>3443</v>
      </c>
      <c r="C40" s="1061" t="s">
        <v>267</v>
      </c>
      <c r="D40" s="1061" t="s">
        <v>260</v>
      </c>
      <c r="E40" s="1063">
        <v>44101</v>
      </c>
      <c r="F40" s="1063">
        <v>-46474.05</v>
      </c>
      <c r="G40" s="1061" t="s">
        <v>3582</v>
      </c>
      <c r="H40" s="1065">
        <v>34</v>
      </c>
      <c r="I40" s="138"/>
      <c r="J40" s="138"/>
      <c r="K40" s="138"/>
      <c r="L40" s="138"/>
      <c r="M40" s="138"/>
      <c r="N40" s="138"/>
      <c r="O40" s="138"/>
      <c r="P40" s="138"/>
      <c r="Q40" s="138"/>
      <c r="R40" s="138"/>
      <c r="S40" s="138"/>
      <c r="T40" s="138"/>
      <c r="U40" s="138"/>
      <c r="V40" s="138"/>
      <c r="W40" s="138"/>
      <c r="X40" s="138"/>
      <c r="Y40" s="138"/>
      <c r="Z40" s="138"/>
    </row>
    <row r="41" spans="1:26" ht="14.25" customHeight="1">
      <c r="A41" s="1061" t="s">
        <v>3574</v>
      </c>
      <c r="B41" s="1061" t="s">
        <v>3443</v>
      </c>
      <c r="C41" s="1061" t="s">
        <v>267</v>
      </c>
      <c r="D41" s="1061" t="s">
        <v>262</v>
      </c>
      <c r="E41" s="1063">
        <v>54806.97</v>
      </c>
      <c r="F41" s="1063">
        <v>-57628.2</v>
      </c>
      <c r="G41" s="1061" t="s">
        <v>3585</v>
      </c>
      <c r="H41" s="1065">
        <v>33</v>
      </c>
      <c r="I41" s="138"/>
      <c r="J41" s="138"/>
      <c r="K41" s="138"/>
      <c r="L41" s="138"/>
      <c r="M41" s="138"/>
      <c r="N41" s="138"/>
      <c r="O41" s="138"/>
      <c r="P41" s="138"/>
      <c r="Q41" s="138"/>
      <c r="R41" s="138"/>
      <c r="S41" s="138"/>
      <c r="T41" s="138"/>
      <c r="U41" s="138"/>
      <c r="V41" s="138"/>
      <c r="W41" s="138"/>
      <c r="X41" s="138"/>
      <c r="Y41" s="138"/>
      <c r="Z41" s="138"/>
    </row>
    <row r="42" spans="1:26" ht="14.25" customHeight="1">
      <c r="A42" s="1061" t="s">
        <v>3565</v>
      </c>
      <c r="B42" s="1061" t="s">
        <v>3443</v>
      </c>
      <c r="C42" s="1061" t="s">
        <v>267</v>
      </c>
      <c r="D42" s="1061" t="s">
        <v>978</v>
      </c>
      <c r="E42" s="1063">
        <v>38195</v>
      </c>
      <c r="F42" s="1063">
        <v>-40225.5</v>
      </c>
      <c r="G42" s="1061" t="s">
        <v>3584</v>
      </c>
      <c r="H42" s="1065">
        <v>33</v>
      </c>
      <c r="I42" s="138"/>
      <c r="J42" s="138"/>
      <c r="K42" s="138"/>
      <c r="L42" s="138"/>
      <c r="M42" s="138"/>
      <c r="N42" s="138"/>
      <c r="O42" s="138"/>
      <c r="P42" s="138"/>
      <c r="Q42" s="138"/>
      <c r="R42" s="138"/>
      <c r="S42" s="138"/>
      <c r="T42" s="138"/>
      <c r="U42" s="138"/>
      <c r="V42" s="138"/>
      <c r="W42" s="138"/>
      <c r="X42" s="138"/>
      <c r="Y42" s="138"/>
      <c r="Z42" s="138"/>
    </row>
    <row r="43" spans="1:26" ht="14.25" customHeight="1">
      <c r="A43" s="1061" t="s">
        <v>3695</v>
      </c>
      <c r="B43" s="1061" t="s">
        <v>3443</v>
      </c>
      <c r="C43" s="1061" t="s">
        <v>267</v>
      </c>
      <c r="D43" s="1061" t="s">
        <v>3462</v>
      </c>
      <c r="E43" s="1063">
        <v>56348.1</v>
      </c>
      <c r="F43" s="1063">
        <v>-58834.65</v>
      </c>
      <c r="G43" s="1061" t="s">
        <v>3696</v>
      </c>
      <c r="H43" s="1065">
        <v>30</v>
      </c>
      <c r="I43" s="138"/>
      <c r="J43" s="138"/>
      <c r="K43" s="138"/>
      <c r="L43" s="138"/>
      <c r="M43" s="138"/>
      <c r="N43" s="138"/>
      <c r="O43" s="138"/>
      <c r="P43" s="138"/>
      <c r="Q43" s="138"/>
      <c r="R43" s="138"/>
      <c r="S43" s="138"/>
      <c r="T43" s="138"/>
      <c r="U43" s="138"/>
      <c r="V43" s="138"/>
      <c r="W43" s="138"/>
      <c r="X43" s="138"/>
      <c r="Y43" s="138"/>
      <c r="Z43" s="138"/>
    </row>
    <row r="44" spans="1:26" ht="14.25" customHeight="1">
      <c r="A44" s="1061" t="s">
        <v>3697</v>
      </c>
      <c r="B44" s="1061" t="s">
        <v>3443</v>
      </c>
      <c r="C44" s="1061" t="s">
        <v>267</v>
      </c>
      <c r="D44" s="1061" t="s">
        <v>260</v>
      </c>
      <c r="E44" s="1063">
        <v>45762.95</v>
      </c>
      <c r="F44" s="1059"/>
      <c r="G44" s="1061" t="s">
        <v>3698</v>
      </c>
      <c r="H44" s="1065">
        <v>30</v>
      </c>
      <c r="I44" s="138"/>
      <c r="J44" s="138"/>
      <c r="K44" s="138"/>
      <c r="L44" s="138"/>
      <c r="M44" s="138"/>
      <c r="N44" s="138"/>
      <c r="O44" s="138"/>
      <c r="P44" s="138"/>
      <c r="Q44" s="138"/>
      <c r="R44" s="138"/>
      <c r="S44" s="138"/>
      <c r="T44" s="138"/>
      <c r="U44" s="138"/>
      <c r="V44" s="138"/>
      <c r="W44" s="138"/>
      <c r="X44" s="138"/>
      <c r="Y44" s="138"/>
      <c r="Z44" s="138"/>
    </row>
    <row r="45" spans="1:26" ht="14.25" customHeight="1">
      <c r="A45" s="1061" t="s">
        <v>3699</v>
      </c>
      <c r="B45" s="1061" t="s">
        <v>3443</v>
      </c>
      <c r="C45" s="1061" t="s">
        <v>267</v>
      </c>
      <c r="D45" s="1061" t="s">
        <v>978</v>
      </c>
      <c r="E45" s="1063">
        <v>37908</v>
      </c>
      <c r="F45" s="1063">
        <v>-39749.85</v>
      </c>
      <c r="G45" s="1061" t="s">
        <v>3700</v>
      </c>
      <c r="H45" s="1065">
        <v>25</v>
      </c>
      <c r="I45" s="138"/>
      <c r="J45" s="138"/>
      <c r="K45" s="138"/>
      <c r="L45" s="138"/>
      <c r="M45" s="138"/>
      <c r="N45" s="138"/>
      <c r="O45" s="138"/>
      <c r="P45" s="138"/>
      <c r="Q45" s="138"/>
      <c r="R45" s="138"/>
      <c r="S45" s="138"/>
      <c r="T45" s="138"/>
      <c r="U45" s="138"/>
      <c r="V45" s="138"/>
      <c r="W45" s="138"/>
      <c r="X45" s="138"/>
      <c r="Y45" s="138"/>
      <c r="Z45" s="138"/>
    </row>
    <row r="46" spans="1:26" ht="14.25" customHeight="1">
      <c r="A46" s="1061" t="s">
        <v>3701</v>
      </c>
      <c r="B46" s="1061" t="s">
        <v>3443</v>
      </c>
      <c r="C46" s="1061" t="s">
        <v>267</v>
      </c>
      <c r="D46" s="1061" t="s">
        <v>978</v>
      </c>
      <c r="E46" s="1063">
        <v>32705</v>
      </c>
      <c r="F46" s="1063">
        <v>-34423.199999999997</v>
      </c>
      <c r="G46" s="1061" t="s">
        <v>3702</v>
      </c>
      <c r="H46" s="1065">
        <v>25</v>
      </c>
      <c r="I46" s="138"/>
      <c r="J46" s="138"/>
      <c r="K46" s="138"/>
      <c r="L46" s="138"/>
      <c r="M46" s="138"/>
      <c r="N46" s="138"/>
      <c r="O46" s="138"/>
      <c r="P46" s="138"/>
      <c r="Q46" s="138"/>
      <c r="R46" s="138"/>
      <c r="S46" s="138"/>
      <c r="T46" s="138"/>
      <c r="U46" s="138"/>
      <c r="V46" s="138"/>
      <c r="W46" s="138"/>
      <c r="X46" s="138"/>
      <c r="Y46" s="138"/>
      <c r="Z46" s="138"/>
    </row>
    <row r="47" spans="1:26" ht="14.25" customHeight="1">
      <c r="A47" s="1061" t="s">
        <v>3703</v>
      </c>
      <c r="B47" s="1061" t="s">
        <v>3443</v>
      </c>
      <c r="C47" s="1061" t="s">
        <v>267</v>
      </c>
      <c r="D47" s="1061" t="s">
        <v>978</v>
      </c>
      <c r="E47" s="1063">
        <v>32705</v>
      </c>
      <c r="F47" s="1063">
        <v>-34423.199999999997</v>
      </c>
      <c r="G47" s="1061" t="s">
        <v>3704</v>
      </c>
      <c r="H47" s="1065">
        <v>25</v>
      </c>
      <c r="I47" s="138"/>
      <c r="J47" s="138"/>
      <c r="K47" s="138"/>
      <c r="L47" s="138"/>
      <c r="M47" s="138"/>
      <c r="N47" s="138"/>
      <c r="O47" s="138"/>
      <c r="P47" s="138"/>
      <c r="Q47" s="138"/>
      <c r="R47" s="138"/>
      <c r="S47" s="138"/>
      <c r="T47" s="138"/>
      <c r="U47" s="138"/>
      <c r="V47" s="138"/>
      <c r="W47" s="138"/>
      <c r="X47" s="138"/>
      <c r="Y47" s="138"/>
      <c r="Z47" s="138"/>
    </row>
    <row r="48" spans="1:26" ht="14.25" customHeight="1">
      <c r="A48" s="1061" t="s">
        <v>3705</v>
      </c>
      <c r="B48" s="1061" t="s">
        <v>3443</v>
      </c>
      <c r="C48" s="1061" t="s">
        <v>267</v>
      </c>
      <c r="D48" s="1061" t="s">
        <v>978</v>
      </c>
      <c r="E48" s="1063">
        <v>32700</v>
      </c>
      <c r="F48" s="1063">
        <v>-34423.199999999997</v>
      </c>
      <c r="G48" s="1061" t="s">
        <v>3706</v>
      </c>
      <c r="H48" s="1065">
        <v>25</v>
      </c>
      <c r="I48" s="138"/>
      <c r="J48" s="138"/>
      <c r="K48" s="138"/>
      <c r="L48" s="138"/>
      <c r="M48" s="138"/>
      <c r="N48" s="138"/>
      <c r="O48" s="138"/>
      <c r="P48" s="138"/>
      <c r="Q48" s="138"/>
      <c r="R48" s="138"/>
      <c r="S48" s="138"/>
      <c r="T48" s="138"/>
      <c r="U48" s="138"/>
      <c r="V48" s="138"/>
      <c r="W48" s="138"/>
      <c r="X48" s="138"/>
      <c r="Y48" s="138"/>
      <c r="Z48" s="138"/>
    </row>
    <row r="49" spans="1:26" ht="14.25" customHeight="1">
      <c r="A49" s="1061" t="s">
        <v>3707</v>
      </c>
      <c r="B49" s="1061" t="s">
        <v>3443</v>
      </c>
      <c r="C49" s="1061" t="s">
        <v>267</v>
      </c>
      <c r="D49" s="1061" t="s">
        <v>978</v>
      </c>
      <c r="E49" s="1063">
        <v>35661.949999999997</v>
      </c>
      <c r="F49" s="1059"/>
      <c r="G49" s="1061" t="s">
        <v>3708</v>
      </c>
      <c r="H49" s="1065">
        <v>20</v>
      </c>
      <c r="I49" s="138"/>
      <c r="J49" s="138"/>
      <c r="K49" s="138"/>
      <c r="L49" s="138"/>
      <c r="M49" s="138"/>
      <c r="N49" s="138"/>
      <c r="O49" s="138"/>
      <c r="P49" s="138"/>
      <c r="Q49" s="138"/>
      <c r="R49" s="138"/>
      <c r="S49" s="138"/>
      <c r="T49" s="138"/>
      <c r="U49" s="138"/>
      <c r="V49" s="138"/>
      <c r="W49" s="138"/>
      <c r="X49" s="138"/>
      <c r="Y49" s="138"/>
      <c r="Z49" s="138"/>
    </row>
    <row r="50" spans="1:26" ht="14.25" customHeight="1">
      <c r="A50" s="1061" t="s">
        <v>3709</v>
      </c>
      <c r="B50" s="1061" t="s">
        <v>3443</v>
      </c>
      <c r="C50" s="1061" t="s">
        <v>267</v>
      </c>
      <c r="D50" s="1061" t="s">
        <v>260</v>
      </c>
      <c r="E50" s="1063">
        <v>44107</v>
      </c>
      <c r="F50" s="1063">
        <v>-46474.05</v>
      </c>
      <c r="G50" s="1061" t="s">
        <v>3710</v>
      </c>
      <c r="H50" s="1065">
        <v>20</v>
      </c>
      <c r="I50" s="138"/>
      <c r="J50" s="138"/>
      <c r="K50" s="138"/>
      <c r="L50" s="138"/>
      <c r="M50" s="138"/>
      <c r="N50" s="138"/>
      <c r="O50" s="138"/>
      <c r="P50" s="138"/>
      <c r="Q50" s="138"/>
      <c r="R50" s="138"/>
      <c r="S50" s="138"/>
      <c r="T50" s="138"/>
      <c r="U50" s="138"/>
      <c r="V50" s="138"/>
      <c r="W50" s="138"/>
      <c r="X50" s="138"/>
      <c r="Y50" s="138"/>
      <c r="Z50" s="138"/>
    </row>
    <row r="51" spans="1:26" ht="14.25" customHeight="1">
      <c r="A51" s="1061" t="s">
        <v>3711</v>
      </c>
      <c r="B51" s="1061" t="s">
        <v>3443</v>
      </c>
      <c r="C51" s="1061" t="s">
        <v>267</v>
      </c>
      <c r="D51" s="1061" t="s">
        <v>978</v>
      </c>
      <c r="E51" s="1063">
        <v>37441.5</v>
      </c>
      <c r="F51" s="1059"/>
      <c r="G51" s="1061" t="s">
        <v>3712</v>
      </c>
      <c r="H51" s="1065">
        <v>16</v>
      </c>
      <c r="I51" s="138"/>
      <c r="J51" s="138"/>
      <c r="K51" s="138"/>
      <c r="L51" s="138"/>
      <c r="M51" s="138"/>
      <c r="N51" s="138"/>
      <c r="O51" s="138"/>
      <c r="P51" s="138"/>
      <c r="Q51" s="138"/>
      <c r="R51" s="138"/>
      <c r="S51" s="138"/>
      <c r="T51" s="138"/>
      <c r="U51" s="138"/>
      <c r="V51" s="138"/>
      <c r="W51" s="138"/>
      <c r="X51" s="138"/>
      <c r="Y51" s="138"/>
      <c r="Z51" s="138"/>
    </row>
    <row r="52" spans="1:26" ht="14.25" customHeight="1">
      <c r="A52" s="1061" t="s">
        <v>3713</v>
      </c>
      <c r="B52" s="1061" t="s">
        <v>3443</v>
      </c>
      <c r="C52" s="1061" t="s">
        <v>267</v>
      </c>
      <c r="D52" s="1061" t="s">
        <v>279</v>
      </c>
      <c r="E52" s="1063">
        <v>38207</v>
      </c>
      <c r="F52" s="1063">
        <v>-40179.300000000003</v>
      </c>
      <c r="G52" s="1061" t="s">
        <v>3714</v>
      </c>
      <c r="H52" s="1065">
        <v>13</v>
      </c>
      <c r="I52" s="138"/>
      <c r="J52" s="138"/>
      <c r="K52" s="138"/>
      <c r="L52" s="138"/>
      <c r="M52" s="138"/>
      <c r="N52" s="138"/>
      <c r="O52" s="138"/>
      <c r="P52" s="138"/>
      <c r="Q52" s="138"/>
      <c r="R52" s="138"/>
      <c r="S52" s="138"/>
      <c r="T52" s="138"/>
      <c r="U52" s="138"/>
      <c r="V52" s="138"/>
      <c r="W52" s="138"/>
      <c r="X52" s="138"/>
      <c r="Y52" s="138"/>
      <c r="Z52" s="138"/>
    </row>
    <row r="53" spans="1:26" ht="14.25" customHeight="1">
      <c r="A53" s="1061" t="s">
        <v>3715</v>
      </c>
      <c r="B53" s="1061" t="s">
        <v>3443</v>
      </c>
      <c r="C53" s="1061" t="s">
        <v>267</v>
      </c>
      <c r="D53" s="1061" t="s">
        <v>978</v>
      </c>
      <c r="E53" s="1063">
        <v>37773</v>
      </c>
      <c r="F53" s="1063">
        <v>-39749.85</v>
      </c>
      <c r="G53" s="1061" t="s">
        <v>3716</v>
      </c>
      <c r="H53" s="1065">
        <v>13</v>
      </c>
      <c r="I53" s="138"/>
      <c r="J53" s="138"/>
      <c r="K53" s="138"/>
      <c r="L53" s="138"/>
      <c r="M53" s="138"/>
      <c r="N53" s="138"/>
      <c r="O53" s="138"/>
      <c r="P53" s="138"/>
      <c r="Q53" s="138"/>
      <c r="R53" s="138"/>
      <c r="S53" s="138"/>
      <c r="T53" s="138"/>
      <c r="U53" s="138"/>
      <c r="V53" s="138"/>
      <c r="W53" s="138"/>
      <c r="X53" s="138"/>
      <c r="Y53" s="138"/>
      <c r="Z53" s="138"/>
    </row>
    <row r="54" spans="1:26" ht="14.25" customHeight="1">
      <c r="A54" s="1061" t="s">
        <v>3717</v>
      </c>
      <c r="B54" s="1061" t="s">
        <v>3443</v>
      </c>
      <c r="C54" s="1061" t="s">
        <v>267</v>
      </c>
      <c r="D54" s="1061" t="s">
        <v>978</v>
      </c>
      <c r="E54" s="1063">
        <v>37109</v>
      </c>
      <c r="F54" s="1063">
        <v>-39552.449999999997</v>
      </c>
      <c r="G54" s="1061" t="s">
        <v>3718</v>
      </c>
      <c r="H54" s="1065">
        <v>13</v>
      </c>
      <c r="I54" s="138"/>
      <c r="J54" s="138"/>
      <c r="K54" s="138"/>
      <c r="L54" s="138"/>
      <c r="M54" s="138"/>
      <c r="N54" s="138"/>
      <c r="O54" s="138"/>
      <c r="P54" s="138"/>
      <c r="Q54" s="138"/>
      <c r="R54" s="138"/>
      <c r="S54" s="138"/>
      <c r="T54" s="138"/>
      <c r="U54" s="138"/>
      <c r="V54" s="138"/>
      <c r="W54" s="138"/>
      <c r="X54" s="138"/>
      <c r="Y54" s="138"/>
      <c r="Z54" s="138"/>
    </row>
    <row r="55" spans="1:26" ht="14.25" customHeight="1">
      <c r="A55" s="1061" t="s">
        <v>3719</v>
      </c>
      <c r="B55" s="1061" t="s">
        <v>3443</v>
      </c>
      <c r="C55" s="1061" t="s">
        <v>267</v>
      </c>
      <c r="D55" s="1061" t="s">
        <v>978</v>
      </c>
      <c r="E55" s="1063">
        <v>34270</v>
      </c>
      <c r="F55" s="1063">
        <v>-36066.449999999997</v>
      </c>
      <c r="G55" s="1061" t="s">
        <v>3720</v>
      </c>
      <c r="H55" s="1065">
        <v>13</v>
      </c>
      <c r="I55" s="138"/>
      <c r="J55" s="138"/>
      <c r="K55" s="138"/>
      <c r="L55" s="138"/>
      <c r="M55" s="138"/>
      <c r="N55" s="138"/>
      <c r="O55" s="138"/>
      <c r="P55" s="138"/>
      <c r="Q55" s="138"/>
      <c r="R55" s="138"/>
      <c r="S55" s="138"/>
      <c r="T55" s="138"/>
      <c r="U55" s="138"/>
      <c r="V55" s="138"/>
      <c r="W55" s="138"/>
      <c r="X55" s="138"/>
      <c r="Y55" s="138"/>
      <c r="Z55" s="138"/>
    </row>
    <row r="56" spans="1:26" ht="14.25" customHeight="1">
      <c r="A56" s="1061" t="s">
        <v>3721</v>
      </c>
      <c r="B56" s="1061" t="s">
        <v>3443</v>
      </c>
      <c r="C56" s="1061" t="s">
        <v>267</v>
      </c>
      <c r="D56" s="1061" t="s">
        <v>279</v>
      </c>
      <c r="E56" s="1063">
        <v>39384</v>
      </c>
      <c r="F56" s="1063">
        <v>-41836.199999999997</v>
      </c>
      <c r="G56" s="1061" t="s">
        <v>3722</v>
      </c>
      <c r="H56" s="1065">
        <v>12</v>
      </c>
      <c r="I56" s="138"/>
      <c r="J56" s="138"/>
      <c r="K56" s="138"/>
      <c r="L56" s="138"/>
      <c r="M56" s="138"/>
      <c r="N56" s="138"/>
      <c r="O56" s="138"/>
      <c r="P56" s="138"/>
      <c r="Q56" s="138"/>
      <c r="R56" s="138"/>
      <c r="S56" s="138"/>
      <c r="T56" s="138"/>
      <c r="U56" s="138"/>
      <c r="V56" s="138"/>
      <c r="W56" s="138"/>
      <c r="X56" s="138"/>
      <c r="Y56" s="138"/>
      <c r="Z56" s="138"/>
    </row>
    <row r="57" spans="1:26" ht="14.25" customHeight="1">
      <c r="A57" s="1061" t="s">
        <v>3723</v>
      </c>
      <c r="B57" s="1061" t="s">
        <v>3443</v>
      </c>
      <c r="C57" s="1061" t="s">
        <v>267</v>
      </c>
      <c r="D57" s="1061" t="s">
        <v>3577</v>
      </c>
      <c r="E57" s="1063">
        <v>49697</v>
      </c>
      <c r="F57" s="1063">
        <v>-52243.8</v>
      </c>
      <c r="G57" s="1061" t="s">
        <v>3724</v>
      </c>
      <c r="H57" s="1065">
        <v>12</v>
      </c>
      <c r="I57" s="138"/>
      <c r="J57" s="138"/>
      <c r="K57" s="138"/>
      <c r="L57" s="138"/>
      <c r="M57" s="138"/>
      <c r="N57" s="138"/>
      <c r="O57" s="138"/>
      <c r="P57" s="138"/>
      <c r="Q57" s="138"/>
      <c r="R57" s="138"/>
      <c r="S57" s="138"/>
      <c r="T57" s="138"/>
      <c r="U57" s="138"/>
      <c r="V57" s="138"/>
      <c r="W57" s="138"/>
      <c r="X57" s="138"/>
      <c r="Y57" s="138"/>
      <c r="Z57" s="138"/>
    </row>
    <row r="58" spans="1:26" ht="14.25" customHeight="1">
      <c r="A58" s="1061" t="s">
        <v>3725</v>
      </c>
      <c r="B58" s="1061" t="s">
        <v>3443</v>
      </c>
      <c r="C58" s="1061" t="s">
        <v>267</v>
      </c>
      <c r="D58" s="1061" t="s">
        <v>3577</v>
      </c>
      <c r="E58" s="1063">
        <v>49697</v>
      </c>
      <c r="F58" s="1063">
        <v>-52243.8</v>
      </c>
      <c r="G58" s="1061" t="s">
        <v>3726</v>
      </c>
      <c r="H58" s="1065">
        <v>12</v>
      </c>
      <c r="I58" s="138"/>
      <c r="J58" s="138"/>
      <c r="K58" s="138"/>
      <c r="L58" s="138"/>
      <c r="M58" s="138"/>
      <c r="N58" s="138"/>
      <c r="O58" s="138"/>
      <c r="P58" s="138"/>
      <c r="Q58" s="138"/>
      <c r="R58" s="138"/>
      <c r="S58" s="138"/>
      <c r="T58" s="138"/>
      <c r="U58" s="138"/>
      <c r="V58" s="138"/>
      <c r="W58" s="138"/>
      <c r="X58" s="138"/>
      <c r="Y58" s="138"/>
      <c r="Z58" s="138"/>
    </row>
    <row r="59" spans="1:26" ht="14.25" customHeight="1">
      <c r="A59" s="1061" t="s">
        <v>3727</v>
      </c>
      <c r="B59" s="1061" t="s">
        <v>3443</v>
      </c>
      <c r="C59" s="1061" t="s">
        <v>267</v>
      </c>
      <c r="D59" s="1061" t="s">
        <v>978</v>
      </c>
      <c r="E59" s="1063">
        <v>35568</v>
      </c>
      <c r="F59" s="1063">
        <v>-37434.6</v>
      </c>
      <c r="G59" s="1061" t="s">
        <v>3728</v>
      </c>
      <c r="H59" s="1065">
        <v>12</v>
      </c>
      <c r="I59" s="138"/>
      <c r="J59" s="138"/>
      <c r="K59" s="138"/>
      <c r="L59" s="138"/>
      <c r="M59" s="138"/>
      <c r="N59" s="138"/>
      <c r="O59" s="138"/>
      <c r="P59" s="138"/>
      <c r="Q59" s="138"/>
      <c r="R59" s="138"/>
      <c r="S59" s="138"/>
      <c r="T59" s="138"/>
      <c r="U59" s="138"/>
      <c r="V59" s="138"/>
      <c r="W59" s="138"/>
      <c r="X59" s="138"/>
      <c r="Y59" s="138"/>
      <c r="Z59" s="138"/>
    </row>
    <row r="60" spans="1:26" ht="14.25" customHeight="1">
      <c r="A60" s="1061" t="s">
        <v>3729</v>
      </c>
      <c r="B60" s="1061" t="s">
        <v>3443</v>
      </c>
      <c r="C60" s="1061" t="s">
        <v>267</v>
      </c>
      <c r="D60" s="1061" t="s">
        <v>978</v>
      </c>
      <c r="E60" s="1063">
        <v>34265</v>
      </c>
      <c r="F60" s="1063">
        <v>-36066.449999999997</v>
      </c>
      <c r="G60" s="1061" t="s">
        <v>3730</v>
      </c>
      <c r="H60" s="1065">
        <v>12</v>
      </c>
      <c r="I60" s="138"/>
      <c r="J60" s="138"/>
      <c r="K60" s="138"/>
      <c r="L60" s="138"/>
      <c r="M60" s="138"/>
      <c r="N60" s="138"/>
      <c r="O60" s="138"/>
      <c r="P60" s="138"/>
      <c r="Q60" s="138"/>
      <c r="R60" s="138"/>
      <c r="S60" s="138"/>
      <c r="T60" s="138"/>
      <c r="U60" s="138"/>
      <c r="V60" s="138"/>
      <c r="W60" s="138"/>
      <c r="X60" s="138"/>
      <c r="Y60" s="138"/>
      <c r="Z60" s="138"/>
    </row>
    <row r="61" spans="1:26" ht="14.25" customHeight="1">
      <c r="A61" s="1061" t="s">
        <v>3731</v>
      </c>
      <c r="B61" s="1061" t="s">
        <v>3443</v>
      </c>
      <c r="C61" s="1061" t="s">
        <v>267</v>
      </c>
      <c r="D61" s="1061" t="s">
        <v>978</v>
      </c>
      <c r="E61" s="1063">
        <v>28211</v>
      </c>
      <c r="F61" s="1059"/>
      <c r="G61" s="1061" t="s">
        <v>3732</v>
      </c>
      <c r="H61" s="1065">
        <v>12</v>
      </c>
      <c r="I61" s="138"/>
      <c r="J61" s="138"/>
      <c r="K61" s="138"/>
      <c r="L61" s="138"/>
      <c r="M61" s="138"/>
      <c r="N61" s="138"/>
      <c r="O61" s="138"/>
      <c r="P61" s="138"/>
      <c r="Q61" s="138"/>
      <c r="R61" s="138"/>
      <c r="S61" s="138"/>
      <c r="T61" s="138"/>
      <c r="U61" s="138"/>
      <c r="V61" s="138"/>
      <c r="W61" s="138"/>
      <c r="X61" s="138"/>
      <c r="Y61" s="138"/>
      <c r="Z61" s="138"/>
    </row>
    <row r="62" spans="1:26" ht="14.25" customHeight="1">
      <c r="A62" s="1061" t="s">
        <v>3733</v>
      </c>
      <c r="B62" s="1061" t="s">
        <v>3443</v>
      </c>
      <c r="C62" s="1061" t="s">
        <v>267</v>
      </c>
      <c r="D62" s="1061" t="s">
        <v>260</v>
      </c>
      <c r="E62" s="1063">
        <v>47482.92</v>
      </c>
      <c r="F62" s="1063">
        <v>-47526.15</v>
      </c>
      <c r="G62" s="1061" t="s">
        <v>3734</v>
      </c>
      <c r="H62" s="1065">
        <v>12</v>
      </c>
      <c r="I62" s="138"/>
      <c r="J62" s="138"/>
      <c r="K62" s="138"/>
      <c r="L62" s="138"/>
      <c r="M62" s="138"/>
      <c r="N62" s="138"/>
      <c r="O62" s="138"/>
      <c r="P62" s="138"/>
      <c r="Q62" s="138"/>
      <c r="R62" s="138"/>
      <c r="S62" s="138"/>
      <c r="T62" s="138"/>
      <c r="U62" s="138"/>
      <c r="V62" s="138"/>
      <c r="W62" s="138"/>
      <c r="X62" s="138"/>
      <c r="Y62" s="138"/>
      <c r="Z62" s="138"/>
    </row>
    <row r="63" spans="1:26" ht="14.25" customHeight="1">
      <c r="A63" s="1061" t="s">
        <v>3735</v>
      </c>
      <c r="B63" s="1061" t="s">
        <v>3443</v>
      </c>
      <c r="C63" s="1061" t="s">
        <v>267</v>
      </c>
      <c r="D63" s="1061" t="s">
        <v>260</v>
      </c>
      <c r="E63" s="1063">
        <v>40734</v>
      </c>
      <c r="F63" s="1063">
        <v>-43358.7</v>
      </c>
      <c r="G63" s="1061" t="s">
        <v>3736</v>
      </c>
      <c r="H63" s="1065">
        <v>9</v>
      </c>
      <c r="I63" s="138"/>
      <c r="J63" s="138"/>
      <c r="K63" s="138"/>
      <c r="L63" s="138"/>
      <c r="M63" s="138"/>
      <c r="N63" s="138"/>
      <c r="O63" s="138"/>
      <c r="P63" s="138"/>
      <c r="Q63" s="138"/>
      <c r="R63" s="138"/>
      <c r="S63" s="138"/>
      <c r="T63" s="138"/>
      <c r="U63" s="138"/>
      <c r="V63" s="138"/>
      <c r="W63" s="138"/>
      <c r="X63" s="138"/>
      <c r="Y63" s="138"/>
      <c r="Z63" s="138"/>
    </row>
    <row r="64" spans="1:26" ht="14.25" customHeight="1">
      <c r="A64" s="1061" t="s">
        <v>3737</v>
      </c>
      <c r="B64" s="1061" t="s">
        <v>3443</v>
      </c>
      <c r="C64" s="1061" t="s">
        <v>267</v>
      </c>
      <c r="D64" s="1061" t="s">
        <v>279</v>
      </c>
      <c r="E64" s="1063">
        <v>37806</v>
      </c>
      <c r="F64" s="1063">
        <v>-40179.300000000003</v>
      </c>
      <c r="G64" s="1061" t="s">
        <v>3738</v>
      </c>
      <c r="H64" s="1065">
        <v>3</v>
      </c>
      <c r="I64" s="138"/>
      <c r="J64" s="138"/>
      <c r="K64" s="138"/>
      <c r="L64" s="138"/>
      <c r="M64" s="138"/>
      <c r="N64" s="138"/>
      <c r="O64" s="138"/>
      <c r="P64" s="138"/>
      <c r="Q64" s="138"/>
      <c r="R64" s="138"/>
      <c r="S64" s="138"/>
      <c r="T64" s="138"/>
      <c r="U64" s="138"/>
      <c r="V64" s="138"/>
      <c r="W64" s="138"/>
      <c r="X64" s="138"/>
      <c r="Y64" s="138"/>
      <c r="Z64" s="138"/>
    </row>
    <row r="65" spans="1:26" ht="14.25" customHeight="1">
      <c r="A65" s="1061" t="s">
        <v>3739</v>
      </c>
      <c r="B65" s="1061" t="s">
        <v>3443</v>
      </c>
      <c r="C65" s="1061" t="s">
        <v>267</v>
      </c>
      <c r="D65" s="1061" t="s">
        <v>260</v>
      </c>
      <c r="E65" s="1063">
        <v>44886</v>
      </c>
      <c r="F65" s="1063">
        <v>-47718.3</v>
      </c>
      <c r="G65" s="1061" t="s">
        <v>3740</v>
      </c>
      <c r="H65" s="1065">
        <v>3</v>
      </c>
      <c r="I65" s="138"/>
      <c r="J65" s="138"/>
      <c r="K65" s="138"/>
      <c r="L65" s="138"/>
      <c r="M65" s="138"/>
      <c r="N65" s="138"/>
      <c r="O65" s="138"/>
      <c r="P65" s="138"/>
      <c r="Q65" s="138"/>
      <c r="R65" s="138"/>
      <c r="S65" s="138"/>
      <c r="T65" s="138"/>
      <c r="U65" s="138"/>
      <c r="V65" s="138"/>
      <c r="W65" s="138"/>
      <c r="X65" s="138"/>
      <c r="Y65" s="138"/>
      <c r="Z65" s="138"/>
    </row>
    <row r="66" spans="1:26" ht="14.25" customHeight="1">
      <c r="A66" s="1061" t="s">
        <v>3741</v>
      </c>
      <c r="B66" s="1061" t="s">
        <v>3443</v>
      </c>
      <c r="C66" s="1061" t="s">
        <v>267</v>
      </c>
      <c r="D66" s="1061" t="s">
        <v>260</v>
      </c>
      <c r="E66" s="1063">
        <v>44154</v>
      </c>
      <c r="F66" s="1063">
        <v>-46949.7</v>
      </c>
      <c r="G66" s="1061" t="s">
        <v>3742</v>
      </c>
      <c r="H66" s="1065">
        <v>3</v>
      </c>
      <c r="I66" s="138"/>
      <c r="J66" s="138"/>
      <c r="K66" s="138"/>
      <c r="L66" s="138"/>
      <c r="M66" s="138"/>
      <c r="N66" s="138"/>
      <c r="O66" s="138"/>
      <c r="P66" s="138"/>
      <c r="Q66" s="138"/>
      <c r="R66" s="138"/>
      <c r="S66" s="138"/>
      <c r="T66" s="138"/>
      <c r="U66" s="138"/>
      <c r="V66" s="138"/>
      <c r="W66" s="138"/>
      <c r="X66" s="138"/>
      <c r="Y66" s="138"/>
      <c r="Z66" s="138"/>
    </row>
    <row r="67" spans="1:26" ht="14.25" customHeight="1">
      <c r="A67" s="1061" t="s">
        <v>3743</v>
      </c>
      <c r="B67" s="1061" t="s">
        <v>3443</v>
      </c>
      <c r="C67" s="1061" t="s">
        <v>267</v>
      </c>
      <c r="D67" s="1061" t="s">
        <v>260</v>
      </c>
      <c r="E67" s="1063">
        <v>44154</v>
      </c>
      <c r="F67" s="1063">
        <v>-46949.7</v>
      </c>
      <c r="G67" s="1061" t="s">
        <v>3744</v>
      </c>
      <c r="H67" s="1065">
        <v>3</v>
      </c>
      <c r="I67" s="138"/>
      <c r="J67" s="138"/>
      <c r="K67" s="138"/>
      <c r="L67" s="138"/>
      <c r="M67" s="138"/>
      <c r="N67" s="138"/>
      <c r="O67" s="138"/>
      <c r="P67" s="138"/>
      <c r="Q67" s="138"/>
      <c r="R67" s="138"/>
      <c r="S67" s="138"/>
      <c r="T67" s="138"/>
      <c r="U67" s="138"/>
      <c r="V67" s="138"/>
      <c r="W67" s="138"/>
      <c r="X67" s="138"/>
      <c r="Y67" s="138"/>
      <c r="Z67" s="138"/>
    </row>
    <row r="68" spans="1:26" ht="14.25" customHeight="1">
      <c r="A68" s="1061" t="s">
        <v>3745</v>
      </c>
      <c r="B68" s="1061" t="s">
        <v>3443</v>
      </c>
      <c r="C68" s="1061" t="s">
        <v>267</v>
      </c>
      <c r="D68" s="1061" t="s">
        <v>260</v>
      </c>
      <c r="E68" s="1063">
        <v>43701</v>
      </c>
      <c r="F68" s="1063">
        <v>-46474.05</v>
      </c>
      <c r="G68" s="1061" t="s">
        <v>3746</v>
      </c>
      <c r="H68" s="1065">
        <v>3</v>
      </c>
      <c r="I68" s="138"/>
      <c r="J68" s="138"/>
      <c r="K68" s="138"/>
      <c r="L68" s="138"/>
      <c r="M68" s="138"/>
      <c r="N68" s="138"/>
      <c r="O68" s="138"/>
      <c r="P68" s="138"/>
      <c r="Q68" s="138"/>
      <c r="R68" s="138"/>
      <c r="S68" s="138"/>
      <c r="T68" s="138"/>
      <c r="U68" s="138"/>
      <c r="V68" s="138"/>
      <c r="W68" s="138"/>
      <c r="X68" s="138"/>
      <c r="Y68" s="138"/>
      <c r="Z68" s="138"/>
    </row>
    <row r="69" spans="1:26" ht="14.25" customHeight="1">
      <c r="A69" s="1061" t="s">
        <v>3747</v>
      </c>
      <c r="B69" s="1061" t="s">
        <v>3443</v>
      </c>
      <c r="C69" s="1061" t="s">
        <v>267</v>
      </c>
      <c r="D69" s="1061" t="s">
        <v>260</v>
      </c>
      <c r="E69" s="1063">
        <v>43701</v>
      </c>
      <c r="F69" s="1063">
        <v>-46474.05</v>
      </c>
      <c r="G69" s="1061" t="s">
        <v>3748</v>
      </c>
      <c r="H69" s="1065">
        <v>3</v>
      </c>
      <c r="I69" s="138"/>
      <c r="J69" s="138"/>
      <c r="K69" s="138"/>
      <c r="L69" s="138"/>
      <c r="M69" s="138"/>
      <c r="N69" s="138"/>
      <c r="O69" s="138"/>
      <c r="P69" s="138"/>
      <c r="Q69" s="138"/>
      <c r="R69" s="138"/>
      <c r="S69" s="138"/>
      <c r="T69" s="138"/>
      <c r="U69" s="138"/>
      <c r="V69" s="138"/>
      <c r="W69" s="138"/>
      <c r="X69" s="138"/>
      <c r="Y69" s="138"/>
      <c r="Z69" s="138"/>
    </row>
    <row r="70" spans="1:26" ht="14.25" customHeight="1">
      <c r="A70" s="1061" t="s">
        <v>3749</v>
      </c>
      <c r="B70" s="1061" t="s">
        <v>3443</v>
      </c>
      <c r="C70" s="1061" t="s">
        <v>267</v>
      </c>
      <c r="D70" s="1061" t="s">
        <v>260</v>
      </c>
      <c r="E70" s="1063">
        <v>40734</v>
      </c>
      <c r="F70" s="1063">
        <v>-43358.7</v>
      </c>
      <c r="G70" s="1061" t="s">
        <v>3750</v>
      </c>
      <c r="H70" s="1065">
        <v>3</v>
      </c>
      <c r="I70" s="138"/>
      <c r="J70" s="138"/>
      <c r="K70" s="138"/>
      <c r="L70" s="138"/>
      <c r="M70" s="138"/>
      <c r="N70" s="138"/>
      <c r="O70" s="138"/>
      <c r="P70" s="138"/>
      <c r="Q70" s="138"/>
      <c r="R70" s="138"/>
      <c r="S70" s="138"/>
      <c r="T70" s="138"/>
      <c r="U70" s="138"/>
      <c r="V70" s="138"/>
      <c r="W70" s="138"/>
      <c r="X70" s="138"/>
      <c r="Y70" s="138"/>
      <c r="Z70" s="138"/>
    </row>
    <row r="71" spans="1:26" ht="14.25" customHeight="1">
      <c r="A71" s="1061" t="s">
        <v>3751</v>
      </c>
      <c r="B71" s="1061" t="s">
        <v>3443</v>
      </c>
      <c r="C71" s="1061" t="s">
        <v>267</v>
      </c>
      <c r="D71" s="1061" t="s">
        <v>260</v>
      </c>
      <c r="E71" s="1063">
        <v>39069</v>
      </c>
      <c r="F71" s="1063">
        <v>-41610.449999999997</v>
      </c>
      <c r="G71" s="1061" t="s">
        <v>3752</v>
      </c>
      <c r="H71" s="1065">
        <v>3</v>
      </c>
      <c r="I71" s="138"/>
      <c r="J71" s="138"/>
      <c r="K71" s="138"/>
      <c r="L71" s="138"/>
      <c r="M71" s="138"/>
      <c r="N71" s="138"/>
      <c r="O71" s="138"/>
      <c r="P71" s="138"/>
      <c r="Q71" s="138"/>
      <c r="R71" s="138"/>
      <c r="S71" s="138"/>
      <c r="T71" s="138"/>
      <c r="U71" s="138"/>
      <c r="V71" s="138"/>
      <c r="W71" s="138"/>
      <c r="X71" s="138"/>
      <c r="Y71" s="138"/>
      <c r="Z71" s="138"/>
    </row>
    <row r="72" spans="1:26" ht="14.25" customHeight="1">
      <c r="A72" s="1061" t="s">
        <v>3753</v>
      </c>
      <c r="B72" s="1061" t="s">
        <v>3443</v>
      </c>
      <c r="C72" s="1061" t="s">
        <v>267</v>
      </c>
      <c r="D72" s="1061" t="s">
        <v>260</v>
      </c>
      <c r="E72" s="1063">
        <v>44154</v>
      </c>
      <c r="F72" s="1063">
        <v>-46949.7</v>
      </c>
      <c r="G72" s="1061" t="s">
        <v>3754</v>
      </c>
      <c r="H72" s="1065">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75" workbookViewId="0">
      <selection activeCell="D84" sqref="D84"/>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04" t="str">
        <f>Parametres!$B$1&amp;" "&amp;"2 pager"&amp;" "&amp;Parametres!$B$3&amp;" "&amp;Parametres!$B$4</f>
        <v>Volks 2 pager Avril 2024</v>
      </c>
      <c r="C1" s="1205"/>
      <c r="D1" s="1205"/>
      <c r="E1" s="1205"/>
      <c r="F1" s="1205"/>
      <c r="G1" s="1205"/>
      <c r="H1" s="1205"/>
      <c r="I1" s="1205"/>
      <c r="J1" s="1205"/>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3870</v>
      </c>
      <c r="H3" s="156" t="s">
        <v>288</v>
      </c>
      <c r="I3" s="158" t="s">
        <v>3871</v>
      </c>
      <c r="J3" s="154" t="s">
        <v>289</v>
      </c>
      <c r="K3" s="3"/>
      <c r="L3" s="3"/>
      <c r="M3" s="3"/>
      <c r="N3" s="3"/>
      <c r="O3" s="3"/>
      <c r="P3" s="3"/>
      <c r="Q3" s="3"/>
      <c r="R3" s="3"/>
      <c r="S3" s="3"/>
      <c r="T3" s="3"/>
      <c r="U3" s="3"/>
      <c r="V3" s="3"/>
      <c r="W3" s="3"/>
    </row>
    <row r="4" spans="1:23" ht="14.4" customHeight="1">
      <c r="A4" s="3"/>
      <c r="B4" s="159" t="s">
        <v>290</v>
      </c>
      <c r="C4" s="160">
        <f>+Print_Mois!$J$13+Print_Mois!$J$15</f>
        <v>73</v>
      </c>
      <c r="D4" s="160">
        <f>+Print_Mois!$D$13+Print_Mois!$D$15</f>
        <v>67</v>
      </c>
      <c r="E4" s="160">
        <f>+Print_Mois!$O$13+Print_Mois!$O$15</f>
        <v>34</v>
      </c>
      <c r="F4" s="161">
        <f t="shared" ref="F4:F15" si="0">+IFERROR($C4-D4,"")</f>
        <v>6</v>
      </c>
      <c r="G4" s="162">
        <f t="shared" ref="G4:G15" si="1">+IFERROR($C4-E4,"")</f>
        <v>39</v>
      </c>
      <c r="H4" s="163">
        <f t="shared" ref="H4:H15" si="2">+IFERROR(F4/ABS($D4),"")</f>
        <v>8.9552238805970144E-2</v>
      </c>
      <c r="I4" s="164">
        <f t="shared" ref="I4:I15" si="3">+IFERROR(G4/ABS($E4),"")</f>
        <v>1.1470588235294117</v>
      </c>
      <c r="J4" s="1201" t="s">
        <v>3905</v>
      </c>
      <c r="K4" s="3"/>
      <c r="L4" s="3"/>
      <c r="M4" s="3"/>
      <c r="N4" s="3"/>
      <c r="O4" s="3"/>
      <c r="P4" s="3"/>
      <c r="Q4" s="3"/>
      <c r="R4" s="3"/>
      <c r="S4" s="3"/>
      <c r="T4" s="3"/>
      <c r="U4" s="3"/>
      <c r="V4" s="3"/>
      <c r="W4" s="3"/>
    </row>
    <row r="5" spans="1:23" ht="14.4">
      <c r="A5" s="3"/>
      <c r="B5" s="165" t="s">
        <v>291</v>
      </c>
      <c r="C5" s="166">
        <f>+Print_Mois!$L$13+Print_Mois!$L$15</f>
        <v>196303.82000000007</v>
      </c>
      <c r="D5" s="166">
        <f>+Print_Mois!$F$13+Print_Mois!$F$15</f>
        <v>181312.4937387153</v>
      </c>
      <c r="E5" s="166">
        <f>+Print_Mois!$Q$13+Print_Mois!$Q$15</f>
        <v>85714.439999999799</v>
      </c>
      <c r="F5" s="167">
        <f t="shared" si="0"/>
        <v>14991.326261284761</v>
      </c>
      <c r="G5" s="168">
        <f t="shared" si="1"/>
        <v>110589.38000000027</v>
      </c>
      <c r="H5" s="170">
        <f t="shared" si="2"/>
        <v>8.2682257312551063E-2</v>
      </c>
      <c r="I5" s="171">
        <f t="shared" si="3"/>
        <v>1.2902071109605397</v>
      </c>
      <c r="J5" s="1202"/>
      <c r="K5" s="3"/>
      <c r="L5" s="3"/>
      <c r="M5" s="3"/>
      <c r="N5" s="3"/>
      <c r="O5" s="3"/>
      <c r="P5" s="3"/>
      <c r="Q5" s="3"/>
      <c r="R5" s="3"/>
      <c r="S5" s="3"/>
      <c r="T5" s="3"/>
      <c r="U5" s="3"/>
      <c r="V5" s="3"/>
      <c r="W5" s="3"/>
    </row>
    <row r="6" spans="1:23" ht="14.4">
      <c r="A6" s="3"/>
      <c r="B6" s="165" t="s">
        <v>292</v>
      </c>
      <c r="C6" s="166">
        <f t="shared" ref="C6:E6" si="4">+C5/C4</f>
        <v>2689.0934246575353</v>
      </c>
      <c r="D6" s="166">
        <f t="shared" si="4"/>
        <v>2706.1566229659002</v>
      </c>
      <c r="E6" s="166">
        <f t="shared" si="4"/>
        <v>2521.0129411764647</v>
      </c>
      <c r="F6" s="167">
        <f t="shared" si="0"/>
        <v>-17.063198308364917</v>
      </c>
      <c r="G6" s="168">
        <f t="shared" si="1"/>
        <v>168.08048348107059</v>
      </c>
      <c r="H6" s="170">
        <f t="shared" si="2"/>
        <v>-6.3053254802613572E-3</v>
      </c>
      <c r="I6" s="171">
        <f t="shared" si="3"/>
        <v>6.6671805104908971E-2</v>
      </c>
      <c r="J6" s="1202"/>
      <c r="K6" s="3"/>
      <c r="L6" s="3"/>
      <c r="M6" s="3"/>
      <c r="N6" s="3"/>
      <c r="O6" s="3"/>
      <c r="P6" s="3"/>
      <c r="Q6" s="3"/>
      <c r="R6" s="3"/>
      <c r="S6" s="3"/>
      <c r="T6" s="3"/>
      <c r="U6" s="3"/>
      <c r="V6" s="3"/>
      <c r="W6" s="3"/>
    </row>
    <row r="7" spans="1:23" ht="14.4">
      <c r="A7" s="3"/>
      <c r="B7" s="165" t="s">
        <v>293</v>
      </c>
      <c r="C7" s="166">
        <f>+Print_Mois!$L$31</f>
        <v>48723.01</v>
      </c>
      <c r="D7" s="166">
        <f>+Print_Mois!$F$31</f>
        <v>61646.247871163207</v>
      </c>
      <c r="E7" s="166">
        <f>+Print_Mois!$Q$31</f>
        <v>37095.46</v>
      </c>
      <c r="F7" s="167">
        <f t="shared" si="0"/>
        <v>-12923.237871163205</v>
      </c>
      <c r="G7" s="168">
        <f t="shared" si="1"/>
        <v>11627.550000000003</v>
      </c>
      <c r="H7" s="170">
        <f t="shared" si="2"/>
        <v>-0.20963543309516519</v>
      </c>
      <c r="I7" s="171">
        <f t="shared" si="3"/>
        <v>0.31344940863383292</v>
      </c>
      <c r="J7" s="1202"/>
      <c r="K7" s="3"/>
      <c r="L7" s="3"/>
      <c r="M7" s="3"/>
      <c r="N7" s="3"/>
      <c r="O7" s="3"/>
      <c r="P7" s="3"/>
      <c r="Q7" s="3"/>
      <c r="R7" s="3"/>
      <c r="S7" s="3"/>
      <c r="T7" s="3"/>
      <c r="U7" s="3"/>
      <c r="V7" s="3"/>
      <c r="W7" s="3"/>
    </row>
    <row r="8" spans="1:23" ht="14.4">
      <c r="A8" s="3"/>
      <c r="B8" s="165" t="s">
        <v>294</v>
      </c>
      <c r="C8" s="169">
        <f t="shared" ref="C8:E8" si="5">+C7/C5</f>
        <v>0.24820204721436387</v>
      </c>
      <c r="D8" s="169">
        <f t="shared" si="5"/>
        <v>0.34</v>
      </c>
      <c r="E8" s="169">
        <f t="shared" si="5"/>
        <v>0.4327795876634099</v>
      </c>
      <c r="F8" s="172">
        <f t="shared" si="0"/>
        <v>-9.1797952785636155E-2</v>
      </c>
      <c r="G8" s="173">
        <f t="shared" si="1"/>
        <v>-0.18457754044904603</v>
      </c>
      <c r="H8" s="170">
        <f t="shared" si="2"/>
        <v>-0.26999397878128278</v>
      </c>
      <c r="I8" s="171">
        <f t="shared" si="3"/>
        <v>-0.42649317507229434</v>
      </c>
      <c r="J8" s="1202"/>
      <c r="K8" s="3"/>
      <c r="L8" s="3"/>
      <c r="M8" s="3"/>
      <c r="N8" s="3"/>
      <c r="O8" s="3"/>
      <c r="P8" s="3"/>
      <c r="Q8" s="3"/>
      <c r="R8" s="3"/>
      <c r="S8" s="3"/>
      <c r="T8" s="3"/>
      <c r="U8" s="3"/>
      <c r="V8" s="3"/>
      <c r="W8" s="3"/>
    </row>
    <row r="9" spans="1:23" ht="14.4">
      <c r="A9" s="3"/>
      <c r="B9" s="165" t="s">
        <v>295</v>
      </c>
      <c r="C9" s="166">
        <f>+Print_Mois!$L$24</f>
        <v>57270.55</v>
      </c>
      <c r="D9" s="166">
        <f>+Print_Mois!$F$24</f>
        <v>87100</v>
      </c>
      <c r="E9" s="166">
        <f>+Print_Mois!$Q$24</f>
        <v>33485.11</v>
      </c>
      <c r="F9" s="167">
        <f t="shared" si="0"/>
        <v>-29829.449999999997</v>
      </c>
      <c r="G9" s="168">
        <f t="shared" si="1"/>
        <v>23785.440000000002</v>
      </c>
      <c r="H9" s="170">
        <f t="shared" si="2"/>
        <v>-0.34247359357060847</v>
      </c>
      <c r="I9" s="171">
        <f t="shared" si="3"/>
        <v>0.71032885960356718</v>
      </c>
      <c r="J9" s="1202"/>
      <c r="K9" s="3"/>
      <c r="L9" s="3"/>
      <c r="M9" s="3"/>
      <c r="N9" s="3"/>
      <c r="O9" s="3"/>
      <c r="P9" s="3"/>
      <c r="Q9" s="3"/>
      <c r="R9" s="3"/>
      <c r="S9" s="3"/>
      <c r="T9" s="3"/>
      <c r="U9" s="3"/>
      <c r="V9" s="3"/>
      <c r="W9" s="3"/>
    </row>
    <row r="10" spans="1:23" ht="14.4">
      <c r="A10" s="3"/>
      <c r="B10" s="165" t="s">
        <v>296</v>
      </c>
      <c r="C10" s="166">
        <f t="shared" ref="C10:E10" si="6">+C9/C4</f>
        <v>784.52808219178087</v>
      </c>
      <c r="D10" s="166">
        <f t="shared" si="6"/>
        <v>1300</v>
      </c>
      <c r="E10" s="166">
        <f t="shared" si="6"/>
        <v>984.85617647058825</v>
      </c>
      <c r="F10" s="167">
        <f t="shared" si="0"/>
        <v>-515.47191780821913</v>
      </c>
      <c r="G10" s="168">
        <f t="shared" si="1"/>
        <v>-200.32809427880738</v>
      </c>
      <c r="H10" s="170">
        <f t="shared" si="2"/>
        <v>-0.39651685985247626</v>
      </c>
      <c r="I10" s="171">
        <f t="shared" si="3"/>
        <v>-0.20340847634902351</v>
      </c>
      <c r="J10" s="1202"/>
      <c r="K10" s="3"/>
      <c r="L10" s="3"/>
      <c r="M10" s="3"/>
      <c r="N10" s="3"/>
      <c r="O10" s="3"/>
      <c r="P10" s="3"/>
      <c r="Q10" s="3"/>
      <c r="R10" s="3"/>
      <c r="S10" s="3"/>
      <c r="T10" s="3"/>
      <c r="U10" s="3"/>
      <c r="V10" s="3"/>
      <c r="W10" s="3"/>
    </row>
    <row r="11" spans="1:23" ht="14.4">
      <c r="A11" s="3"/>
      <c r="B11" s="165" t="s">
        <v>297</v>
      </c>
      <c r="C11" s="166">
        <f>+Print_Mois!$L$32</f>
        <v>17016.150000000001</v>
      </c>
      <c r="D11" s="166">
        <f>+Print_Mois!$F$32</f>
        <v>26130</v>
      </c>
      <c r="E11" s="166">
        <f>+Print_Mois!$Q$32</f>
        <v>10038.219999999999</v>
      </c>
      <c r="F11" s="167">
        <f t="shared" si="0"/>
        <v>-9113.8499999999985</v>
      </c>
      <c r="G11" s="168">
        <f t="shared" si="1"/>
        <v>6977.9300000000021</v>
      </c>
      <c r="H11" s="170">
        <f t="shared" si="2"/>
        <v>-0.34878874856486791</v>
      </c>
      <c r="I11" s="171">
        <f t="shared" si="3"/>
        <v>0.69513618948379319</v>
      </c>
      <c r="J11" s="1202"/>
      <c r="K11" s="3"/>
      <c r="L11" s="3"/>
      <c r="M11" s="3"/>
      <c r="N11" s="3"/>
      <c r="O11" s="3"/>
      <c r="P11" s="3"/>
      <c r="Q11" s="3"/>
      <c r="R11" s="3"/>
      <c r="S11" s="3"/>
      <c r="T11" s="3"/>
      <c r="U11" s="3"/>
      <c r="V11" s="3"/>
      <c r="W11" s="3"/>
    </row>
    <row r="12" spans="1:23" ht="14.4">
      <c r="A12" s="3"/>
      <c r="B12" s="165" t="s">
        <v>298</v>
      </c>
      <c r="C12" s="169">
        <f t="shared" ref="C12:E12" si="7">+C11/C9</f>
        <v>0.29711867617824522</v>
      </c>
      <c r="D12" s="169">
        <f t="shared" si="7"/>
        <v>0.3</v>
      </c>
      <c r="E12" s="169">
        <f t="shared" si="7"/>
        <v>0.29978160442059171</v>
      </c>
      <c r="F12" s="170">
        <f t="shared" si="0"/>
        <v>-2.8813238217547665E-3</v>
      </c>
      <c r="G12" s="174">
        <f t="shared" si="1"/>
        <v>-2.6629282423464851E-3</v>
      </c>
      <c r="H12" s="170">
        <f t="shared" si="2"/>
        <v>-9.6044127391825551E-3</v>
      </c>
      <c r="I12" s="171">
        <f t="shared" si="3"/>
        <v>-8.8828940904940035E-3</v>
      </c>
      <c r="J12" s="1202"/>
      <c r="K12" s="3"/>
      <c r="L12" s="3"/>
      <c r="M12" s="3"/>
      <c r="N12" s="3"/>
      <c r="O12" s="3"/>
      <c r="P12" s="3"/>
      <c r="Q12" s="3"/>
      <c r="R12" s="3"/>
      <c r="S12" s="3"/>
      <c r="T12" s="3"/>
      <c r="U12" s="3"/>
      <c r="V12" s="3"/>
      <c r="W12" s="3"/>
    </row>
    <row r="13" spans="1:23" ht="14.4">
      <c r="A13" s="3"/>
      <c r="B13" s="165" t="s">
        <v>299</v>
      </c>
      <c r="C13" s="166">
        <f>+Print_Mois!$L$41-C7-C11</f>
        <v>60127.179999999986</v>
      </c>
      <c r="D13" s="166">
        <f>+Print_Mois!$F$41-D7-D11</f>
        <v>42466.777899437497</v>
      </c>
      <c r="E13" s="166">
        <f>+Print_Mois!$Q$41-E7-E11</f>
        <v>13778.549999999997</v>
      </c>
      <c r="F13" s="167">
        <f t="shared" si="0"/>
        <v>17660.402100562489</v>
      </c>
      <c r="G13" s="168">
        <f t="shared" si="1"/>
        <v>46348.62999999999</v>
      </c>
      <c r="H13" s="170">
        <f t="shared" si="2"/>
        <v>0.4158639523437076</v>
      </c>
      <c r="I13" s="171">
        <f t="shared" si="3"/>
        <v>3.3638249307800892</v>
      </c>
      <c r="J13" s="1202"/>
      <c r="K13" s="3"/>
      <c r="L13" s="3"/>
      <c r="M13" s="3"/>
      <c r="N13" s="3"/>
      <c r="O13" s="3"/>
      <c r="P13" s="3"/>
      <c r="Q13" s="3"/>
      <c r="R13" s="3"/>
      <c r="S13" s="3"/>
      <c r="T13" s="3"/>
      <c r="U13" s="3"/>
      <c r="V13" s="3"/>
      <c r="W13" s="3"/>
    </row>
    <row r="14" spans="1:23" ht="14.4">
      <c r="A14" s="3"/>
      <c r="B14" s="165" t="s">
        <v>300</v>
      </c>
      <c r="C14" s="166">
        <f t="shared" ref="C14:E14" si="8">+C13/C4</f>
        <v>823.65999999999985</v>
      </c>
      <c r="D14" s="166">
        <f t="shared" si="8"/>
        <v>633.83250596175367</v>
      </c>
      <c r="E14" s="166">
        <f t="shared" si="8"/>
        <v>405.25147058823524</v>
      </c>
      <c r="F14" s="167">
        <f t="shared" si="0"/>
        <v>189.82749403824619</v>
      </c>
      <c r="G14" s="168">
        <f t="shared" si="1"/>
        <v>418.40852941176462</v>
      </c>
      <c r="H14" s="170">
        <f t="shared" si="2"/>
        <v>0.29949157269901938</v>
      </c>
      <c r="I14" s="171">
        <f t="shared" si="3"/>
        <v>1.0324664061167539</v>
      </c>
      <c r="J14" s="1202"/>
      <c r="K14" s="3"/>
      <c r="L14" s="3"/>
      <c r="M14" s="3"/>
      <c r="N14" s="3"/>
      <c r="O14" s="3"/>
      <c r="P14" s="3"/>
      <c r="Q14" s="3"/>
      <c r="R14" s="3"/>
      <c r="S14" s="3"/>
      <c r="T14" s="3"/>
      <c r="U14" s="3"/>
      <c r="V14" s="3"/>
      <c r="W14" s="3"/>
    </row>
    <row r="15" spans="1:23" ht="14.4">
      <c r="A15" s="3"/>
      <c r="B15" s="165" t="s">
        <v>301</v>
      </c>
      <c r="C15" s="166">
        <f>+Print_Mois!$L$83</f>
        <v>142811.85</v>
      </c>
      <c r="D15" s="166">
        <f>+Print_Mois!$F$83</f>
        <v>125048.26203174907</v>
      </c>
      <c r="E15" s="166">
        <f>+Print_Mois!$Q$83</f>
        <v>51685.08</v>
      </c>
      <c r="F15" s="167">
        <f t="shared" si="0"/>
        <v>17763.58796825094</v>
      </c>
      <c r="G15" s="168">
        <f t="shared" si="1"/>
        <v>91126.77</v>
      </c>
      <c r="H15" s="170">
        <f t="shared" si="2"/>
        <v>0.14205385728384504</v>
      </c>
      <c r="I15" s="171">
        <f t="shared" si="3"/>
        <v>1.763115583839669</v>
      </c>
      <c r="J15" s="1202"/>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202"/>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02"/>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03"/>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23</v>
      </c>
      <c r="D21" s="160">
        <f>+Print_Mois!$D$97</f>
        <v>42.244999999999997</v>
      </c>
      <c r="E21" s="160">
        <f>+Print_Mois!$O$97</f>
        <v>20</v>
      </c>
      <c r="F21" s="161">
        <f t="shared" ref="F21:F32" si="11">+IFERROR($C21-D21,"")</f>
        <v>-19.244999999999997</v>
      </c>
      <c r="G21" s="162">
        <f t="shared" ref="G21:G32" si="12">+IFERROR($C21-E21,"")</f>
        <v>3</v>
      </c>
      <c r="H21" s="163">
        <f t="shared" ref="H21:H32" si="13">+IFERROR(F21/ABS($D21),"")</f>
        <v>-0.45555687063557815</v>
      </c>
      <c r="I21" s="164">
        <f t="shared" ref="I21:I32" si="14">+IFERROR(G21/ABS($E21),"")</f>
        <v>0.15</v>
      </c>
      <c r="J21" s="1201" t="s">
        <v>3906</v>
      </c>
      <c r="K21" s="3"/>
      <c r="L21" s="3"/>
      <c r="M21" s="3"/>
      <c r="N21" s="3"/>
      <c r="O21" s="3"/>
      <c r="P21" s="3"/>
      <c r="Q21" s="3"/>
      <c r="R21" s="3"/>
      <c r="S21" s="3"/>
      <c r="T21" s="3"/>
      <c r="U21" s="3"/>
      <c r="V21" s="3"/>
      <c r="W21" s="3"/>
    </row>
    <row r="22" spans="1:23" ht="15.75" customHeight="1">
      <c r="A22" s="3"/>
      <c r="B22" s="165" t="s">
        <v>291</v>
      </c>
      <c r="C22" s="166">
        <f>+Print_Mois!$L$97</f>
        <v>37976.469999999958</v>
      </c>
      <c r="D22" s="166">
        <f>+Print_Mois!$F$97</f>
        <v>76041.000000000015</v>
      </c>
      <c r="E22" s="166">
        <f>+Print_Mois!$Q$97</f>
        <v>42691.979999999799</v>
      </c>
      <c r="F22" s="167">
        <f t="shared" si="11"/>
        <v>-38064.530000000057</v>
      </c>
      <c r="G22" s="168">
        <f t="shared" si="12"/>
        <v>-4715.509999999842</v>
      </c>
      <c r="H22" s="170">
        <f t="shared" si="13"/>
        <v>-0.50057902973395996</v>
      </c>
      <c r="I22" s="171">
        <f t="shared" si="14"/>
        <v>-0.11045423519827059</v>
      </c>
      <c r="J22" s="1202"/>
      <c r="K22" s="3"/>
      <c r="L22" s="3"/>
      <c r="M22" s="3"/>
      <c r="N22" s="3"/>
      <c r="O22" s="3"/>
      <c r="P22" s="3"/>
      <c r="Q22" s="3"/>
      <c r="R22" s="3"/>
      <c r="S22" s="3"/>
      <c r="T22" s="3"/>
      <c r="U22" s="3"/>
      <c r="V22" s="3"/>
      <c r="W22" s="3"/>
    </row>
    <row r="23" spans="1:23" ht="15.75" customHeight="1">
      <c r="A23" s="3"/>
      <c r="B23" s="165" t="s">
        <v>292</v>
      </c>
      <c r="C23" s="166">
        <f t="shared" ref="C23:E23" si="15">+C22/C21</f>
        <v>1651.1508695652155</v>
      </c>
      <c r="D23" s="166">
        <f t="shared" si="15"/>
        <v>1800.0000000000005</v>
      </c>
      <c r="E23" s="166">
        <f t="shared" si="15"/>
        <v>2134.5989999999902</v>
      </c>
      <c r="F23" s="167">
        <f t="shared" si="11"/>
        <v>-148.84913043478491</v>
      </c>
      <c r="G23" s="168">
        <f t="shared" si="12"/>
        <v>-483.44813043477461</v>
      </c>
      <c r="H23" s="170">
        <f t="shared" si="13"/>
        <v>-8.269396135265826E-2</v>
      </c>
      <c r="I23" s="171">
        <f t="shared" si="14"/>
        <v>-0.22648194365067015</v>
      </c>
      <c r="J23" s="1202"/>
      <c r="K23" s="3"/>
      <c r="L23" s="3"/>
      <c r="M23" s="3"/>
      <c r="N23" s="3"/>
      <c r="O23" s="3"/>
      <c r="P23" s="3"/>
      <c r="Q23" s="3"/>
      <c r="R23" s="3"/>
      <c r="S23" s="3"/>
      <c r="T23" s="3"/>
      <c r="U23" s="3"/>
      <c r="V23" s="3"/>
      <c r="W23" s="3"/>
    </row>
    <row r="24" spans="1:23" ht="15.75" customHeight="1">
      <c r="A24" s="3"/>
      <c r="B24" s="165" t="s">
        <v>293</v>
      </c>
      <c r="C24" s="166">
        <f>+Print_Mois!$L$112</f>
        <v>12859.07</v>
      </c>
      <c r="D24" s="166">
        <f>+Print_Mois!$F$112</f>
        <v>25093.530000000006</v>
      </c>
      <c r="E24" s="166">
        <f>+Print_Mois!$Q$112</f>
        <v>18663.87</v>
      </c>
      <c r="F24" s="167">
        <f t="shared" si="11"/>
        <v>-12234.460000000006</v>
      </c>
      <c r="G24" s="168">
        <f t="shared" si="12"/>
        <v>-5804.7999999999993</v>
      </c>
      <c r="H24" s="170">
        <f t="shared" si="13"/>
        <v>-0.48755436162229882</v>
      </c>
      <c r="I24" s="171">
        <f t="shared" si="14"/>
        <v>-0.31101802573635584</v>
      </c>
      <c r="J24" s="1202"/>
      <c r="K24" s="3"/>
      <c r="L24" s="3"/>
      <c r="M24" s="3"/>
      <c r="N24" s="3"/>
      <c r="O24" s="3"/>
      <c r="P24" s="3"/>
      <c r="Q24" s="3"/>
      <c r="R24" s="3"/>
      <c r="S24" s="3"/>
      <c r="T24" s="3"/>
      <c r="U24" s="3"/>
      <c r="V24" s="3"/>
      <c r="W24" s="3"/>
    </row>
    <row r="25" spans="1:23" ht="15.75" customHeight="1">
      <c r="A25" s="3"/>
      <c r="B25" s="165" t="s">
        <v>294</v>
      </c>
      <c r="C25" s="169">
        <f t="shared" ref="C25:E25" si="16">+C24/C22</f>
        <v>0.33860624750009716</v>
      </c>
      <c r="D25" s="169">
        <f t="shared" si="16"/>
        <v>0.33</v>
      </c>
      <c r="E25" s="169">
        <f t="shared" si="16"/>
        <v>0.43717508534390037</v>
      </c>
      <c r="F25" s="172">
        <f t="shared" si="11"/>
        <v>8.6062475000971417E-3</v>
      </c>
      <c r="G25" s="173">
        <f t="shared" si="12"/>
        <v>-9.8568837843803214E-2</v>
      </c>
      <c r="H25" s="170">
        <f t="shared" si="13"/>
        <v>2.6079537879082248E-2</v>
      </c>
      <c r="I25" s="171">
        <f t="shared" si="14"/>
        <v>-0.22546764705556083</v>
      </c>
      <c r="J25" s="1202"/>
      <c r="K25" s="3"/>
      <c r="L25" s="3"/>
      <c r="M25" s="3"/>
      <c r="N25" s="3"/>
      <c r="O25" s="3"/>
      <c r="P25" s="3"/>
      <c r="Q25" s="3"/>
      <c r="R25" s="3"/>
      <c r="S25" s="3"/>
      <c r="T25" s="3"/>
      <c r="U25" s="3"/>
      <c r="V25" s="3"/>
      <c r="W25" s="3"/>
    </row>
    <row r="26" spans="1:23" ht="15.75" customHeight="1">
      <c r="A26" s="3"/>
      <c r="B26" s="165" t="s">
        <v>295</v>
      </c>
      <c r="C26" s="166">
        <f>+Print_Mois!$L$105</f>
        <v>35925.979999999996</v>
      </c>
      <c r="D26" s="166">
        <f>+Print_Mois!$F$105</f>
        <v>92939</v>
      </c>
      <c r="E26" s="166">
        <f>+Print_Mois!$Q$105</f>
        <v>59305.270000000004</v>
      </c>
      <c r="F26" s="167">
        <f t="shared" si="11"/>
        <v>-57013.020000000004</v>
      </c>
      <c r="G26" s="168">
        <f t="shared" si="12"/>
        <v>-23379.290000000008</v>
      </c>
      <c r="H26" s="170">
        <f t="shared" si="13"/>
        <v>-0.61344559334617332</v>
      </c>
      <c r="I26" s="171">
        <f t="shared" si="14"/>
        <v>-0.39421943446172669</v>
      </c>
      <c r="J26" s="1202"/>
      <c r="K26" s="3"/>
      <c r="L26" s="3"/>
      <c r="M26" s="3"/>
      <c r="N26" s="3"/>
      <c r="O26" s="3"/>
      <c r="P26" s="3"/>
      <c r="Q26" s="3"/>
      <c r="R26" s="3"/>
      <c r="S26" s="3"/>
      <c r="T26" s="3"/>
      <c r="U26" s="3"/>
      <c r="V26" s="3"/>
      <c r="W26" s="3"/>
    </row>
    <row r="27" spans="1:23" ht="15.75" customHeight="1">
      <c r="A27" s="3"/>
      <c r="B27" s="165" t="s">
        <v>296</v>
      </c>
      <c r="C27" s="166">
        <f t="shared" ref="C27:E27" si="17">+C26/C21</f>
        <v>1561.9991304347825</v>
      </c>
      <c r="D27" s="166">
        <f t="shared" si="17"/>
        <v>2200</v>
      </c>
      <c r="E27" s="166">
        <f t="shared" si="17"/>
        <v>2965.2635</v>
      </c>
      <c r="F27" s="167">
        <f t="shared" si="11"/>
        <v>-638.0008695652175</v>
      </c>
      <c r="G27" s="168">
        <f t="shared" si="12"/>
        <v>-1403.2643695652175</v>
      </c>
      <c r="H27" s="170">
        <f t="shared" si="13"/>
        <v>-0.29000039525691707</v>
      </c>
      <c r="I27" s="171">
        <f t="shared" si="14"/>
        <v>-0.47323429083628404</v>
      </c>
      <c r="J27" s="1202"/>
      <c r="K27" s="3"/>
      <c r="L27" s="3"/>
      <c r="M27" s="3"/>
      <c r="N27" s="3"/>
      <c r="O27" s="3"/>
      <c r="P27" s="3"/>
      <c r="Q27" s="3"/>
      <c r="R27" s="3"/>
      <c r="S27" s="3"/>
      <c r="T27" s="3"/>
      <c r="U27" s="3"/>
      <c r="V27" s="3"/>
      <c r="W27" s="3"/>
    </row>
    <row r="28" spans="1:23" ht="15.75" customHeight="1">
      <c r="A28" s="3"/>
      <c r="B28" s="165" t="s">
        <v>297</v>
      </c>
      <c r="C28" s="166">
        <f>+Print_Mois!$L$113</f>
        <v>10777.44</v>
      </c>
      <c r="D28" s="166">
        <f>+Print_Mois!$F$113</f>
        <v>27881.7</v>
      </c>
      <c r="E28" s="166">
        <f>+Print_Mois!$Q$113</f>
        <v>17747.59</v>
      </c>
      <c r="F28" s="167">
        <f t="shared" si="11"/>
        <v>-17104.260000000002</v>
      </c>
      <c r="G28" s="168">
        <f t="shared" si="12"/>
        <v>-6970.15</v>
      </c>
      <c r="H28" s="170">
        <f t="shared" si="13"/>
        <v>-0.61345828984602813</v>
      </c>
      <c r="I28" s="171">
        <f t="shared" si="14"/>
        <v>-0.39273783088295366</v>
      </c>
      <c r="J28" s="1202"/>
      <c r="K28" s="3"/>
      <c r="L28" s="3"/>
      <c r="M28" s="3"/>
      <c r="N28" s="3"/>
      <c r="O28" s="3"/>
      <c r="P28" s="3"/>
      <c r="Q28" s="3"/>
      <c r="R28" s="3"/>
      <c r="S28" s="3"/>
      <c r="T28" s="3"/>
      <c r="U28" s="3"/>
      <c r="V28" s="3"/>
      <c r="W28" s="3"/>
    </row>
    <row r="29" spans="1:23" ht="15.75" customHeight="1">
      <c r="A29" s="3"/>
      <c r="B29" s="165" t="s">
        <v>298</v>
      </c>
      <c r="C29" s="169">
        <f t="shared" ref="C29:E29" si="18">+C28/C26</f>
        <v>0.29999014640658378</v>
      </c>
      <c r="D29" s="169">
        <f t="shared" si="18"/>
        <v>0.3</v>
      </c>
      <c r="E29" s="169">
        <f t="shared" si="18"/>
        <v>0.29925822781010858</v>
      </c>
      <c r="F29" s="170">
        <f t="shared" si="11"/>
        <v>-9.8535934162091721E-6</v>
      </c>
      <c r="G29" s="174">
        <f t="shared" si="12"/>
        <v>7.3191859647520063E-4</v>
      </c>
      <c r="H29" s="170">
        <f t="shared" si="13"/>
        <v>-3.2845311387363907E-5</v>
      </c>
      <c r="I29" s="171">
        <f t="shared" si="14"/>
        <v>2.4457760170244424E-3</v>
      </c>
      <c r="J29" s="1202"/>
      <c r="K29" s="3"/>
      <c r="L29" s="3"/>
      <c r="M29" s="3"/>
      <c r="N29" s="3"/>
      <c r="O29" s="3"/>
      <c r="P29" s="3"/>
      <c r="Q29" s="3"/>
      <c r="R29" s="3"/>
      <c r="S29" s="3"/>
      <c r="T29" s="3"/>
      <c r="U29" s="3"/>
      <c r="V29" s="3"/>
      <c r="W29" s="3"/>
    </row>
    <row r="30" spans="1:23" ht="15.75" customHeight="1">
      <c r="A30" s="3"/>
      <c r="B30" s="165" t="s">
        <v>299</v>
      </c>
      <c r="C30" s="166">
        <f>+Print_Mois!$L$122-C24-C28</f>
        <v>29102.87999999999</v>
      </c>
      <c r="D30" s="166">
        <f>+Print_Mois!$F$122-D24-D28</f>
        <v>27155.589546364678</v>
      </c>
      <c r="E30" s="166">
        <f>+Print_Mois!$Q$122-E24-E28</f>
        <v>17995.13</v>
      </c>
      <c r="F30" s="167">
        <f t="shared" si="11"/>
        <v>1947.2904536353126</v>
      </c>
      <c r="G30" s="168">
        <f t="shared" si="12"/>
        <v>11107.749999999989</v>
      </c>
      <c r="H30" s="170">
        <f t="shared" si="13"/>
        <v>7.1708642167777822E-2</v>
      </c>
      <c r="I30" s="171">
        <f t="shared" si="14"/>
        <v>0.61726422648794355</v>
      </c>
      <c r="J30" s="1202"/>
      <c r="K30" s="3"/>
      <c r="L30" s="3"/>
      <c r="M30" s="3"/>
      <c r="N30" s="3"/>
      <c r="O30" s="3"/>
      <c r="P30" s="3"/>
      <c r="Q30" s="3"/>
      <c r="R30" s="3"/>
      <c r="S30" s="3"/>
      <c r="T30" s="3"/>
      <c r="U30" s="3"/>
      <c r="V30" s="3"/>
      <c r="W30" s="3"/>
    </row>
    <row r="31" spans="1:23" ht="15.75" customHeight="1">
      <c r="A31" s="3"/>
      <c r="B31" s="165" t="s">
        <v>300</v>
      </c>
      <c r="C31" s="166">
        <f t="shared" ref="C31:E31" si="19">+C30/C21</f>
        <v>1265.3426086956517</v>
      </c>
      <c r="D31" s="166">
        <f t="shared" si="19"/>
        <v>642.81191966776373</v>
      </c>
      <c r="E31" s="166">
        <f t="shared" si="19"/>
        <v>899.75650000000007</v>
      </c>
      <c r="F31" s="167">
        <f t="shared" si="11"/>
        <v>622.530689027888</v>
      </c>
      <c r="G31" s="168">
        <f t="shared" si="12"/>
        <v>365.58610869565166</v>
      </c>
      <c r="H31" s="170">
        <f t="shared" si="13"/>
        <v>0.96844919949468566</v>
      </c>
      <c r="I31" s="171">
        <f t="shared" si="14"/>
        <v>0.40631671868516828</v>
      </c>
      <c r="J31" s="1202"/>
      <c r="K31" s="3"/>
      <c r="L31" s="3"/>
      <c r="M31" s="3"/>
      <c r="N31" s="3"/>
      <c r="O31" s="3"/>
      <c r="P31" s="3"/>
      <c r="Q31" s="3"/>
      <c r="R31" s="3"/>
      <c r="S31" s="3"/>
      <c r="T31" s="3"/>
      <c r="U31" s="3"/>
      <c r="V31" s="3"/>
      <c r="W31" s="3"/>
    </row>
    <row r="32" spans="1:23" ht="15.75" customHeight="1">
      <c r="A32" s="3"/>
      <c r="B32" s="165" t="s">
        <v>301</v>
      </c>
      <c r="C32" s="166">
        <f>+Print_Mois!$L$163</f>
        <v>6428</v>
      </c>
      <c r="D32" s="166">
        <f>+Print_Mois!$F$163</f>
        <v>20026.242249999996</v>
      </c>
      <c r="E32" s="166">
        <f>+Print_Mois!$Q$163</f>
        <v>7645</v>
      </c>
      <c r="F32" s="167">
        <f t="shared" si="11"/>
        <v>-13598.242249999996</v>
      </c>
      <c r="G32" s="168">
        <f t="shared" si="12"/>
        <v>-1217</v>
      </c>
      <c r="H32" s="170">
        <f t="shared" si="13"/>
        <v>-0.67902116034774318</v>
      </c>
      <c r="I32" s="171">
        <f t="shared" si="14"/>
        <v>-0.1591890124264225</v>
      </c>
      <c r="J32" s="1202"/>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2"/>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02"/>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0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367237.81</v>
      </c>
      <c r="D38" s="200">
        <f>+Print_Mois!$E$194</f>
        <v>427783.67734535813</v>
      </c>
      <c r="E38" s="200">
        <f>+Print_Mois!$P$194</f>
        <v>280679.91000000003</v>
      </c>
      <c r="F38" s="201">
        <f t="shared" ref="F38:F47" si="22">+IFERROR($C38-D38,"")</f>
        <v>-60545.867345358129</v>
      </c>
      <c r="G38" s="202">
        <f t="shared" ref="G38:G47" si="23">+IFERROR($C38-E38,"")</f>
        <v>86557.899999999965</v>
      </c>
      <c r="H38" s="163">
        <f t="shared" ref="H38:H47" si="24">+IFERROR(F38/ABS($D38),"")</f>
        <v>-0.14153384187325657</v>
      </c>
      <c r="I38" s="164">
        <f t="shared" ref="I38:I47" si="25">+IFERROR(G38/ABS($E38),"")</f>
        <v>0.30838651758153962</v>
      </c>
      <c r="J38" s="1201" t="s">
        <v>3907</v>
      </c>
      <c r="K38" s="3"/>
      <c r="L38" s="3"/>
      <c r="M38" s="3"/>
      <c r="N38" s="3"/>
      <c r="O38" s="3"/>
      <c r="P38" s="3"/>
      <c r="Q38" s="3"/>
      <c r="R38" s="3"/>
      <c r="S38" s="3"/>
      <c r="T38" s="3"/>
      <c r="U38" s="3"/>
      <c r="V38" s="3"/>
      <c r="W38" s="3"/>
    </row>
    <row r="39" spans="1:23" ht="15.75" customHeight="1">
      <c r="A39" s="3"/>
      <c r="B39" s="159" t="s">
        <v>306</v>
      </c>
      <c r="C39" s="200">
        <f>+Print_Mois!$L$194</f>
        <v>260372.18</v>
      </c>
      <c r="D39" s="200">
        <f>+Print_Mois!$F$194</f>
        <v>302728.4791431193</v>
      </c>
      <c r="E39" s="200">
        <f>+Print_Mois!$Q$194</f>
        <v>200133.83</v>
      </c>
      <c r="F39" s="201">
        <f t="shared" si="22"/>
        <v>-42356.299143119308</v>
      </c>
      <c r="G39" s="202">
        <f t="shared" si="23"/>
        <v>60238.350000000006</v>
      </c>
      <c r="H39" s="203">
        <f t="shared" si="24"/>
        <v>-0.1399151452912851</v>
      </c>
      <c r="I39" s="204">
        <f t="shared" si="25"/>
        <v>0.30099034231244171</v>
      </c>
      <c r="J39" s="1202"/>
      <c r="K39" s="3"/>
      <c r="L39" s="3"/>
      <c r="M39" s="3"/>
      <c r="N39" s="3"/>
      <c r="O39" s="3"/>
      <c r="P39" s="3"/>
      <c r="Q39" s="3"/>
      <c r="R39" s="3"/>
      <c r="S39" s="3"/>
      <c r="T39" s="3"/>
      <c r="U39" s="3"/>
      <c r="V39" s="3"/>
      <c r="W39" s="3"/>
    </row>
    <row r="40" spans="1:23" ht="15.75" customHeight="1">
      <c r="A40" s="3"/>
      <c r="B40" s="165" t="s">
        <v>307</v>
      </c>
      <c r="C40" s="166">
        <f>+Print_Mois!$K$172/Print_Mois!$J$172</f>
        <v>294.83777624309391</v>
      </c>
      <c r="D40" s="166">
        <f>+IFERROR(Print_Mois!$E$172/Print_Mois!$D$172,"")</f>
        <v>330</v>
      </c>
      <c r="E40" s="166">
        <f>+Print_Mois!$P$172/Print_Mois!$O$172</f>
        <v>318.36426810477656</v>
      </c>
      <c r="F40" s="167">
        <f t="shared" si="22"/>
        <v>-35.162223756906087</v>
      </c>
      <c r="G40" s="168">
        <f t="shared" si="23"/>
        <v>-23.526491861682644</v>
      </c>
      <c r="H40" s="170">
        <f t="shared" si="24"/>
        <v>-0.10655219320274571</v>
      </c>
      <c r="I40" s="171">
        <f t="shared" si="25"/>
        <v>-7.3898028826337572E-2</v>
      </c>
      <c r="J40" s="1202"/>
      <c r="K40" s="3"/>
      <c r="L40" s="3"/>
      <c r="M40" s="3"/>
      <c r="N40" s="3"/>
      <c r="O40" s="3"/>
      <c r="P40" s="3"/>
      <c r="Q40" s="3"/>
      <c r="R40" s="3"/>
      <c r="S40" s="3"/>
      <c r="T40" s="3"/>
      <c r="U40" s="3"/>
      <c r="V40" s="3"/>
      <c r="W40" s="3"/>
    </row>
    <row r="41" spans="1:23" ht="15.75" customHeight="1">
      <c r="A41" s="3"/>
      <c r="B41" s="165" t="s">
        <v>308</v>
      </c>
      <c r="C41" s="166">
        <f>+Print_Mois!$K$175/Print_Mois!$J$175</f>
        <v>237.80848484848485</v>
      </c>
      <c r="D41" s="166">
        <f>+IFERROR(Print_Mois!$E$175/Print_Mois!$D$175,"")</f>
        <v>270</v>
      </c>
      <c r="E41" s="166">
        <f>+Print_Mois!$P$175/Print_Mois!$O$175</f>
        <v>257.06947368421049</v>
      </c>
      <c r="F41" s="167">
        <f t="shared" si="22"/>
        <v>-32.191515151515148</v>
      </c>
      <c r="G41" s="168">
        <f t="shared" si="23"/>
        <v>-19.260988835725641</v>
      </c>
      <c r="H41" s="170">
        <f t="shared" si="24"/>
        <v>-0.11922783389450055</v>
      </c>
      <c r="I41" s="171">
        <f t="shared" si="25"/>
        <v>-7.4925227642494194E-2</v>
      </c>
      <c r="J41" s="1202"/>
      <c r="K41" s="3"/>
      <c r="L41" s="3"/>
      <c r="M41" s="3"/>
      <c r="N41" s="3"/>
      <c r="O41" s="3"/>
      <c r="P41" s="3"/>
      <c r="Q41" s="3"/>
      <c r="R41" s="3"/>
      <c r="S41" s="3"/>
      <c r="T41" s="3"/>
      <c r="U41" s="3"/>
      <c r="V41" s="3"/>
      <c r="W41" s="3"/>
    </row>
    <row r="42" spans="1:23" ht="15.75" customHeight="1">
      <c r="A42" s="3"/>
      <c r="B42" s="165" t="s">
        <v>309</v>
      </c>
      <c r="C42" s="166">
        <f>+Print_Mois!$L$184</f>
        <v>-3446.54</v>
      </c>
      <c r="D42" s="166">
        <f>+Print_Mois!$F$184</f>
        <v>-4558.590378992194</v>
      </c>
      <c r="E42" s="166">
        <f>+Print_Mois!$Q$184</f>
        <v>-3057.78</v>
      </c>
      <c r="F42" s="167">
        <f t="shared" si="22"/>
        <v>1112.0503789921941</v>
      </c>
      <c r="G42" s="168">
        <f t="shared" si="23"/>
        <v>-388.75999999999976</v>
      </c>
      <c r="H42" s="170">
        <f t="shared" si="24"/>
        <v>0.24394610757679974</v>
      </c>
      <c r="I42" s="171">
        <f t="shared" si="25"/>
        <v>-0.12713798899855441</v>
      </c>
      <c r="J42" s="1202"/>
      <c r="K42" s="3"/>
      <c r="L42" s="3"/>
      <c r="M42" s="3"/>
      <c r="N42" s="3"/>
      <c r="O42" s="3"/>
      <c r="P42" s="3"/>
      <c r="Q42" s="3"/>
      <c r="R42" s="3"/>
      <c r="S42" s="3"/>
      <c r="T42" s="3"/>
      <c r="U42" s="3"/>
      <c r="V42" s="3"/>
      <c r="W42" s="3"/>
    </row>
    <row r="43" spans="1:23" ht="15.75" customHeight="1">
      <c r="A43" s="3"/>
      <c r="B43" s="165" t="s">
        <v>310</v>
      </c>
      <c r="C43" s="166">
        <f>+Print_Mois!$L$210</f>
        <v>140404.29999999999</v>
      </c>
      <c r="D43" s="166">
        <f>+Print_Mois!$F$210</f>
        <v>145383.85024193514</v>
      </c>
      <c r="E43" s="166">
        <f>+Print_Mois!$Q$210</f>
        <v>102297.56</v>
      </c>
      <c r="F43" s="167">
        <f t="shared" si="22"/>
        <v>-4979.5502419351542</v>
      </c>
      <c r="G43" s="168">
        <f t="shared" si="23"/>
        <v>38106.739999999991</v>
      </c>
      <c r="H43" s="170">
        <f t="shared" si="24"/>
        <v>-3.4251054939380271E-2</v>
      </c>
      <c r="I43" s="171">
        <f t="shared" si="25"/>
        <v>0.37250878711085572</v>
      </c>
      <c r="J43" s="1202"/>
      <c r="K43" s="3"/>
      <c r="L43" s="3"/>
      <c r="M43" s="3"/>
      <c r="N43" s="3"/>
      <c r="O43" s="3"/>
      <c r="P43" s="3"/>
      <c r="Q43" s="3"/>
      <c r="R43" s="3"/>
      <c r="S43" s="3"/>
      <c r="T43" s="3"/>
      <c r="U43" s="3"/>
      <c r="V43" s="3"/>
      <c r="W43" s="3"/>
    </row>
    <row r="44" spans="1:23" ht="15.75" customHeight="1">
      <c r="A44" s="3"/>
      <c r="B44" s="181" t="s">
        <v>311</v>
      </c>
      <c r="C44" s="166">
        <f>+SUM(Print_Mois!$L$198:$L$204)</f>
        <v>81957.81</v>
      </c>
      <c r="D44" s="166">
        <f>+SUM(Print_Mois!$F$198:$F$204)</f>
        <v>78908.137754625641</v>
      </c>
      <c r="E44" s="166">
        <f>+SUM(Print_Mois!$Q$198:$Q$204)</f>
        <v>53530.48</v>
      </c>
      <c r="F44" s="167">
        <f t="shared" si="22"/>
        <v>3049.6722453743569</v>
      </c>
      <c r="G44" s="168">
        <f t="shared" si="23"/>
        <v>28427.329999999994</v>
      </c>
      <c r="H44" s="170">
        <f t="shared" si="24"/>
        <v>3.8648386999800707E-2</v>
      </c>
      <c r="I44" s="171">
        <f t="shared" si="25"/>
        <v>0.53104941334357536</v>
      </c>
      <c r="J44" s="1202"/>
      <c r="K44" s="3"/>
      <c r="L44" s="3"/>
      <c r="M44" s="3"/>
      <c r="N44" s="3"/>
      <c r="O44" s="3"/>
      <c r="P44" s="3"/>
      <c r="Q44" s="3"/>
      <c r="R44" s="3"/>
      <c r="S44" s="3"/>
      <c r="T44" s="3"/>
      <c r="U44" s="3"/>
      <c r="V44" s="3"/>
      <c r="W44" s="3"/>
    </row>
    <row r="45" spans="1:23" ht="14.4">
      <c r="A45" s="3"/>
      <c r="B45" s="181" t="s">
        <v>312</v>
      </c>
      <c r="C45" s="166">
        <f>+SUM(Print_Mois!$L$205:$L$209)</f>
        <v>58446.49</v>
      </c>
      <c r="D45" s="166">
        <f>+SUM(Print_Mois!$F$205:$F$209)</f>
        <v>66475.712487309502</v>
      </c>
      <c r="E45" s="166">
        <f>+SUM(Print_Mois!$Q$205:$Q$209)</f>
        <v>48767.08</v>
      </c>
      <c r="F45" s="167">
        <f t="shared" si="22"/>
        <v>-8029.2224873095038</v>
      </c>
      <c r="G45" s="168">
        <f t="shared" si="23"/>
        <v>9679.4099999999962</v>
      </c>
      <c r="H45" s="170">
        <f t="shared" si="24"/>
        <v>-0.12078430131669994</v>
      </c>
      <c r="I45" s="171">
        <f t="shared" si="25"/>
        <v>0.19848245988892499</v>
      </c>
      <c r="J45" s="1202"/>
      <c r="K45" s="3"/>
      <c r="L45" s="3"/>
      <c r="M45" s="3"/>
      <c r="N45" s="3"/>
      <c r="O45" s="3"/>
      <c r="P45" s="3"/>
      <c r="Q45" s="3"/>
      <c r="R45" s="3"/>
      <c r="S45" s="3"/>
      <c r="T45" s="3"/>
      <c r="U45" s="3"/>
      <c r="V45" s="3"/>
      <c r="W45" s="3"/>
    </row>
    <row r="46" spans="1:23" ht="14.4">
      <c r="A46" s="3"/>
      <c r="B46" s="165" t="s">
        <v>313</v>
      </c>
      <c r="C46" s="169">
        <f t="shared" ref="C46:E46" si="26">+C43/C38</f>
        <v>0.38232528398968502</v>
      </c>
      <c r="D46" s="169">
        <f t="shared" si="26"/>
        <v>0.33985366422609881</v>
      </c>
      <c r="E46" s="169">
        <f t="shared" si="26"/>
        <v>0.36446342027115508</v>
      </c>
      <c r="F46" s="172">
        <f t="shared" si="22"/>
        <v>4.247161976358621E-2</v>
      </c>
      <c r="G46" s="173">
        <f t="shared" si="23"/>
        <v>1.7861863718529936E-2</v>
      </c>
      <c r="H46" s="170">
        <f t="shared" si="24"/>
        <v>0.12497031585727018</v>
      </c>
      <c r="I46" s="171">
        <f t="shared" si="25"/>
        <v>4.9008659648864042E-2</v>
      </c>
      <c r="J46" s="1202"/>
      <c r="K46" s="3"/>
      <c r="L46" s="3"/>
      <c r="M46" s="3"/>
      <c r="N46" s="3"/>
      <c r="O46" s="3"/>
      <c r="P46" s="3"/>
      <c r="Q46" s="3"/>
      <c r="R46" s="3"/>
      <c r="S46" s="3"/>
      <c r="T46" s="3"/>
      <c r="U46" s="3"/>
      <c r="V46" s="3"/>
      <c r="W46" s="3"/>
    </row>
    <row r="47" spans="1:23" ht="14.4">
      <c r="A47" s="3"/>
      <c r="B47" s="205" t="s">
        <v>131</v>
      </c>
      <c r="C47" s="184">
        <f>+Print_Mois!$L$213</f>
        <v>13105.98</v>
      </c>
      <c r="D47" s="184">
        <f>+Print_Mois!$F$213</f>
        <v>13333.333333333334</v>
      </c>
      <c r="E47" s="184">
        <f>+Print_Mois!$Q$213</f>
        <v>12465.7</v>
      </c>
      <c r="F47" s="185">
        <f t="shared" si="22"/>
        <v>-227.35333333333438</v>
      </c>
      <c r="G47" s="186">
        <f t="shared" si="23"/>
        <v>640.27999999999884</v>
      </c>
      <c r="H47" s="187">
        <f t="shared" si="24"/>
        <v>-1.7051500000000077E-2</v>
      </c>
      <c r="I47" s="188">
        <f t="shared" si="25"/>
        <v>5.1363341007725098E-2</v>
      </c>
      <c r="J47" s="120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459022.42</v>
      </c>
      <c r="D50" s="200">
        <f>+Print_Mois!$D$314</f>
        <v>592051.32035478181</v>
      </c>
      <c r="E50" s="200">
        <f>+Print_Mois!$O$314</f>
        <v>373126.60000000003</v>
      </c>
      <c r="F50" s="201">
        <f t="shared" ref="F50:F59" si="27">+IFERROR($C50-D50,"")</f>
        <v>-133028.90035478183</v>
      </c>
      <c r="G50" s="202">
        <f t="shared" ref="G50:G59" si="28">+IFERROR($C50-E50,"")</f>
        <v>85895.819999999949</v>
      </c>
      <c r="H50" s="163">
        <f t="shared" ref="H50:H59" si="29">+IFERROR(F50/ABS($D50),"")</f>
        <v>-0.22469150187025236</v>
      </c>
      <c r="I50" s="164">
        <f t="shared" ref="I50:I59" si="30">+IFERROR(G50/ABS($E50),"")</f>
        <v>0.23020556561767491</v>
      </c>
      <c r="J50" s="1201" t="s">
        <v>3908</v>
      </c>
      <c r="K50" s="3"/>
      <c r="L50" s="3"/>
      <c r="M50" s="3"/>
      <c r="N50" s="3"/>
      <c r="O50" s="3"/>
      <c r="P50" s="3"/>
      <c r="Q50" s="3"/>
      <c r="R50" s="3"/>
      <c r="S50" s="3"/>
      <c r="T50" s="3"/>
      <c r="U50" s="3"/>
      <c r="V50" s="3"/>
      <c r="W50" s="3"/>
    </row>
    <row r="51" spans="1:23" ht="15.75" customHeight="1">
      <c r="A51" s="3"/>
      <c r="B51" s="181" t="s">
        <v>315</v>
      </c>
      <c r="C51" s="166">
        <f>+Print_Mois!$J$295</f>
        <v>94158.54</v>
      </c>
      <c r="D51" s="166">
        <f>+Print_Mois!$D$295</f>
        <v>179994.55319999999</v>
      </c>
      <c r="E51" s="166">
        <f>+Print_Mois!$O$295</f>
        <v>103800.09</v>
      </c>
      <c r="F51" s="167">
        <f t="shared" si="27"/>
        <v>-85836.013200000001</v>
      </c>
      <c r="G51" s="168">
        <f t="shared" si="28"/>
        <v>-9641.5500000000029</v>
      </c>
      <c r="H51" s="170">
        <f t="shared" si="29"/>
        <v>-0.47688117042421707</v>
      </c>
      <c r="I51" s="171">
        <f t="shared" si="30"/>
        <v>-9.2885757613504996E-2</v>
      </c>
      <c r="J51" s="1202"/>
      <c r="K51" s="3"/>
      <c r="L51" s="3"/>
      <c r="M51" s="3"/>
      <c r="N51" s="3"/>
      <c r="O51" s="3"/>
      <c r="P51" s="3"/>
      <c r="Q51" s="3"/>
      <c r="R51" s="3"/>
      <c r="S51" s="3"/>
      <c r="T51" s="3"/>
      <c r="U51" s="3"/>
      <c r="V51" s="3"/>
      <c r="W51" s="3"/>
    </row>
    <row r="52" spans="1:23" ht="15.75" customHeight="1">
      <c r="A52" s="3"/>
      <c r="B52" s="181" t="s">
        <v>316</v>
      </c>
      <c r="C52" s="166">
        <f>+Print_Mois!$J$297</f>
        <v>30357.78</v>
      </c>
      <c r="D52" s="166">
        <f>+Print_Mois!$D$297</f>
        <v>66852</v>
      </c>
      <c r="E52" s="166">
        <f>+Print_Mois!$O$297</f>
        <v>50247.839999999997</v>
      </c>
      <c r="F52" s="167">
        <f t="shared" si="27"/>
        <v>-36494.22</v>
      </c>
      <c r="G52" s="168">
        <f t="shared" si="28"/>
        <v>-19890.059999999998</v>
      </c>
      <c r="H52" s="170">
        <f t="shared" si="29"/>
        <v>-0.54589570992640457</v>
      </c>
      <c r="I52" s="171">
        <f t="shared" si="30"/>
        <v>-0.39583910472569567</v>
      </c>
      <c r="J52" s="1202"/>
      <c r="K52" s="3"/>
      <c r="L52" s="3"/>
      <c r="M52" s="3"/>
      <c r="N52" s="3"/>
      <c r="O52" s="3"/>
      <c r="P52" s="3"/>
      <c r="Q52" s="3"/>
      <c r="R52" s="3"/>
      <c r="S52" s="3"/>
      <c r="T52" s="3"/>
      <c r="U52" s="3"/>
      <c r="V52" s="3"/>
      <c r="W52" s="3"/>
    </row>
    <row r="53" spans="1:23" ht="15.75" customHeight="1">
      <c r="A53" s="3"/>
      <c r="B53" s="181" t="s">
        <v>317</v>
      </c>
      <c r="C53" s="166">
        <f>+Print_Mois!$J$300</f>
        <v>169839.65</v>
      </c>
      <c r="D53" s="166">
        <f>+Print_Mois!$D$300</f>
        <v>114574.82119492393</v>
      </c>
      <c r="E53" s="166">
        <f>+Print_Mois!$O$300</f>
        <v>110639.22</v>
      </c>
      <c r="F53" s="167">
        <f t="shared" si="27"/>
        <v>55264.82880507606</v>
      </c>
      <c r="G53" s="168">
        <f t="shared" si="28"/>
        <v>59200.429999999993</v>
      </c>
      <c r="H53" s="170">
        <f t="shared" si="29"/>
        <v>0.48234706568780128</v>
      </c>
      <c r="I53" s="171">
        <f t="shared" si="30"/>
        <v>0.53507634995980624</v>
      </c>
      <c r="J53" s="1202"/>
      <c r="K53" s="3"/>
      <c r="L53" s="3"/>
      <c r="M53" s="3"/>
      <c r="N53" s="3"/>
      <c r="O53" s="3"/>
      <c r="P53" s="3"/>
      <c r="Q53" s="3"/>
      <c r="R53" s="3"/>
      <c r="S53" s="3"/>
      <c r="T53" s="3"/>
      <c r="U53" s="3"/>
      <c r="V53" s="3"/>
      <c r="W53" s="3"/>
    </row>
    <row r="54" spans="1:23" ht="15.75" customHeight="1">
      <c r="A54" s="3"/>
      <c r="B54" s="181" t="s">
        <v>318</v>
      </c>
      <c r="C54" s="166">
        <f>+Print_Mois!$J$307</f>
        <v>33810.450000000004</v>
      </c>
      <c r="D54" s="166">
        <f>+Print_Mois!$D$307</f>
        <v>56512.9</v>
      </c>
      <c r="E54" s="166">
        <f>+Print_Mois!$O$307</f>
        <v>30345.22</v>
      </c>
      <c r="F54" s="167">
        <f t="shared" si="27"/>
        <v>-22702.449999999997</v>
      </c>
      <c r="G54" s="168">
        <f t="shared" si="28"/>
        <v>3465.2300000000032</v>
      </c>
      <c r="H54" s="170">
        <f t="shared" si="29"/>
        <v>-0.4017215538399197</v>
      </c>
      <c r="I54" s="171">
        <f t="shared" si="30"/>
        <v>0.11419360281454552</v>
      </c>
      <c r="J54" s="1202"/>
      <c r="K54" s="3"/>
      <c r="L54" s="3"/>
      <c r="M54" s="3"/>
      <c r="N54" s="3"/>
      <c r="O54" s="3"/>
      <c r="P54" s="3"/>
      <c r="Q54" s="3"/>
      <c r="R54" s="3"/>
      <c r="S54" s="3"/>
      <c r="T54" s="3"/>
      <c r="U54" s="3"/>
      <c r="V54" s="3"/>
      <c r="W54" s="3"/>
    </row>
    <row r="55" spans="1:23" ht="15.75" customHeight="1">
      <c r="A55" s="3"/>
      <c r="B55" s="181" t="s">
        <v>319</v>
      </c>
      <c r="C55" s="166">
        <f t="shared" ref="C55:E55" si="31">+C50-SUM(C51:C54)</f>
        <v>130856</v>
      </c>
      <c r="D55" s="166">
        <f t="shared" si="31"/>
        <v>174117.04595985787</v>
      </c>
      <c r="E55" s="166">
        <f t="shared" si="31"/>
        <v>78094.23000000004</v>
      </c>
      <c r="F55" s="167">
        <f t="shared" si="27"/>
        <v>-43261.045959857875</v>
      </c>
      <c r="G55" s="168">
        <f t="shared" si="28"/>
        <v>52761.76999999996</v>
      </c>
      <c r="H55" s="170">
        <f t="shared" si="29"/>
        <v>-0.24845956765101315</v>
      </c>
      <c r="I55" s="171">
        <f t="shared" si="30"/>
        <v>0.67561675171136115</v>
      </c>
      <c r="J55" s="1202"/>
      <c r="K55" s="3"/>
      <c r="L55" s="3"/>
      <c r="M55" s="3"/>
      <c r="N55" s="3"/>
      <c r="O55" s="3"/>
      <c r="P55" s="3"/>
      <c r="Q55" s="3"/>
      <c r="R55" s="3"/>
      <c r="S55" s="3"/>
      <c r="T55" s="3"/>
      <c r="U55" s="3"/>
      <c r="V55" s="3"/>
      <c r="W55" s="3"/>
    </row>
    <row r="56" spans="1:23" ht="15.75" customHeight="1">
      <c r="A56" s="3"/>
      <c r="B56" s="159" t="s">
        <v>306</v>
      </c>
      <c r="C56" s="200">
        <f>+Print_Mois!$L$314</f>
        <v>126155.97999999997</v>
      </c>
      <c r="D56" s="200">
        <f>+Print_Mois!$F$314</f>
        <v>160924.2439431136</v>
      </c>
      <c r="E56" s="200">
        <f>+Print_Mois!$Q$314</f>
        <v>106002.19999999976</v>
      </c>
      <c r="F56" s="201">
        <f t="shared" si="27"/>
        <v>-34768.263943113634</v>
      </c>
      <c r="G56" s="202">
        <f t="shared" si="28"/>
        <v>20153.780000000203</v>
      </c>
      <c r="H56" s="203">
        <f t="shared" si="29"/>
        <v>-0.21605361063808476</v>
      </c>
      <c r="I56" s="204">
        <f t="shared" si="30"/>
        <v>0.19012605398756108</v>
      </c>
      <c r="J56" s="1202"/>
      <c r="K56" s="3"/>
      <c r="L56" s="3"/>
      <c r="M56" s="3"/>
      <c r="N56" s="3"/>
      <c r="O56" s="3"/>
      <c r="P56" s="3"/>
      <c r="Q56" s="3"/>
      <c r="R56" s="3"/>
      <c r="S56" s="3"/>
      <c r="T56" s="3"/>
      <c r="U56" s="3"/>
      <c r="V56" s="3"/>
      <c r="W56" s="3"/>
    </row>
    <row r="57" spans="1:23" ht="15.75" customHeight="1">
      <c r="A57" s="3"/>
      <c r="B57" s="165" t="s">
        <v>307</v>
      </c>
      <c r="C57" s="166">
        <f>+Print_Mois!$J$295/Print_Mois!$J$172</f>
        <v>130.05323204419889</v>
      </c>
      <c r="D57" s="166">
        <f>+IFERROR(Print_Mois!$D$295/Print_Mois!$D$172,"")</f>
        <v>231</v>
      </c>
      <c r="E57" s="166">
        <f>+Print_Mois!$O$295/Print_Mois!$O$172</f>
        <v>159.93850539291216</v>
      </c>
      <c r="F57" s="167">
        <f t="shared" si="27"/>
        <v>-100.94676795580111</v>
      </c>
      <c r="G57" s="168">
        <f t="shared" si="28"/>
        <v>-29.88527334871327</v>
      </c>
      <c r="H57" s="170">
        <f t="shared" si="29"/>
        <v>-0.43699899547965848</v>
      </c>
      <c r="I57" s="171">
        <f t="shared" si="30"/>
        <v>-0.18685477443531034</v>
      </c>
      <c r="J57" s="1202"/>
      <c r="K57" s="3"/>
      <c r="L57" s="3"/>
      <c r="M57" s="3"/>
      <c r="N57" s="3"/>
      <c r="O57" s="3"/>
      <c r="P57" s="3"/>
      <c r="Q57" s="3"/>
      <c r="R57" s="3"/>
      <c r="S57" s="3"/>
      <c r="T57" s="3"/>
      <c r="U57" s="3"/>
      <c r="V57" s="3"/>
      <c r="W57" s="3"/>
    </row>
    <row r="58" spans="1:23" ht="15.75" customHeight="1">
      <c r="A58" s="3"/>
      <c r="B58" s="165" t="s">
        <v>308</v>
      </c>
      <c r="C58" s="166">
        <f>+Print_Mois!$J$297/Print_Mois!$J$175</f>
        <v>306.64424242424241</v>
      </c>
      <c r="D58" s="166">
        <f>+IFERROR(Print_Mois!$D$297/Print_Mois!$D$175,"")</f>
        <v>405.10127531882972</v>
      </c>
      <c r="E58" s="166">
        <f>+Print_Mois!$O$297/Print_Mois!$O$175</f>
        <v>661.15578947368419</v>
      </c>
      <c r="F58" s="167">
        <f t="shared" si="27"/>
        <v>-98.457032894587314</v>
      </c>
      <c r="G58" s="168">
        <f t="shared" si="28"/>
        <v>-354.51154704944179</v>
      </c>
      <c r="H58" s="170">
        <f t="shared" si="29"/>
        <v>-0.2430430089786757</v>
      </c>
      <c r="I58" s="171">
        <f t="shared" si="30"/>
        <v>-0.53619971675911993</v>
      </c>
      <c r="J58" s="1202"/>
      <c r="K58" s="3"/>
      <c r="L58" s="3"/>
      <c r="M58" s="3"/>
      <c r="N58" s="3"/>
      <c r="O58" s="3"/>
      <c r="P58" s="3"/>
      <c r="Q58" s="3"/>
      <c r="R58" s="3"/>
      <c r="S58" s="3"/>
      <c r="T58" s="3"/>
      <c r="U58" s="3"/>
      <c r="V58" s="3"/>
      <c r="W58" s="3"/>
    </row>
    <row r="59" spans="1:23" ht="15.75" customHeight="1">
      <c r="A59" s="3"/>
      <c r="B59" s="205" t="s">
        <v>122</v>
      </c>
      <c r="C59" s="184">
        <f>+Print_Mois!$L$320</f>
        <v>190.37</v>
      </c>
      <c r="D59" s="184">
        <f>+Print_Mois!$F$320</f>
        <v>140.24615384615385</v>
      </c>
      <c r="E59" s="184">
        <f>+Print_Mois!$Q$320</f>
        <v>2573.29</v>
      </c>
      <c r="F59" s="185">
        <f t="shared" si="27"/>
        <v>50.123846153846159</v>
      </c>
      <c r="G59" s="186">
        <f t="shared" si="28"/>
        <v>-2382.92</v>
      </c>
      <c r="H59" s="187">
        <f t="shared" si="29"/>
        <v>0.35739907854322073</v>
      </c>
      <c r="I59" s="188">
        <f t="shared" si="30"/>
        <v>-0.92602077496123647</v>
      </c>
      <c r="J59" s="120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0.42116724889879192</v>
      </c>
      <c r="D62" s="169">
        <f>+Print_Mois!$Z$433/Print_Mois!$Z$407</f>
        <v>0.35087401056226164</v>
      </c>
      <c r="E62" s="169">
        <f>+Print_Mois!$AL$433/Print_Mois!$AL$407</f>
        <v>0.49939753530079256</v>
      </c>
      <c r="F62" s="172">
        <f t="shared" ref="F62:G67" si="32">+IFERROR($C62-D62,"")</f>
        <v>7.0293238336530284E-2</v>
      </c>
      <c r="G62" s="173">
        <f t="shared" si="32"/>
        <v>-7.8230286402000637E-2</v>
      </c>
      <c r="H62" s="170">
        <f t="shared" ref="H62:H67" si="33">+IFERROR(F62/ABS($D62),"")</f>
        <v>0.20033754630013254</v>
      </c>
      <c r="I62" s="171">
        <f t="shared" ref="I62:I67" si="34">+IFERROR(G62/ABS($E62),"")</f>
        <v>-0.15664932417994751</v>
      </c>
      <c r="J62" s="1201" t="s">
        <v>3909</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02"/>
      <c r="K63" s="3"/>
      <c r="L63" s="3"/>
      <c r="M63" s="3"/>
      <c r="N63" s="3"/>
      <c r="O63" s="3"/>
      <c r="P63" s="3"/>
      <c r="Q63" s="3"/>
      <c r="R63" s="3"/>
      <c r="S63" s="3"/>
      <c r="T63" s="3"/>
      <c r="U63" s="3"/>
      <c r="V63" s="3"/>
      <c r="W63" s="3"/>
    </row>
    <row r="64" spans="1:23" ht="15.75" customHeight="1">
      <c r="A64" s="3"/>
      <c r="B64" s="181" t="s">
        <v>323</v>
      </c>
      <c r="C64" s="166">
        <f>N17+Print_Mois!$AF$414+Print_Mois!$AF$434</f>
        <v>36612.71</v>
      </c>
      <c r="D64" s="166">
        <f>+Print_Mois!$Z$414+Print_Mois!$Z$434</f>
        <v>33302.060455902771</v>
      </c>
      <c r="E64" s="166">
        <f>+Print_Mois!$AL$414+Print_Mois!$AL$434</f>
        <v>32807.780000000006</v>
      </c>
      <c r="F64" s="167">
        <f t="shared" si="32"/>
        <v>3310.6495440972285</v>
      </c>
      <c r="G64" s="168">
        <f t="shared" si="32"/>
        <v>3804.929999999993</v>
      </c>
      <c r="H64" s="170">
        <f t="shared" si="33"/>
        <v>9.9412754009051654E-2</v>
      </c>
      <c r="I64" s="171">
        <f t="shared" si="34"/>
        <v>0.11597645436539725</v>
      </c>
      <c r="J64" s="1202"/>
      <c r="K64" s="3"/>
      <c r="L64" s="3"/>
      <c r="M64" s="3"/>
      <c r="N64" s="3"/>
      <c r="O64" s="3"/>
      <c r="P64" s="3"/>
      <c r="Q64" s="3"/>
      <c r="R64" s="3"/>
      <c r="S64" s="3"/>
      <c r="T64" s="3"/>
      <c r="U64" s="3"/>
      <c r="V64" s="3"/>
      <c r="W64" s="3"/>
    </row>
    <row r="65" spans="1:23" ht="15.75" customHeight="1">
      <c r="A65" s="3"/>
      <c r="B65" s="181" t="s">
        <v>324</v>
      </c>
      <c r="C65" s="166">
        <f>+Print_Mois!$AF$452-Print_Mois!$AF$434</f>
        <v>112807.46000000002</v>
      </c>
      <c r="D65" s="166">
        <f>+Print_Mois!$Z$452-Print_Mois!$Z$434</f>
        <v>112354.2649158447</v>
      </c>
      <c r="E65" s="166">
        <f>+Print_Mois!$AL$452-Print_Mois!$AL$434</f>
        <v>110723.24000000002</v>
      </c>
      <c r="F65" s="167">
        <f t="shared" si="32"/>
        <v>453.19508415531891</v>
      </c>
      <c r="G65" s="168">
        <f t="shared" si="32"/>
        <v>2084.2200000000012</v>
      </c>
      <c r="H65" s="170">
        <f t="shared" si="33"/>
        <v>4.033625999820923E-3</v>
      </c>
      <c r="I65" s="171">
        <f t="shared" si="34"/>
        <v>1.8823690491716109E-2</v>
      </c>
      <c r="J65" s="1202"/>
      <c r="K65" s="3"/>
      <c r="L65" s="3"/>
      <c r="M65" s="3"/>
      <c r="N65" s="3"/>
      <c r="O65" s="3"/>
      <c r="P65" s="3"/>
      <c r="Q65" s="3"/>
      <c r="R65" s="3"/>
      <c r="S65" s="3"/>
      <c r="T65" s="3"/>
      <c r="U65" s="3"/>
      <c r="V65" s="3"/>
      <c r="W65" s="3"/>
    </row>
    <row r="66" spans="1:23" ht="15.75" customHeight="1">
      <c r="A66" s="3"/>
      <c r="B66" s="181" t="s">
        <v>325</v>
      </c>
      <c r="C66" s="166">
        <f>+Print_Mois!$AF$415</f>
        <v>43374.68</v>
      </c>
      <c r="D66" s="166">
        <f>+Print_Mois!$Z$415</f>
        <v>29992.662445802176</v>
      </c>
      <c r="E66" s="166">
        <f>+Print_Mois!$AL$415</f>
        <v>3889.41</v>
      </c>
      <c r="F66" s="167">
        <f t="shared" si="32"/>
        <v>13382.017554197824</v>
      </c>
      <c r="G66" s="168">
        <f t="shared" si="32"/>
        <v>39485.270000000004</v>
      </c>
      <c r="H66" s="170">
        <f t="shared" si="33"/>
        <v>0.44617637991890896</v>
      </c>
      <c r="I66" s="171">
        <f t="shared" si="34"/>
        <v>10.15199477555722</v>
      </c>
      <c r="J66" s="1202"/>
      <c r="K66" s="3"/>
      <c r="L66" s="3"/>
      <c r="M66" s="3"/>
      <c r="N66" s="3"/>
      <c r="O66" s="3"/>
      <c r="P66" s="3"/>
      <c r="Q66" s="3"/>
      <c r="R66" s="3"/>
      <c r="S66" s="3"/>
      <c r="T66" s="3"/>
      <c r="U66" s="3"/>
      <c r="V66" s="3"/>
      <c r="W66" s="3"/>
    </row>
    <row r="67" spans="1:23" ht="14.4">
      <c r="A67" s="3"/>
      <c r="B67" s="183" t="s">
        <v>326</v>
      </c>
      <c r="C67" s="184">
        <f>+Print_Mois!$AF$481-C32-C15</f>
        <v>39288.010000000009</v>
      </c>
      <c r="D67" s="184">
        <f>+Print_Mois!$Z$481-D32-D15</f>
        <v>0</v>
      </c>
      <c r="E67" s="184">
        <f>+Print_Mois!$AL$481-E32-E15</f>
        <v>130416.21999999999</v>
      </c>
      <c r="F67" s="185">
        <f t="shared" si="32"/>
        <v>39288.010000000009</v>
      </c>
      <c r="G67" s="186">
        <f t="shared" si="32"/>
        <v>-91128.209999999977</v>
      </c>
      <c r="H67" s="187" t="str">
        <f t="shared" si="33"/>
        <v/>
      </c>
      <c r="I67" s="188">
        <f t="shared" si="34"/>
        <v>-0.69874905130665488</v>
      </c>
      <c r="J67" s="120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181526.48</v>
      </c>
      <c r="D70" s="166">
        <f>+Print_Mois!$Z$419-Print_Mois!$Z$415+Print_Mois!$Z$434+Print_Mois!$Z$435+Print_Mois!$Z$436</f>
        <v>227233.80895296516</v>
      </c>
      <c r="E70" s="166">
        <f>+Print_Mois!$AL$419-Print_Mois!$AL$415+Print_Mois!$AL$434+Print_Mois!$AL$435+Print_Mois!$AL$436</f>
        <v>155241.70000000001</v>
      </c>
      <c r="F70" s="225">
        <f t="shared" ref="F70:G77" si="35">+IFERROR($C70-D70,"")</f>
        <v>-45707.328952965152</v>
      </c>
      <c r="G70" s="226">
        <f t="shared" si="35"/>
        <v>26284.78</v>
      </c>
      <c r="H70" s="170">
        <f t="shared" ref="H70:H77" si="36">+IFERROR(F70/ABS($D70),"")</f>
        <v>-0.20114669187464992</v>
      </c>
      <c r="I70" s="171">
        <f t="shared" ref="I70:I77" si="37">+IFERROR(G70/ABS($E70),"")</f>
        <v>0.16931520332487981</v>
      </c>
      <c r="J70" s="1201" t="s">
        <v>3910</v>
      </c>
      <c r="K70" s="3"/>
      <c r="L70" s="3"/>
      <c r="M70" s="3"/>
      <c r="N70" s="3"/>
      <c r="O70" s="3"/>
      <c r="P70" s="3"/>
      <c r="Q70" s="3"/>
      <c r="R70" s="3"/>
      <c r="S70" s="3"/>
      <c r="T70" s="3"/>
      <c r="U70" s="3"/>
      <c r="V70" s="3"/>
      <c r="W70" s="3"/>
    </row>
    <row r="71" spans="1:23" ht="15.75" customHeight="1">
      <c r="A71" s="3"/>
      <c r="B71" s="181" t="s">
        <v>329</v>
      </c>
      <c r="C71" s="169">
        <f>+C70/Print_Mois!$AF$407</f>
        <v>0.25007622423729614</v>
      </c>
      <c r="D71" s="169">
        <f>+D70/Print_Mois!$Z$407</f>
        <v>0.23778638750024625</v>
      </c>
      <c r="E71" s="169">
        <f>+E70/Print_Mois!$AL$407</f>
        <v>0.27265944870563386</v>
      </c>
      <c r="F71" s="172">
        <f t="shared" si="35"/>
        <v>1.2289836737049892E-2</v>
      </c>
      <c r="G71" s="173">
        <f t="shared" si="35"/>
        <v>-2.2583224468337715E-2</v>
      </c>
      <c r="H71" s="170">
        <f t="shared" si="36"/>
        <v>5.1684357823204512E-2</v>
      </c>
      <c r="I71" s="171">
        <f t="shared" si="37"/>
        <v>-8.2825754161627504E-2</v>
      </c>
      <c r="J71" s="1202"/>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452447.45999999996</v>
      </c>
      <c r="D72" s="166">
        <f>+Print_Mois!$Z$466+Print_Mois!$Z$433+Print_Mois!$Z$437+Print_Mois!$Z$439+SUM(Print_Mois!$Z$440:$Z$448)+Print_Mois!$Z$438</f>
        <v>477340.04843819048</v>
      </c>
      <c r="E72" s="166">
        <f>+Print_Mois!$AL$466+Print_Mois!$AL$433+Print_Mois!$AL$437+Print_Mois!$AL$439+SUM(Print_Mois!$AL$440:$AL$448)+Print_Mois!$AL$438</f>
        <v>415362.67999999993</v>
      </c>
      <c r="F72" s="167">
        <f t="shared" si="35"/>
        <v>-24892.58843819052</v>
      </c>
      <c r="G72" s="168">
        <f t="shared" si="35"/>
        <v>37084.780000000028</v>
      </c>
      <c r="H72" s="170">
        <f t="shared" si="36"/>
        <v>-5.2148543830832152E-2</v>
      </c>
      <c r="I72" s="171">
        <f t="shared" si="37"/>
        <v>8.9282888871961327E-2</v>
      </c>
      <c r="J72" s="1202"/>
      <c r="K72" s="3"/>
      <c r="L72" s="3"/>
      <c r="M72" s="3"/>
      <c r="N72" s="3"/>
      <c r="O72" s="3"/>
      <c r="P72" s="3"/>
      <c r="Q72" s="3"/>
      <c r="R72" s="3"/>
      <c r="S72" s="3"/>
      <c r="T72" s="3"/>
      <c r="U72" s="3"/>
      <c r="V72" s="3"/>
      <c r="W72" s="3"/>
    </row>
    <row r="73" spans="1:23" ht="15.75" customHeight="1">
      <c r="A73" s="3"/>
      <c r="B73" s="181" t="s">
        <v>331</v>
      </c>
      <c r="C73" s="169">
        <f>+C72/Print_Mois!$AF$407</f>
        <v>0.62330494406411152</v>
      </c>
      <c r="D73" s="169">
        <f>+D72/Print_Mois!$Z$407</f>
        <v>0.49950738514797383</v>
      </c>
      <c r="E73" s="169">
        <f>+E72/Print_Mois!$AL$407</f>
        <v>0.72952408625836085</v>
      </c>
      <c r="F73" s="172">
        <f t="shared" si="35"/>
        <v>0.1237975589161377</v>
      </c>
      <c r="G73" s="173">
        <f t="shared" si="35"/>
        <v>-0.10621914219424933</v>
      </c>
      <c r="H73" s="170">
        <f t="shared" si="36"/>
        <v>0.24783929646898809</v>
      </c>
      <c r="I73" s="171">
        <f t="shared" si="37"/>
        <v>-0.14560059660131885</v>
      </c>
      <c r="J73" s="1202"/>
      <c r="K73" s="3"/>
      <c r="L73" s="3"/>
      <c r="M73" s="3"/>
      <c r="N73" s="3"/>
      <c r="O73" s="3"/>
      <c r="P73" s="3"/>
      <c r="Q73" s="3"/>
      <c r="R73" s="3"/>
      <c r="S73" s="3"/>
      <c r="T73" s="3"/>
      <c r="U73" s="3"/>
      <c r="V73" s="3"/>
      <c r="W73" s="3"/>
    </row>
    <row r="74" spans="1:23" ht="15.75" customHeight="1">
      <c r="A74" s="1"/>
      <c r="B74" s="211" t="s">
        <v>332</v>
      </c>
      <c r="C74" s="200">
        <f>+Print_Mois!$AF$483+Print_Mois!$AF$415</f>
        <v>280438.52</v>
      </c>
      <c r="D74" s="200">
        <f>+Print_Mois!$Z$483+Print_Mois!$Z$415</f>
        <v>396122.25055674027</v>
      </c>
      <c r="E74" s="200">
        <f>+Print_Mois!$AL$483+Print_Mois!$AL$415</f>
        <v>188503.07999999941</v>
      </c>
      <c r="F74" s="201">
        <f t="shared" si="35"/>
        <v>-115683.73055674025</v>
      </c>
      <c r="G74" s="202">
        <f t="shared" si="35"/>
        <v>91935.440000000614</v>
      </c>
      <c r="H74" s="203">
        <f t="shared" si="36"/>
        <v>-0.29204047587367171</v>
      </c>
      <c r="I74" s="204">
        <f t="shared" si="37"/>
        <v>0.48771319810796143</v>
      </c>
      <c r="J74" s="1202"/>
      <c r="K74" s="1"/>
      <c r="L74" s="1"/>
      <c r="M74" s="1"/>
      <c r="N74" s="1"/>
      <c r="O74" s="1"/>
      <c r="P74" s="1"/>
      <c r="Q74" s="1"/>
      <c r="R74" s="1"/>
      <c r="S74" s="1"/>
      <c r="T74" s="1"/>
      <c r="U74" s="1"/>
      <c r="V74" s="1"/>
      <c r="W74" s="1"/>
    </row>
    <row r="75" spans="1:23" ht="15.75" customHeight="1">
      <c r="A75" s="3"/>
      <c r="B75" s="165" t="s">
        <v>333</v>
      </c>
      <c r="C75" s="227">
        <f>+C74/Print_Mois!$AF$406</f>
        <v>4.7619244024278459E-2</v>
      </c>
      <c r="D75" s="227">
        <f>+D74/Print_Mois!$Z$406</f>
        <v>6.1167220535165372E-2</v>
      </c>
      <c r="E75" s="227">
        <f>+E74/Print_Mois!$AL$406</f>
        <v>5.9301689376226062E-2</v>
      </c>
      <c r="F75" s="172">
        <f t="shared" si="35"/>
        <v>-1.3547976510886912E-2</v>
      </c>
      <c r="G75" s="173">
        <f t="shared" si="35"/>
        <v>-1.1682445351947603E-2</v>
      </c>
      <c r="H75" s="170">
        <f t="shared" si="36"/>
        <v>-0.2214907983778355</v>
      </c>
      <c r="I75" s="171">
        <f t="shared" si="37"/>
        <v>-0.19700021154255806</v>
      </c>
      <c r="J75" s="1202"/>
      <c r="K75" s="3"/>
      <c r="L75" s="3"/>
      <c r="M75" s="3"/>
      <c r="N75" s="3"/>
      <c r="O75" s="3"/>
      <c r="P75" s="3"/>
      <c r="Q75" s="3"/>
      <c r="R75" s="3"/>
      <c r="S75" s="3"/>
      <c r="T75" s="3"/>
      <c r="U75" s="3"/>
      <c r="V75" s="3"/>
      <c r="W75" s="3"/>
    </row>
    <row r="76" spans="1:23" ht="15.75" customHeight="1">
      <c r="A76" s="1"/>
      <c r="B76" s="211" t="s">
        <v>334</v>
      </c>
      <c r="C76" s="200">
        <f>N9+Print_Mois!$AF$498</f>
        <v>236019.96</v>
      </c>
      <c r="D76" s="200">
        <f>+Print_Mois!$Z$498</f>
        <v>364481.25477760477</v>
      </c>
      <c r="E76" s="200">
        <f>+Print_Mois!$AL$498</f>
        <v>180299.1699999994</v>
      </c>
      <c r="F76" s="201">
        <f t="shared" si="35"/>
        <v>-128461.29477760478</v>
      </c>
      <c r="G76" s="202">
        <f t="shared" si="35"/>
        <v>55720.79000000059</v>
      </c>
      <c r="H76" s="203">
        <f t="shared" si="36"/>
        <v>-0.35244966124797805</v>
      </c>
      <c r="I76" s="204">
        <f t="shared" si="37"/>
        <v>0.3090462923373456</v>
      </c>
      <c r="J76" s="1202"/>
      <c r="K76" s="1"/>
      <c r="L76" s="1"/>
      <c r="M76" s="1"/>
      <c r="N76" s="1"/>
      <c r="O76" s="1"/>
      <c r="P76" s="1"/>
      <c r="Q76" s="1"/>
      <c r="R76" s="1"/>
      <c r="S76" s="1"/>
      <c r="T76" s="1"/>
      <c r="U76" s="1"/>
      <c r="V76" s="1"/>
      <c r="W76" s="1"/>
    </row>
    <row r="77" spans="1:23" ht="15.75" customHeight="1">
      <c r="A77" s="3"/>
      <c r="B77" s="183" t="s">
        <v>335</v>
      </c>
      <c r="C77" s="228">
        <f>+C76/Print_Mois!$AF$406</f>
        <v>4.007684846518389E-2</v>
      </c>
      <c r="D77" s="228">
        <f>+D76/Print_Mois!$Z$406</f>
        <v>5.6281375915090456E-2</v>
      </c>
      <c r="E77" s="228">
        <f>+E76/Print_Mois!$AL$406</f>
        <v>5.672079933193333E-2</v>
      </c>
      <c r="F77" s="229">
        <f t="shared" si="35"/>
        <v>-1.6204527449906567E-2</v>
      </c>
      <c r="G77" s="230">
        <f t="shared" si="35"/>
        <v>-1.6643950866749441E-2</v>
      </c>
      <c r="H77" s="187">
        <f t="shared" si="36"/>
        <v>-0.28791988799907298</v>
      </c>
      <c r="I77" s="188">
        <f t="shared" si="37"/>
        <v>-0.29343646533166956</v>
      </c>
      <c r="J77" s="120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1" t="s">
        <v>3427</v>
      </c>
      <c r="C79" s="992"/>
      <c r="D79" s="993"/>
      <c r="E79" s="3"/>
      <c r="F79" s="3"/>
      <c r="G79" s="3"/>
      <c r="H79" s="3"/>
      <c r="I79" s="3"/>
      <c r="J79" s="3"/>
      <c r="K79" s="3"/>
      <c r="L79" s="3"/>
      <c r="M79" s="3"/>
      <c r="N79" s="3"/>
      <c r="O79" s="3"/>
      <c r="P79" s="3"/>
      <c r="Q79" s="3"/>
      <c r="R79" s="3"/>
      <c r="S79" s="3"/>
      <c r="T79" s="3"/>
      <c r="U79" s="3"/>
      <c r="V79" s="3"/>
      <c r="W79" s="3"/>
    </row>
    <row r="80" spans="1:23" ht="15.75" customHeight="1">
      <c r="A80" s="3"/>
      <c r="B80" s="994" t="s">
        <v>332</v>
      </c>
      <c r="C80" s="995">
        <v>192027</v>
      </c>
      <c r="D80" s="1011">
        <v>3.9E-2</v>
      </c>
      <c r="E80" s="3"/>
      <c r="F80" s="3"/>
      <c r="G80" s="3"/>
      <c r="H80" s="3"/>
      <c r="I80" s="3"/>
      <c r="J80" s="3"/>
      <c r="K80" s="3"/>
      <c r="L80" s="3"/>
      <c r="M80" s="3"/>
      <c r="N80" s="3"/>
      <c r="O80" s="3"/>
      <c r="P80" s="3"/>
      <c r="Q80" s="3"/>
      <c r="R80" s="3"/>
      <c r="S80" s="3"/>
      <c r="T80" s="3"/>
      <c r="U80" s="3"/>
      <c r="V80" s="3"/>
      <c r="W80" s="3"/>
    </row>
    <row r="81" spans="1:23" ht="15.75" customHeight="1">
      <c r="A81" s="3"/>
      <c r="B81" s="994" t="s">
        <v>336</v>
      </c>
      <c r="C81" s="997">
        <f>+C74-C80</f>
        <v>88411.520000000019</v>
      </c>
      <c r="D81" s="996"/>
      <c r="E81" s="3"/>
      <c r="F81" s="3"/>
      <c r="G81" s="3"/>
      <c r="H81" s="3"/>
      <c r="I81" s="3"/>
      <c r="J81" s="3"/>
      <c r="K81" s="3"/>
      <c r="L81" s="3"/>
      <c r="M81" s="3"/>
      <c r="N81" s="3"/>
      <c r="O81" s="3"/>
      <c r="P81" s="3"/>
      <c r="Q81" s="3"/>
      <c r="R81" s="3"/>
      <c r="S81" s="3"/>
      <c r="T81" s="3"/>
      <c r="U81" s="3"/>
      <c r="V81" s="3"/>
      <c r="W81" s="3"/>
    </row>
    <row r="82" spans="1:23" ht="15.75" customHeight="1">
      <c r="A82" s="3"/>
      <c r="B82" s="998"/>
      <c r="C82" s="999"/>
      <c r="D82" s="996"/>
      <c r="E82" s="3"/>
      <c r="F82" s="3"/>
      <c r="G82" s="3"/>
      <c r="H82" s="3"/>
      <c r="I82" s="3"/>
      <c r="J82" s="3"/>
      <c r="K82" s="3"/>
      <c r="L82" s="3"/>
      <c r="M82" s="3"/>
      <c r="N82" s="3"/>
      <c r="O82" s="3"/>
      <c r="P82" s="3"/>
      <c r="Q82" s="3"/>
      <c r="R82" s="3"/>
      <c r="S82" s="3"/>
      <c r="T82" s="3"/>
      <c r="U82" s="3"/>
      <c r="V82" s="3"/>
      <c r="W82" s="3"/>
    </row>
    <row r="83" spans="1:23" ht="15.75" customHeight="1">
      <c r="A83" s="3"/>
      <c r="B83" s="994" t="s">
        <v>334</v>
      </c>
      <c r="C83" s="995">
        <v>160386</v>
      </c>
      <c r="D83" s="1011">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1000" t="s">
        <v>336</v>
      </c>
      <c r="C84" s="1001">
        <f>+C76-C83</f>
        <v>75633.959999999992</v>
      </c>
      <c r="D84" s="1162"/>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5" t="str">
        <f>+Parametres!B1</f>
        <v>Volks</v>
      </c>
      <c r="C86" s="978" t="str">
        <f>Parametres!$B$3&amp;" "&amp;Parametres!$B$4</f>
        <v>Avril 2024</v>
      </c>
      <c r="D86" s="979" t="s">
        <v>3319</v>
      </c>
      <c r="E86" s="3"/>
      <c r="F86" s="3"/>
      <c r="G86" s="3"/>
      <c r="H86" s="3"/>
      <c r="I86" s="3"/>
      <c r="J86" s="3"/>
      <c r="K86" s="3"/>
      <c r="L86" s="3"/>
      <c r="M86" s="3"/>
      <c r="N86" s="3"/>
      <c r="O86" s="3"/>
      <c r="P86" s="3"/>
      <c r="Q86" s="3"/>
      <c r="R86" s="3"/>
      <c r="S86" s="3"/>
      <c r="T86" s="3"/>
      <c r="U86" s="3"/>
      <c r="V86" s="3"/>
      <c r="W86" s="3"/>
    </row>
    <row r="87" spans="1:23" ht="24" customHeight="1">
      <c r="A87" s="3"/>
      <c r="B87" s="966" t="str">
        <f>CONCATENATE("Réalisé ",Parametres!$B$3," ",Parametres!$B$4)</f>
        <v>Réalisé Avril 2024</v>
      </c>
      <c r="C87" s="976">
        <f>+C76</f>
        <v>236019.96</v>
      </c>
      <c r="D87" s="967">
        <f>+Print_AAD!AF498</f>
        <v>332417.28000000189</v>
      </c>
      <c r="E87" s="3"/>
      <c r="F87" s="189"/>
      <c r="G87" s="3"/>
      <c r="H87" s="3"/>
      <c r="I87" s="3"/>
      <c r="J87" s="3"/>
      <c r="K87" s="3"/>
      <c r="L87" s="3"/>
      <c r="M87" s="3"/>
      <c r="N87" s="3"/>
      <c r="O87" s="3"/>
      <c r="P87" s="3"/>
      <c r="Q87" s="3"/>
      <c r="R87" s="3"/>
      <c r="S87" s="3"/>
      <c r="T87" s="3"/>
      <c r="U87" s="3"/>
      <c r="V87" s="3"/>
      <c r="W87" s="3"/>
    </row>
    <row r="88" spans="1:23" ht="24" customHeight="1">
      <c r="A88" s="3"/>
      <c r="B88" s="966" t="str">
        <f>CONCATENATE("Budget ",Parametres!$B$3," ",Parametres!$B$4)</f>
        <v>Budget Avril 2024</v>
      </c>
      <c r="C88" s="977">
        <f>+D76</f>
        <v>364481.25477760477</v>
      </c>
      <c r="D88" s="968">
        <f>+Print_AAD!Z498</f>
        <v>413234.42522866745</v>
      </c>
      <c r="E88" s="3"/>
      <c r="F88" s="3"/>
      <c r="G88" s="3"/>
      <c r="H88" s="3"/>
      <c r="I88" s="3"/>
      <c r="J88" s="3"/>
      <c r="K88" s="3"/>
      <c r="L88" s="3"/>
      <c r="M88" s="3"/>
      <c r="N88" s="3"/>
      <c r="O88" s="3"/>
      <c r="P88" s="3"/>
      <c r="Q88" s="3"/>
      <c r="R88" s="3"/>
      <c r="S88" s="3"/>
      <c r="T88" s="3"/>
      <c r="U88" s="3"/>
      <c r="V88" s="3"/>
      <c r="W88" s="3"/>
    </row>
    <row r="89" spans="1:23" ht="24" customHeight="1" thickBot="1">
      <c r="A89" s="3"/>
      <c r="B89" s="969" t="str">
        <f>CONCATENATE("Réalisé ",Parametres!$B$3," ",Parametres!$B$4-1)</f>
        <v>Réalisé Avril 2023</v>
      </c>
      <c r="C89" s="980">
        <f>+E76</f>
        <v>180299.1699999994</v>
      </c>
      <c r="D89" s="970">
        <f>+Print_AAD!AL498</f>
        <v>328789.89999999839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Q458" zoomScale="80" zoomScaleNormal="80" workbookViewId="0">
      <selection activeCell="AF504" sqref="AF504"/>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9" t="str">
        <f>Parametres!B1</f>
        <v>Volks</v>
      </c>
      <c r="D1" s="232"/>
      <c r="E1" s="233"/>
      <c r="F1" s="232"/>
      <c r="G1" s="232"/>
      <c r="H1" s="36"/>
      <c r="I1" s="232"/>
      <c r="J1" s="36"/>
      <c r="K1" s="9" t="s">
        <v>92</v>
      </c>
      <c r="L1" s="232"/>
      <c r="M1" s="232"/>
      <c r="N1" s="234"/>
      <c r="O1" s="949"/>
      <c r="P1" s="950"/>
      <c r="Q1" s="949"/>
      <c r="R1" s="950"/>
      <c r="S1" s="951" t="str">
        <f>CONCATENATE("Réalisé,"," ",Parametres!B3," ",Parametres!B4)</f>
        <v>Réalisé, Avril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06" t="s">
        <v>343</v>
      </c>
      <c r="E3" s="1207"/>
      <c r="F3" s="1208"/>
      <c r="G3" s="1211"/>
      <c r="H3" s="1207"/>
      <c r="I3" s="1208"/>
      <c r="J3" s="1211" t="s">
        <v>344</v>
      </c>
      <c r="K3" s="1207"/>
      <c r="L3" s="1208"/>
      <c r="M3" s="1211" t="s">
        <v>3312</v>
      </c>
      <c r="N3" s="1208"/>
      <c r="O3" s="1206" t="s">
        <v>345</v>
      </c>
      <c r="P3" s="1207"/>
      <c r="Q3" s="1208"/>
      <c r="R3" s="1209" t="s">
        <v>3314</v>
      </c>
      <c r="S3" s="1210"/>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3243094.3321145447</v>
      </c>
      <c r="G5" s="247"/>
      <c r="H5" s="247"/>
      <c r="I5" s="249"/>
      <c r="J5" s="246"/>
      <c r="K5" s="250"/>
      <c r="L5" s="248">
        <f>-SUMIFS(BV_Data_An_Cour!$O:$O,BV_Data_An_Cour!$X:$X,"Oui",BV_Data_An_Cour!$U:$U,$B5)</f>
        <v>3890022.88</v>
      </c>
      <c r="M5" s="251"/>
      <c r="N5" s="252"/>
      <c r="O5" s="246"/>
      <c r="P5" s="250"/>
      <c r="Q5" s="248">
        <f t="array" ref="Q5">+INDEX('Réel 2023'!$A$2:$AO$501,MATCH($A5,'Réel 2023'!$A$2:$A$501,0),MATCH(Q$2,'Réel 2023'!$A$2:$AO$2,0))</f>
        <v>1765866.96</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12</v>
      </c>
      <c r="E6" s="254">
        <f>IF(D6=0,0,F6/D6)</f>
        <v>2198.1219285498491</v>
      </c>
      <c r="F6" s="254">
        <f>+INDEX('Budget original'!$A$2:$AO$501,MATCH($A6,'Budget original'!$A$2:$A$501,0),MATCH(F$2,'Budget original'!$A$2:$AO$2,0))</f>
        <v>26377.46314259819</v>
      </c>
      <c r="G6" s="255"/>
      <c r="H6" s="254"/>
      <c r="I6" s="254"/>
      <c r="J6" s="255">
        <f>-SUMIFS(BV_Data_An_Cour!$O:$O,BV_Data_An_Cour!$U:$U,$B6,BV_Data_An_Cour!$V:$V,$C6,BV_Data_An_Cour!$W:$W,J$2)</f>
        <v>18</v>
      </c>
      <c r="K6" s="254">
        <f t="shared" ref="K6:K12" si="0">IF(J6=0,0,L6/J6)</f>
        <v>2168.0938888888859</v>
      </c>
      <c r="L6" s="256">
        <f>-SUMIFS(BV_Data_An_Cour!$O:$O,BV_Data_An_Cour!$U:$U,$B6,BV_Data_An_Cour!$V:$V,$C6,BV_Data_An_Cour!$W:$W,L$2)</f>
        <v>39025.689999999944</v>
      </c>
      <c r="M6" s="255">
        <f t="shared" ref="M6:M12" si="1">J6-D6</f>
        <v>6</v>
      </c>
      <c r="N6" s="256">
        <f t="shared" ref="N6:N12" si="2">L6-F6</f>
        <v>12648.226857401754</v>
      </c>
      <c r="O6" s="255">
        <f>+INDEX('Réel 2023'!$A$2:$AO$501,MATCH($A6,'Réel 2023'!$A$2:$A$501,0),MATCH(O$2,'Réel 2023'!$A$2:$AO$2,0))</f>
        <v>12</v>
      </c>
      <c r="P6" s="254">
        <f t="shared" ref="P6:P12" si="3">IF(O6=0,0,Q6/O6)</f>
        <v>2975.6024999999918</v>
      </c>
      <c r="Q6" s="256">
        <f t="array" ref="Q6">+INDEX('Réel 2023'!$A$2:$AO$501,MATCH($A6,'Réel 2023'!$A$2:$A$501,0),MATCH(Q$2,'Réel 2023'!$A$2:$AO$2,0))</f>
        <v>35707.229999999901</v>
      </c>
      <c r="R6" s="255">
        <f t="shared" ref="R6:R12" si="4">J6-O6</f>
        <v>6</v>
      </c>
      <c r="S6" s="256">
        <f t="shared" ref="S6:S12" si="5">L6-Q6</f>
        <v>3318.4600000000428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50</v>
      </c>
      <c r="E7" s="254">
        <f t="shared" ref="E7:E12" si="6">IF(D7=0,0,F7/D7)</f>
        <v>2850.2586963355784</v>
      </c>
      <c r="F7" s="254">
        <f>+INDEX('Budget original'!$A$2:$AO$501,MATCH($A7,'Budget original'!$A$2:$A$501,0),MATCH(F$2,'Budget original'!$A$2:$AO$2,0))</f>
        <v>142512.93481677893</v>
      </c>
      <c r="G7" s="255"/>
      <c r="H7" s="254"/>
      <c r="I7" s="254"/>
      <c r="J7" s="255">
        <f>-SUMIFS(BV_Data_An_Cour!$O:$O,BV_Data_An_Cour!$U:$U,$B7,BV_Data_An_Cour!$V:$V,$C7,BV_Data_An_Cour!$W:$W,J$2)</f>
        <v>51</v>
      </c>
      <c r="K7" s="254">
        <f t="shared" si="0"/>
        <v>2906.2868627451003</v>
      </c>
      <c r="L7" s="256">
        <f>-SUMIFS(BV_Data_An_Cour!$O:$O,BV_Data_An_Cour!$U:$U,$B7,BV_Data_An_Cour!$V:$V,$C7,BV_Data_An_Cour!$W:$W,L$2)</f>
        <v>148220.63000000012</v>
      </c>
      <c r="M7" s="255">
        <f t="shared" si="1"/>
        <v>1</v>
      </c>
      <c r="N7" s="256">
        <f t="shared" si="2"/>
        <v>5707.6951832211926</v>
      </c>
      <c r="O7" s="255">
        <f t="array" ref="O7">+INDEX('Réel 2023'!$A$2:$AO$501,MATCH($A7,'Réel 2023'!$A$2:$A$501,0),MATCH(O$2,'Réel 2023'!$A$2:$AO$2,0))</f>
        <v>16</v>
      </c>
      <c r="P7" s="254">
        <f t="shared" si="3"/>
        <v>2481.2724999999937</v>
      </c>
      <c r="Q7" s="256">
        <f t="array" ref="Q7">+INDEX('Réel 2023'!$A$2:$AO$501,MATCH($A7,'Réel 2023'!$A$2:$A$501,0),MATCH(Q$2,'Réel 2023'!$A$2:$AO$2,0))</f>
        <v>39700.359999999899</v>
      </c>
      <c r="R7" s="255">
        <f t="shared" si="4"/>
        <v>35</v>
      </c>
      <c r="S7" s="256">
        <f t="shared" si="5"/>
        <v>108520.27000000022</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62</v>
      </c>
      <c r="E13" s="260">
        <f>IF(D13&lt;=0,0,F13/D13)</f>
        <v>2724.0386767641471</v>
      </c>
      <c r="F13" s="261">
        <f>+SUM(F6:F12)</f>
        <v>168890.39795937712</v>
      </c>
      <c r="G13" s="262"/>
      <c r="H13" s="260"/>
      <c r="I13" s="261"/>
      <c r="J13" s="262">
        <f t="shared" ref="J13" si="7">+SUM(J6:J12)</f>
        <v>69</v>
      </c>
      <c r="K13" s="260">
        <f>IF(J13&lt;=0,0,L13/J13)</f>
        <v>2713.7147826086966</v>
      </c>
      <c r="L13" s="261">
        <f t="shared" ref="L13" si="8">+SUM(L6:L12)</f>
        <v>187246.32000000007</v>
      </c>
      <c r="M13" s="262">
        <f>+SUM(M6:M12)</f>
        <v>7</v>
      </c>
      <c r="N13" s="261">
        <f t="shared" ref="N13" si="9">+SUM(N6:N12)</f>
        <v>18355.922040622947</v>
      </c>
      <c r="O13" s="262">
        <f>+SUM(O6:O12)</f>
        <v>28</v>
      </c>
      <c r="P13" s="260">
        <f>IF(O13&lt;=0,0,Q13/O13)</f>
        <v>2693.1282142857067</v>
      </c>
      <c r="Q13" s="261">
        <f t="shared" ref="Q13" si="10">+SUM(Q6:Q12)</f>
        <v>75407.589999999793</v>
      </c>
      <c r="R13" s="262">
        <f t="shared" ref="R13:S13" si="11">+SUM(R6:R12)</f>
        <v>41</v>
      </c>
      <c r="S13" s="261">
        <f t="shared" si="11"/>
        <v>111838.73000000027</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81">
        <f>IF(D13=0,0,M13/D13)</f>
        <v>0.11290322580645161</v>
      </c>
      <c r="N14" s="982">
        <f>IF(F13=0,0,N13/F13)</f>
        <v>0.10868540936849506</v>
      </c>
      <c r="O14" s="253"/>
      <c r="P14" s="254"/>
      <c r="Q14" s="263"/>
      <c r="R14" s="981">
        <f>R13/O13</f>
        <v>1.4642857142857142</v>
      </c>
      <c r="S14" s="982">
        <f>IF(Q13=0,0,(S13/Q13))</f>
        <v>1.4831229853652739</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5</v>
      </c>
      <c r="E15" s="250">
        <f>IF(D15=0,0,F15/D15)</f>
        <v>2484.4191558676371</v>
      </c>
      <c r="F15" s="248">
        <f>+INDEX('Budget original'!$A$2:$AO$501,MATCH($A15,'Budget original'!$A$2:$A$501,0),MATCH(F$2,'Budget original'!$A$2:$AO$2,0))</f>
        <v>12422.095779338186</v>
      </c>
      <c r="G15" s="267"/>
      <c r="H15" s="250"/>
      <c r="I15" s="248"/>
      <c r="J15" s="268">
        <f>-SUMIFS(BV_Data_An_Cour!$O:$O,BV_Data_An_Cour!$U:$U,$B15,BV_Data_An_Cour!$V:$V,$C15,BV_Data_An_Cour!$W:$W,J$2)</f>
        <v>4</v>
      </c>
      <c r="K15" s="269">
        <f>IF(J15=0,0,L15/J15)</f>
        <v>2264.375</v>
      </c>
      <c r="L15" s="269">
        <f>-SUMIFS(BV_Data_An_Cour!$O:$O,BV_Data_An_Cour!$U:$U,$B15,BV_Data_An_Cour!$V:$V,$C15,BV_Data_An_Cour!$W:$W,L$2)</f>
        <v>9057.5</v>
      </c>
      <c r="M15" s="267">
        <f>J15-D15</f>
        <v>-1</v>
      </c>
      <c r="N15" s="248">
        <f>L15-F15</f>
        <v>-3364.5957793381858</v>
      </c>
      <c r="O15" s="268">
        <f t="array" ref="O15">+INDEX('Réel 2023'!$A$2:$AO$501,MATCH($A15,'Réel 2023'!$A$2:$A$501,0),MATCH(O$2,'Réel 2023'!$A$2:$AO$2,0))</f>
        <v>6</v>
      </c>
      <c r="P15" s="269">
        <f>IF(O15=0,0,Q15/O15)</f>
        <v>1717.8083333333334</v>
      </c>
      <c r="Q15" s="269">
        <f t="array" ref="Q15">+INDEX('Réel 2023'!$A$2:$AO$501,MATCH($A15,'Réel 2023'!$A$2:$A$501,0),MATCH(Q$2,'Réel 2023'!$A$2:$AO$2,0))</f>
        <v>10306.85</v>
      </c>
      <c r="R15" s="267">
        <f>J15-O15</f>
        <v>-2</v>
      </c>
      <c r="S15" s="248">
        <f>L15-Q15</f>
        <v>-1249.3500000000004</v>
      </c>
      <c r="T15" s="41"/>
      <c r="U15" s="1166"/>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4.5</v>
      </c>
      <c r="E17" s="254">
        <f>IF(D17=0,0,F17/D17)</f>
        <v>2664.4640678584237</v>
      </c>
      <c r="F17" s="254">
        <f>+INDEX('Budget original'!$A$2:$AO$501,MATCH($A17,'Budget original'!$A$2:$A$501,0),MATCH(F$2,'Budget original'!$A$2:$AO$2,0))</f>
        <v>11990.088305362908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-4.5</v>
      </c>
      <c r="N17" s="256">
        <f>L17-F17</f>
        <v>-11990.088305362908</v>
      </c>
      <c r="O17" s="267">
        <f t="array" ref="O17">+INDEX('Réel 2023'!$A$2:$AO$501,MATCH($A17,'Réel 2023'!$A$2:$A$501,0),MATCH(O$2,'Réel 2023'!$A$2:$AO$2,0))</f>
        <v>3</v>
      </c>
      <c r="P17" s="254">
        <f>IF(O17=0,0,Q17/O17)</f>
        <v>3228.9066666666663</v>
      </c>
      <c r="Q17" s="256">
        <f t="array" ref="Q17">+INDEX('Réel 2023'!$A$2:$AO$501,MATCH($A17,'Réel 2023'!$A$2:$A$501,0),MATCH(Q$2,'Réel 2023'!$A$2:$AO$2,0))</f>
        <v>9686.7199999999993</v>
      </c>
      <c r="R17" s="255">
        <f>J17-O17</f>
        <v>-3</v>
      </c>
      <c r="S17" s="256">
        <f>L17-Q17</f>
        <v>-9686.7199999999993</v>
      </c>
      <c r="T17" s="41"/>
      <c r="U17" s="41"/>
      <c r="V17" s="1003"/>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8500</v>
      </c>
      <c r="G19" s="255"/>
      <c r="H19" s="254"/>
      <c r="I19" s="254"/>
      <c r="J19" s="267"/>
      <c r="K19" s="254"/>
      <c r="L19" s="256">
        <f>-SUMIFS(BV_Data_An_Cour!$O:$O,BV_Data_An_Cour!$U:$U,$B19,BV_Data_An_Cour!$V:$V,$C19,BV_Data_An_Cour!$W:$W,L$2)</f>
        <v>6030.3699999999953</v>
      </c>
      <c r="M19" s="255"/>
      <c r="N19" s="256">
        <f>L19-F19</f>
        <v>-2469.6300000000047</v>
      </c>
      <c r="O19" s="267"/>
      <c r="P19" s="254"/>
      <c r="Q19" s="256">
        <f t="array" ref="Q19">+INDEX('Réel 2023'!$A$2:$AO$501,MATCH($A19,'Réel 2023'!$A$2:$A$501,0),MATCH(Q$2,'Réel 2023'!$A$2:$AO$2,0))</f>
        <v>7229.2700000000104</v>
      </c>
      <c r="R19" s="255">
        <f>O19-K19</f>
        <v>0</v>
      </c>
      <c r="S19" s="256">
        <f>L19-Q19</f>
        <v>-1198.9000000000151</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13400</v>
      </c>
      <c r="G21" s="255"/>
      <c r="H21" s="254"/>
      <c r="I21" s="254"/>
      <c r="J21" s="255"/>
      <c r="K21" s="254">
        <f>IF(J13=0,0,L21/(J13+J15))</f>
        <v>0</v>
      </c>
      <c r="L21" s="256">
        <f>-SUMIFS(BV_Data_An_Cour!$O:$O,BV_Data_An_Cour!$U:$U,$B21,BV_Data_An_Cour!$V:$V,$C21,BV_Data_An_Cour!$W:$W,L$2)</f>
        <v>0</v>
      </c>
      <c r="M21" s="255"/>
      <c r="N21" s="256">
        <f>L21-F21</f>
        <v>-13400</v>
      </c>
      <c r="O21" s="255"/>
      <c r="P21" s="254"/>
      <c r="Q21" s="256">
        <f t="array" ref="Q21">+INDEX('Réel 2023'!$A$2:$AO$501,MATCH($A21,'Réel 2023'!$A$2:$A$501,0),MATCH(Q$2,'Réel 2023'!$A$2:$AO$2,0))</f>
        <v>2434.63</v>
      </c>
      <c r="R21" s="255">
        <f t="shared" ref="R21:R23" si="12">O21-K21</f>
        <v>0</v>
      </c>
      <c r="S21" s="256">
        <f t="shared" ref="S21:S24" si="13">L21-Q21</f>
        <v>-2434.63</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72360</v>
      </c>
      <c r="G22" s="255"/>
      <c r="H22" s="254"/>
      <c r="I22" s="254"/>
      <c r="J22" s="255"/>
      <c r="K22" s="254">
        <f>IF(J13=0,0,L22/(J13+J15))</f>
        <v>765.92219178082189</v>
      </c>
      <c r="L22" s="256">
        <f>-SUMIFS(BV_Data_An_Cour!$O:$O,BV_Data_An_Cour!$U:$U,$B22,BV_Data_An_Cour!$V:$V,$C22,BV_Data_An_Cour!$W:$W,L$2)</f>
        <v>55912.32</v>
      </c>
      <c r="M22" s="255"/>
      <c r="N22" s="256">
        <f>L22-F22</f>
        <v>-16447.68</v>
      </c>
      <c r="O22" s="255"/>
      <c r="P22" s="254"/>
      <c r="Q22" s="256">
        <f t="array" ref="Q22">+INDEX('Réel 2023'!$A$2:$AO$501,MATCH($A22,'Réel 2023'!$A$2:$A$501,0),MATCH(Q$2,'Réel 2023'!$A$2:$AO$2,0))</f>
        <v>31050.48</v>
      </c>
      <c r="R22" s="255">
        <f t="shared" si="12"/>
        <v>-765.92219178082189</v>
      </c>
      <c r="S22" s="256">
        <f t="shared" si="13"/>
        <v>24861.84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1340</v>
      </c>
      <c r="G23" s="255"/>
      <c r="H23" s="254"/>
      <c r="I23" s="254"/>
      <c r="J23" s="255"/>
      <c r="K23" s="254">
        <f>IF(J13=0,0,L23/(J13+J15))</f>
        <v>18.605890410958903</v>
      </c>
      <c r="L23" s="256">
        <f>-SUMIFS(BV_Data_An_Cour!$O:$O,BV_Data_An_Cour!$U:$U,$B23,BV_Data_An_Cour!$V:$V,$C23,BV_Data_An_Cour!$W:$W,L$2)</f>
        <v>1358.23</v>
      </c>
      <c r="M23" s="267"/>
      <c r="N23" s="256">
        <f>L23-F23</f>
        <v>18.230000000000018</v>
      </c>
      <c r="O23" s="255"/>
      <c r="P23" s="254"/>
      <c r="Q23" s="256">
        <f t="array" ref="Q23">+INDEX('Réel 2023'!$A$2:$AO$501,MATCH($A23,'Réel 2023'!$A$2:$A$501,0),MATCH(Q$2,'Réel 2023'!$A$2:$AO$2,0))</f>
        <v>0</v>
      </c>
      <c r="R23" s="255">
        <f t="shared" si="12"/>
        <v>-18.605890410958903</v>
      </c>
      <c r="S23" s="256">
        <f t="shared" si="13"/>
        <v>1358.23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67</v>
      </c>
      <c r="E24" s="260">
        <f>IF(D24&lt;=0,0,F24/D24)</f>
        <v>1300</v>
      </c>
      <c r="F24" s="261">
        <f>F21+F22+F23</f>
        <v>87100</v>
      </c>
      <c r="G24" s="262"/>
      <c r="H24" s="260"/>
      <c r="I24" s="261"/>
      <c r="J24" s="262">
        <f>+J15+J13</f>
        <v>73</v>
      </c>
      <c r="K24" s="260">
        <f>IF(J24&lt;=0,0,L24/J24)</f>
        <v>784.52808219178087</v>
      </c>
      <c r="L24" s="261">
        <f>L21+L22+L23</f>
        <v>57270.55</v>
      </c>
      <c r="M24" s="275">
        <f>J24-D24</f>
        <v>6</v>
      </c>
      <c r="N24" s="261">
        <f>L24-F24</f>
        <v>-29829.449999999997</v>
      </c>
      <c r="O24" s="262">
        <f>+O15+O13</f>
        <v>34</v>
      </c>
      <c r="P24" s="260">
        <f>IF(O24&lt;=0,0,Q24/O24)</f>
        <v>984.85617647058825</v>
      </c>
      <c r="Q24" s="261">
        <f>Q21+Q22+Q23</f>
        <v>33485.11</v>
      </c>
      <c r="R24" s="273"/>
      <c r="S24" s="261">
        <f t="shared" si="13"/>
        <v>23785.440000000002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-0.34247359357060847</v>
      </c>
      <c r="O25" s="253"/>
      <c r="P25" s="41"/>
      <c r="Q25" s="276"/>
      <c r="R25" s="277"/>
      <c r="S25" s="265">
        <f>IF(Q24=0,0,(S24/Q24))</f>
        <v>0.71032885960356718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71.5</v>
      </c>
      <c r="E27" s="280">
        <f>IF(D27&lt;=0,0,F27/D27)</f>
        <v>4040.5955530640308</v>
      </c>
      <c r="F27" s="281">
        <f>F13+F17+F24+F19+F15</f>
        <v>288902.58204407821</v>
      </c>
      <c r="G27" s="282"/>
      <c r="H27" s="280"/>
      <c r="I27" s="281"/>
      <c r="J27" s="282">
        <f>+J13+J15+J17</f>
        <v>73</v>
      </c>
      <c r="K27" s="280">
        <f>IF(J27&lt;=0,0,L27/J27)</f>
        <v>3556.2293150684936</v>
      </c>
      <c r="L27" s="281">
        <f>L13+L17+L24+L19+L15</f>
        <v>259604.74000000005</v>
      </c>
      <c r="M27" s="282">
        <f>J27-D27</f>
        <v>1.5</v>
      </c>
      <c r="N27" s="281">
        <f>L27-F27</f>
        <v>-29297.842044078163</v>
      </c>
      <c r="O27" s="282">
        <f>+O13+O15+O17</f>
        <v>37</v>
      </c>
      <c r="P27" s="280">
        <f>IF(O27&lt;=0,0,Q27/O27)</f>
        <v>3678.7983783783729</v>
      </c>
      <c r="Q27" s="281">
        <f>Q13+Q17+Q24+Q19+Q15</f>
        <v>136115.5399999998</v>
      </c>
      <c r="R27" s="282">
        <f>J27-O27</f>
        <v>36</v>
      </c>
      <c r="S27" s="281">
        <f>L27-Q27</f>
        <v>123489.20000000024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2">
        <f>L27/F27</f>
        <v>0.89858919973374218</v>
      </c>
      <c r="M28" s="286">
        <f>M27/D27</f>
        <v>2.097902097902098E-2</v>
      </c>
      <c r="N28" s="287">
        <f>N27/F27</f>
        <v>-0.10141080026625776</v>
      </c>
      <c r="O28" s="283"/>
      <c r="P28" s="284"/>
      <c r="Q28" s="285"/>
      <c r="R28" s="286">
        <f>R27/O27</f>
        <v>0.97297297297297303</v>
      </c>
      <c r="S28" s="287">
        <f>IF(Q27=0,0,S27/Q27)</f>
        <v>0.90723807142079749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920.09325180840608</v>
      </c>
      <c r="F31" s="254">
        <f>+INDEX('Budget original'!$A$2:$AO$501,MATCH($A31,'Budget original'!$A$2:$A$501,0),MATCH(F$2,'Budget original'!$A$2:$AO$2,0))</f>
        <v>61646.247871163207</v>
      </c>
      <c r="G31" s="292"/>
      <c r="H31" s="291"/>
      <c r="I31" s="254"/>
      <c r="J31" s="292">
        <f>L31/(L15+L13+L17)</f>
        <v>0.24820204721436387</v>
      </c>
      <c r="K31" s="291">
        <f t="shared" ref="K31:K40" si="15">IF(L31=0,0,L31/J$24)</f>
        <v>667.43849315068496</v>
      </c>
      <c r="L31" s="254">
        <f>SUMIFS(BV_Data_An_Cour!$O:$O,BV_Data_An_Cour!$U:$U,$B31,BV_Data_An_Cour!$V:$V,$C31,BV_Data_An_Cour!$W:$W,L$2)</f>
        <v>48723.01</v>
      </c>
      <c r="M31" s="253"/>
      <c r="N31" s="276">
        <f t="shared" ref="N31:N53" si="16">L31-F31</f>
        <v>-12923.237871163205</v>
      </c>
      <c r="O31" s="1150">
        <f>Q31/(Q13+Q15+Q17)</f>
        <v>0.38883657179849884</v>
      </c>
      <c r="P31" s="291">
        <f t="shared" ref="P31:P40" si="17">Q31/O$24</f>
        <v>1091.0429411764705</v>
      </c>
      <c r="Q31" s="256">
        <f t="array" ref="Q31">+INDEX('Réel 2023'!$A$2:$AO$501,MATCH($A31,'Réel 2023'!$A$2:$A$501,0),MATCH(Q$2,'Réel 2023'!$A$2:$AO$2,0))</f>
        <v>37095.46</v>
      </c>
      <c r="R31" s="253"/>
      <c r="S31" s="276">
        <f t="shared" ref="S31:S53" si="18">L31-Q31</f>
        <v>11627.550000000003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390</v>
      </c>
      <c r="F32" s="248">
        <f>+INDEX('Budget original'!$A$2:$AO$501,MATCH($A32,'Budget original'!$A$2:$A$501,0),MATCH(F$2,'Budget original'!$A$2:$AO$2,0))</f>
        <v>26130</v>
      </c>
      <c r="G32" s="295"/>
      <c r="H32" s="294"/>
      <c r="I32" s="248"/>
      <c r="J32" s="295">
        <f>L32/L24</f>
        <v>0.29711867617824522</v>
      </c>
      <c r="K32" s="294">
        <f t="shared" si="15"/>
        <v>233.09794520547948</v>
      </c>
      <c r="L32" s="248">
        <f>SUMIFS(BV_Data_An_Cour!$O:$O,BV_Data_An_Cour!$U:$U,$B32,BV_Data_An_Cour!$V:$V,$C32,BV_Data_An_Cour!$W:$W,L$2)</f>
        <v>17016.150000000001</v>
      </c>
      <c r="M32" s="246"/>
      <c r="N32" s="296">
        <f t="shared" si="16"/>
        <v>-9113.8499999999985</v>
      </c>
      <c r="O32" s="1151">
        <f>Q32/Q24</f>
        <v>0.29978160442059171</v>
      </c>
      <c r="P32" s="294">
        <f t="shared" si="17"/>
        <v>295.24176470588236</v>
      </c>
      <c r="Q32" s="248">
        <f t="array" ref="Q32">+INDEX('Réel 2023'!$A$2:$AO$501,MATCH($A32,'Réel 2023'!$A$2:$A$501,0),MATCH(Q$2,'Réel 2023'!$A$2:$AO$2,0))</f>
        <v>10038.219999999999</v>
      </c>
      <c r="R32" s="246"/>
      <c r="S32" s="296">
        <f t="shared" si="18"/>
        <v>6977.9300000000021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7705</v>
      </c>
      <c r="G33" s="298"/>
      <c r="H33" s="291"/>
      <c r="I33" s="254"/>
      <c r="J33" s="253"/>
      <c r="K33" s="291">
        <f t="shared" si="15"/>
        <v>51.421369863013702</v>
      </c>
      <c r="L33" s="254">
        <f>SUMIFS(BV_Data_An_Cour!$O:$O,BV_Data_An_Cour!$U:$U,$B33,BV_Data_An_Cour!$V:$V,$C33,BV_Data_An_Cour!$W:$W,L$2)</f>
        <v>3753.76</v>
      </c>
      <c r="M33" s="253"/>
      <c r="N33" s="276">
        <f t="shared" si="16"/>
        <v>-3951.24</v>
      </c>
      <c r="O33" s="253"/>
      <c r="P33" s="291">
        <f t="shared" si="17"/>
        <v>99.448823529411769</v>
      </c>
      <c r="Q33" s="256">
        <f t="array" ref="Q33">+INDEX('Réel 2023'!$A$2:$AO$501,MATCH($A33,'Réel 2023'!$A$2:$A$501,0),MATCH(Q$2,'Réel 2023'!$A$2:$AO$2,0))</f>
        <v>3381.26</v>
      </c>
      <c r="R33" s="253"/>
      <c r="S33" s="276">
        <f t="shared" si="18"/>
        <v>372.5</v>
      </c>
      <c r="T33" s="41"/>
      <c r="U33" s="116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201</v>
      </c>
      <c r="G34" s="298"/>
      <c r="H34" s="291"/>
      <c r="I34" s="254"/>
      <c r="J34" s="253"/>
      <c r="K34" s="291">
        <f t="shared" si="15"/>
        <v>1.516027397260274</v>
      </c>
      <c r="L34" s="254">
        <f>SUMIFS(BV_Data_An_Cour!$O:$O,BV_Data_An_Cour!$U:$U,$B34,BV_Data_An_Cour!$V:$V,$C34,BV_Data_An_Cour!$W:$W,L$2)</f>
        <v>110.67</v>
      </c>
      <c r="M34" s="253"/>
      <c r="N34" s="276">
        <f t="shared" si="16"/>
        <v>-90.33</v>
      </c>
      <c r="O34" s="253"/>
      <c r="P34" s="291">
        <f t="shared" si="17"/>
        <v>2.3529411764705883</v>
      </c>
      <c r="Q34" s="256">
        <f t="array" ref="Q34">+INDEX('Réel 2023'!$A$2:$AO$501,MATCH($A34,'Réel 2023'!$A$2:$A$501,0),MATCH(Q$2,'Réel 2023'!$A$2:$AO$2,0))</f>
        <v>80</v>
      </c>
      <c r="R34" s="253"/>
      <c r="S34" s="276">
        <f t="shared" si="18"/>
        <v>30.67</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5698.3499999999995</v>
      </c>
      <c r="G35" s="300"/>
      <c r="H35" s="294"/>
      <c r="I35" s="248"/>
      <c r="J35" s="246"/>
      <c r="K35" s="294">
        <f t="shared" si="15"/>
        <v>164.94</v>
      </c>
      <c r="L35" s="248">
        <f>SUMIFS(BV_Data_An_Cour!$O:$O,BV_Data_An_Cour!$U:$U,$B35,BV_Data_An_Cour!$V:$V,$C35,BV_Data_An_Cour!$W:$W,L$2)</f>
        <v>12040.62</v>
      </c>
      <c r="M35" s="246"/>
      <c r="N35" s="296">
        <f t="shared" si="16"/>
        <v>6342.2700000000013</v>
      </c>
      <c r="O35" s="246"/>
      <c r="P35" s="294">
        <f t="shared" si="17"/>
        <v>88.820000000000007</v>
      </c>
      <c r="Q35" s="256">
        <f t="array" ref="Q35">+INDEX('Réel 2023'!$A$2:$AO$501,MATCH($A35,'Réel 2023'!$A$2:$A$501,0),MATCH(Q$2,'Réel 2023'!$A$2:$AO$2,0))</f>
        <v>3019.88</v>
      </c>
      <c r="R35" s="246"/>
      <c r="S35" s="296">
        <f t="shared" si="18"/>
        <v>9020.7400000000016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112.4776119402985</v>
      </c>
      <c r="F36" s="254">
        <f>+INDEX('Budget original'!$A$2:$AO$501,MATCH($A36,'Budget original'!$A$2:$A$501,0),MATCH(F$2,'Budget original'!$A$2:$AO$2,0))</f>
        <v>7536</v>
      </c>
      <c r="G36" s="298"/>
      <c r="H36" s="291"/>
      <c r="I36" s="254"/>
      <c r="J36" s="253"/>
      <c r="K36" s="291">
        <f t="shared" si="15"/>
        <v>131.05397260273972</v>
      </c>
      <c r="L36" s="301">
        <f>SUMIFS(BV_Data_An_Cour!$O:$O,BV_Data_An_Cour!$U:$U,$B36,BV_Data_An_Cour!$V:$V,$C36,BV_Data_An_Cour!$W:$W,L$2)</f>
        <v>9566.9399999999987</v>
      </c>
      <c r="M36" s="41"/>
      <c r="N36" s="276">
        <f t="shared" si="16"/>
        <v>2030.9399999999987</v>
      </c>
      <c r="O36" s="253"/>
      <c r="P36" s="291">
        <f t="shared" si="17"/>
        <v>159.71529411764706</v>
      </c>
      <c r="Q36" s="272">
        <f t="array" ref="Q36">+INDEX('Réel 2023'!$A$2:$AO$501,MATCH($A36,'Réel 2023'!$A$2:$A$501,0),MATCH(Q$2,'Réel 2023'!$A$2:$AO$2,0))</f>
        <v>5430.32</v>
      </c>
      <c r="R36" s="253"/>
      <c r="S36" s="276">
        <f t="shared" si="18"/>
        <v>4136.619999999999</v>
      </c>
      <c r="T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318.30489402145508</v>
      </c>
      <c r="F37" s="254">
        <f>+INDEX('Budget original'!$A$2:$AO$501,MATCH($A37,'Budget original'!$A$2:$A$501,0),MATCH(F$2,'Budget original'!$A$2:$AO$2,0))</f>
        <v>21326.427899437491</v>
      </c>
      <c r="G37" s="298"/>
      <c r="H37" s="291"/>
      <c r="I37" s="254"/>
      <c r="J37" s="253"/>
      <c r="K37" s="291">
        <f t="shared" si="15"/>
        <v>474.72863013698634</v>
      </c>
      <c r="L37" s="953">
        <f>SUMIFS(BV_Data_An_Cour!$O:$O,BV_Data_An_Cour!$U:$U,$B37,BV_Data_An_Cour!$V:$V,$C37,BV_Data_An_Cour!$W:$W,L$2)</f>
        <v>34655.19</v>
      </c>
      <c r="M37" s="41"/>
      <c r="N37" s="963">
        <f t="shared" si="16"/>
        <v>13328.762100562511</v>
      </c>
      <c r="O37" s="253"/>
      <c r="P37" s="291">
        <f t="shared" si="17"/>
        <v>54.914411764705882</v>
      </c>
      <c r="Q37" s="256">
        <f t="array" ref="Q37">+INDEX('Réel 2023'!$A$2:$AO$501,MATCH($A37,'Réel 2023'!$A$2:$A$501,0),MATCH(Q$2,'Réel 2023'!$A$2:$AO$2,0))</f>
        <v>1867.09</v>
      </c>
      <c r="R37" s="253"/>
      <c r="S37" s="276">
        <f t="shared" si="18"/>
        <v>32788.100000000006</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0.45081987446802874</v>
      </c>
      <c r="F41" s="307">
        <f>SUM(F31:F40)</f>
        <v>130243.02577060071</v>
      </c>
      <c r="G41" s="308"/>
      <c r="H41" s="306"/>
      <c r="I41" s="307"/>
      <c r="J41" s="308" t="s">
        <v>119</v>
      </c>
      <c r="K41" s="306">
        <f>L41/L$27</f>
        <v>0.48483837390642393</v>
      </c>
      <c r="L41" s="307">
        <f>SUM(L31:L40)</f>
        <v>125866.34</v>
      </c>
      <c r="M41" s="309"/>
      <c r="N41" s="307">
        <f t="shared" si="16"/>
        <v>-4376.685770600714</v>
      </c>
      <c r="O41" s="308" t="s">
        <v>119</v>
      </c>
      <c r="P41" s="306">
        <f>Q41/Q$27</f>
        <v>0.44750386326204988</v>
      </c>
      <c r="Q41" s="310">
        <f>SUM(Q31:Q40)</f>
        <v>60912.229999999996</v>
      </c>
      <c r="R41" s="311"/>
      <c r="S41" s="307">
        <f t="shared" si="18"/>
        <v>64954.11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13149.05</v>
      </c>
      <c r="M42" s="253"/>
      <c r="N42" s="276">
        <f t="shared" si="16"/>
        <v>-5048.0666666666693</v>
      </c>
      <c r="O42" s="253"/>
      <c r="P42" s="1149">
        <f>Q42/Q27</f>
        <v>9.7681425647652115E-2</v>
      </c>
      <c r="Q42" s="256">
        <f t="array" ref="Q42">+INDEX('Réel 2023'!$A$2:$AO$501,MATCH($A42,'Réel 2023'!$A$2:$A$501,0),MATCH(Q$2,'Réel 2023'!$A$2:$AO$2,0))</f>
        <v>13295.96</v>
      </c>
      <c r="R42" s="253"/>
      <c r="S42" s="276">
        <f t="shared" si="18"/>
        <v>-146.90999999999985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9365.85</v>
      </c>
      <c r="M43" s="253"/>
      <c r="N43" s="276">
        <f t="shared" si="16"/>
        <v>-1901.6610769230756</v>
      </c>
      <c r="O43" s="253"/>
      <c r="P43" s="41"/>
      <c r="Q43" s="256">
        <f t="array" ref="Q43">+INDEX('Réel 2023'!$A$2:$AO$501,MATCH($A43,'Réel 2023'!$A$2:$A$501,0),MATCH(Q$2,'Réel 2023'!$A$2:$AO$2,0))</f>
        <v>10544.06</v>
      </c>
      <c r="R43" s="253"/>
      <c r="S43" s="276">
        <f t="shared" si="18"/>
        <v>-1178.2099999999991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4575.3599999999997</v>
      </c>
      <c r="M44" s="241"/>
      <c r="N44" s="317">
        <f t="shared" si="16"/>
        <v>1911.0061538461532</v>
      </c>
      <c r="O44" s="241"/>
      <c r="P44" s="315"/>
      <c r="Q44" s="272">
        <f t="array" ref="Q44">+INDEX('Réel 2023'!$A$2:$AO$501,MATCH($A44,'Réel 2023'!$A$2:$A$501,0),MATCH(Q$2,'Réel 2023'!$A$2:$AO$2,0))</f>
        <v>12250.19</v>
      </c>
      <c r="R44" s="241"/>
      <c r="S44" s="317">
        <f t="shared" si="18"/>
        <v>-7674.8300000000008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12428.151948410499</v>
      </c>
      <c r="G49" s="298"/>
      <c r="H49" s="41"/>
      <c r="I49" s="248"/>
      <c r="J49" s="253"/>
      <c r="K49" s="41"/>
      <c r="L49" s="248">
        <f>SUMIFS(BV_Data_An_Cour!$O:$O,BV_Data_An_Cour!$U:$U,$B49,BV_Data_An_Cour!$V:$V,$C49,BV_Data_An_Cour!$W:$W,L$2)</f>
        <v>11763.15</v>
      </c>
      <c r="M49" s="253"/>
      <c r="N49" s="276">
        <f t="shared" si="16"/>
        <v>-665.00194841049961</v>
      </c>
      <c r="O49" s="253"/>
      <c r="P49" s="41"/>
      <c r="Q49" s="248">
        <f t="array" ref="Q49">+INDEX('Réel 2023'!$A$2:$AO$501,MATCH($A49,'Réel 2023'!$A$2:$A$501,0),MATCH(Q$2,'Réel 2023'!$A$2:$AO$2,0))</f>
        <v>11060.27</v>
      </c>
      <c r="R49" s="253"/>
      <c r="S49" s="276">
        <f t="shared" si="18"/>
        <v>702.8799999999992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15110.880783089418</v>
      </c>
      <c r="G50" s="316"/>
      <c r="H50" s="315"/>
      <c r="I50" s="254"/>
      <c r="J50" s="241"/>
      <c r="K50" s="315"/>
      <c r="L50" s="256">
        <f>SUMIFS(BV_Data_An_Cour!$O:$O,BV_Data_An_Cour!$U:$U,$B50,BV_Data_An_Cour!$V:$V,$C50,BV_Data_An_Cour!$W:$W,L$2)</f>
        <v>18598.07</v>
      </c>
      <c r="M50" s="241"/>
      <c r="N50" s="317">
        <f t="shared" si="16"/>
        <v>3487.1892169105813</v>
      </c>
      <c r="O50" s="241"/>
      <c r="P50" s="315"/>
      <c r="Q50" s="256">
        <f t="array" ref="Q50">+INDEX('Réel 2023'!$A$2:$AO$501,MATCH($A50,'Réel 2023'!$A$2:$A$501,0),MATCH(Q$2,'Réel 2023'!$A$2:$AO$2,0))</f>
        <v>16153.21</v>
      </c>
      <c r="R50" s="241"/>
      <c r="S50" s="317">
        <f t="shared" si="18"/>
        <v>2444.8600000000006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7785.3885773743295</v>
      </c>
      <c r="G51" s="298"/>
      <c r="H51" s="41"/>
      <c r="I51" s="254"/>
      <c r="J51" s="253"/>
      <c r="K51" s="41"/>
      <c r="L51" s="256">
        <f>SUMIFS(BV_Data_An_Cour!$O:$O,BV_Data_An_Cour!$U:$U,$B51,BV_Data_An_Cour!$V:$V,$C51,BV_Data_An_Cour!$W:$W,L$2)</f>
        <v>7275.41</v>
      </c>
      <c r="M51" s="253"/>
      <c r="N51" s="276">
        <f t="shared" si="16"/>
        <v>-509.97857737432969</v>
      </c>
      <c r="O51" s="253"/>
      <c r="P51" s="41"/>
      <c r="Q51" s="256">
        <f t="array" ref="Q51">+INDEX('Réel 2023'!$A$2:$AO$501,MATCH($A51,'Réel 2023'!$A$2:$A$501,0),MATCH(Q$2,'Réel 2023'!$A$2:$AO$2,0))</f>
        <v>9403.86</v>
      </c>
      <c r="R51" s="253"/>
      <c r="S51" s="276">
        <f t="shared" si="18"/>
        <v>-2128.4500000000007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3394.4732193896516</v>
      </c>
      <c r="G52" s="298"/>
      <c r="H52" s="41"/>
      <c r="I52" s="254"/>
      <c r="J52" s="253"/>
      <c r="K52" s="41"/>
      <c r="L52" s="256">
        <f>SUMIFS(BV_Data_An_Cour!$O:$O,BV_Data_An_Cour!$U:$U,$B52,BV_Data_An_Cour!$V:$V,$C52,BV_Data_An_Cour!$W:$W,L$2)</f>
        <v>3705.07</v>
      </c>
      <c r="M52" s="253"/>
      <c r="N52" s="276">
        <f t="shared" si="16"/>
        <v>310.59678061034856</v>
      </c>
      <c r="O52" s="253"/>
      <c r="P52" s="41"/>
      <c r="Q52" s="256">
        <f t="array" ref="Q52">+INDEX('Réel 2023'!$A$2:$AO$501,MATCH($A52,'Réel 2023'!$A$2:$A$501,0),MATCH(Q$2,'Réel 2023'!$A$2:$AO$2,0))</f>
        <v>2775.98</v>
      </c>
      <c r="R52" s="253"/>
      <c r="S52" s="276">
        <f t="shared" si="18"/>
        <v>929.09000000000015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0.24523102430146551</v>
      </c>
      <c r="F54" s="307">
        <f>+SUM(F42:F53)</f>
        <v>70847.87611800748</v>
      </c>
      <c r="G54" s="308"/>
      <c r="H54" s="306"/>
      <c r="I54" s="307"/>
      <c r="J54" s="308" t="s">
        <v>119</v>
      </c>
      <c r="K54" s="306">
        <f>L54/L$27</f>
        <v>0.26360057986614571</v>
      </c>
      <c r="L54" s="307">
        <f>+SUM(L42:L53)</f>
        <v>68431.960000000006</v>
      </c>
      <c r="M54" s="311"/>
      <c r="N54" s="307">
        <f>+SUM(N42:N53)</f>
        <v>-2415.9161180074911</v>
      </c>
      <c r="O54" s="308" t="s">
        <v>119</v>
      </c>
      <c r="P54" s="306">
        <f>Q54/Q$27</f>
        <v>0.55455482893430164</v>
      </c>
      <c r="Q54" s="307">
        <f>+SUM(Q42:Q53)</f>
        <v>75483.529999999984</v>
      </c>
      <c r="R54" s="311"/>
      <c r="S54" s="307">
        <f>+SUM(S42:S53)</f>
        <v>-7051.5700000000015</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11626.31</v>
      </c>
      <c r="M57" s="246"/>
      <c r="N57" s="296">
        <f t="shared" si="19"/>
        <v>2426.3099999999995</v>
      </c>
      <c r="O57" s="246"/>
      <c r="P57" s="318"/>
      <c r="Q57" s="248">
        <f t="array" ref="Q57">+INDEX('Réel 2023'!$A$2:$AO$501,MATCH($A57,'Réel 2023'!$A$2:$A$501,0),MATCH(Q$2,'Réel 2023'!$A$2:$AO$2,0))</f>
        <v>6050.54</v>
      </c>
      <c r="R57" s="246"/>
      <c r="S57" s="296">
        <f t="shared" si="20"/>
        <v>5575.7699999999995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7516.3</v>
      </c>
      <c r="M58" s="253"/>
      <c r="N58" s="276">
        <f t="shared" si="19"/>
        <v>-1523.3954662222213</v>
      </c>
      <c r="O58" s="253"/>
      <c r="P58" s="41"/>
      <c r="Q58" s="256">
        <f t="array" ref="Q58">+INDEX('Réel 2023'!$A$2:$AO$501,MATCH($A58,'Réel 2023'!$A$2:$A$501,0),MATCH(Q$2,'Réel 2023'!$A$2:$AO$2,0))</f>
        <v>6422.17</v>
      </c>
      <c r="R58" s="253"/>
      <c r="S58" s="276">
        <f t="shared" si="20"/>
        <v>1094.1300000000001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2705.19</v>
      </c>
      <c r="M59" s="253"/>
      <c r="N59" s="276">
        <f t="shared" si="19"/>
        <v>1599.9641151088804</v>
      </c>
      <c r="O59" s="253"/>
      <c r="P59" s="41"/>
      <c r="Q59" s="256">
        <f t="array" ref="Q59">+INDEX('Réel 2023'!$A$2:$AO$501,MATCH($A59,'Réel 2023'!$A$2:$A$501,0),MATCH(Q$2,'Réel 2023'!$A$2:$AO$2,0))</f>
        <v>925.52</v>
      </c>
      <c r="R59" s="253"/>
      <c r="S59" s="276">
        <f t="shared" si="20"/>
        <v>1779.67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6746.26</v>
      </c>
      <c r="M60" s="246"/>
      <c r="N60" s="296">
        <f t="shared" si="19"/>
        <v>34.841357792592135</v>
      </c>
      <c r="O60" s="246"/>
      <c r="P60" s="318"/>
      <c r="Q60" s="248">
        <f t="array" ref="Q60">+INDEX('Réel 2023'!$A$2:$AO$501,MATCH($A60,'Réel 2023'!$A$2:$A$501,0),MATCH(Q$2,'Réel 2023'!$A$2:$AO$2,0))</f>
        <v>5703.27</v>
      </c>
      <c r="R60" s="246"/>
      <c r="S60" s="296">
        <f t="shared" si="20"/>
        <v>1042.9899999999998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36.28</v>
      </c>
      <c r="M61" s="253"/>
      <c r="N61" s="276">
        <f t="shared" si="19"/>
        <v>-88.72</v>
      </c>
      <c r="O61" s="253"/>
      <c r="P61" s="41"/>
      <c r="Q61" s="256">
        <f t="array" ref="Q61">+INDEX('Réel 2023'!$A$2:$AO$501,MATCH($A61,'Réel 2023'!$A$2:$A$501,0),MATCH(Q$2,'Réel 2023'!$A$2:$AO$2,0))</f>
        <v>0</v>
      </c>
      <c r="R61" s="253"/>
      <c r="S61" s="276">
        <f t="shared" si="20"/>
        <v>36.28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381.04</v>
      </c>
      <c r="M63" s="253"/>
      <c r="N63" s="276">
        <f t="shared" si="19"/>
        <v>-375.90660196799996</v>
      </c>
      <c r="O63" s="253"/>
      <c r="P63" s="41"/>
      <c r="Q63" s="256">
        <f t="array" ref="Q63">+INDEX('Réel 2023'!$A$2:$AO$501,MATCH($A63,'Réel 2023'!$A$2:$A$501,0),MATCH(Q$2,'Réel 2023'!$A$2:$AO$2,0))</f>
        <v>783.41</v>
      </c>
      <c r="R63" s="253"/>
      <c r="S63" s="276">
        <f t="shared" si="20"/>
        <v>-402.36999999999995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318.89999999999998</v>
      </c>
      <c r="M64" s="253"/>
      <c r="N64" s="276">
        <f t="shared" si="19"/>
        <v>9.4965149471110522</v>
      </c>
      <c r="O64" s="253"/>
      <c r="P64" s="41"/>
      <c r="Q64" s="256">
        <f t="array" ref="Q64">+INDEX('Réel 2023'!$A$2:$AO$501,MATCH($A64,'Réel 2023'!$A$2:$A$501,0),MATCH(Q$2,'Réel 2023'!$A$2:$AO$2,0))</f>
        <v>233.07</v>
      </c>
      <c r="R64" s="253"/>
      <c r="S64" s="276">
        <f t="shared" si="20"/>
        <v>85.829999999999984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10.56</v>
      </c>
      <c r="M65" s="253"/>
      <c r="N65" s="276">
        <f t="shared" si="19"/>
        <v>-102.56880990711112</v>
      </c>
      <c r="O65" s="253"/>
      <c r="P65" s="41"/>
      <c r="Q65" s="256">
        <f t="array" ref="Q65">+INDEX('Réel 2023'!$A$2:$AO$501,MATCH($A65,'Réel 2023'!$A$2:$A$501,0),MATCH(Q$2,'Réel 2023'!$A$2:$AO$2,0))</f>
        <v>129.09</v>
      </c>
      <c r="R65" s="253"/>
      <c r="S65" s="276">
        <f t="shared" si="20"/>
        <v>-118.53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201.95</v>
      </c>
      <c r="M66" s="253"/>
      <c r="N66" s="276">
        <f t="shared" si="19"/>
        <v>-80.512603435111146</v>
      </c>
      <c r="O66" s="253"/>
      <c r="P66" s="41"/>
      <c r="Q66" s="256">
        <f t="array" ref="Q66">+INDEX('Réel 2023'!$A$2:$AO$501,MATCH($A66,'Réel 2023'!$A$2:$A$501,0),MATCH(Q$2,'Réel 2023'!$A$2:$AO$2,0))</f>
        <v>116.88</v>
      </c>
      <c r="R66" s="253"/>
      <c r="S66" s="276">
        <f t="shared" si="20"/>
        <v>85.07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1147.3499999999999</v>
      </c>
      <c r="M67" s="253"/>
      <c r="N67" s="276">
        <f t="shared" si="19"/>
        <v>-751.75750000000016</v>
      </c>
      <c r="O67" s="253"/>
      <c r="P67" s="41"/>
      <c r="Q67" s="256">
        <f t="array" ref="Q67">+INDEX('Réel 2023'!$A$2:$AO$501,MATCH($A67,'Réel 2023'!$A$2:$A$501,0),MATCH(Q$2,'Réel 2023'!$A$2:$AO$2,0))</f>
        <v>2687.5</v>
      </c>
      <c r="R67" s="253"/>
      <c r="S67" s="276">
        <f t="shared" si="20"/>
        <v>-1540.15</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4">
        <f>SUMIFS(BV_Data_An_Cour!$O:$O,BV_Data_An_Cour!$U:$U,$B68,BV_Data_An_Cour!$V:$V,$C68,BV_Data_An_Cour!$W:$W,L$2)</f>
        <v>4277.07</v>
      </c>
      <c r="M68" s="253"/>
      <c r="N68" s="963">
        <f t="shared" si="19"/>
        <v>913.77407099071706</v>
      </c>
      <c r="O68" s="253"/>
      <c r="P68" s="41"/>
      <c r="Q68" s="256">
        <f t="array" ref="Q68">+INDEX('Réel 2023'!$A$2:$AO$501,MATCH($A68,'Réel 2023'!$A$2:$A$501,0),MATCH(Q$2,'Réel 2023'!$A$2:$AO$2,0))</f>
        <v>3025.62</v>
      </c>
      <c r="R68" s="253"/>
      <c r="S68" s="276">
        <f t="shared" si="20"/>
        <v>1251.4499999999998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0.11418734309198143</v>
      </c>
      <c r="F72" s="307">
        <f>+SUM(F55:F71)</f>
        <v>32989.018256026473</v>
      </c>
      <c r="G72" s="308"/>
      <c r="H72" s="306"/>
      <c r="I72" s="307"/>
      <c r="J72" s="308" t="s">
        <v>119</v>
      </c>
      <c r="K72" s="306">
        <f>L72/L$27</f>
        <v>0.13469403524758444</v>
      </c>
      <c r="L72" s="307">
        <f>+SUM(L55:L71)</f>
        <v>34967.21</v>
      </c>
      <c r="M72" s="311"/>
      <c r="N72" s="307">
        <f>+SUM(N55:N71)</f>
        <v>1978.1917439735234</v>
      </c>
      <c r="O72" s="308" t="s">
        <v>119</v>
      </c>
      <c r="P72" s="306">
        <f>Q72/Q$27</f>
        <v>0.19158040294297063</v>
      </c>
      <c r="Q72" s="307">
        <f>+SUM(Q55:Q71)</f>
        <v>26077.07</v>
      </c>
      <c r="R72" s="311"/>
      <c r="S72" s="307">
        <f>+SUM(S55:S71)</f>
        <v>8890.14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0.81023824186147564</v>
      </c>
      <c r="F74" s="307">
        <f>F41+F54+F72</f>
        <v>234079.92014463464</v>
      </c>
      <c r="G74" s="308"/>
      <c r="H74" s="306"/>
      <c r="I74" s="307"/>
      <c r="J74" s="308" t="s">
        <v>119</v>
      </c>
      <c r="K74" s="306">
        <f>L74/L$27</f>
        <v>0.88313298902015402</v>
      </c>
      <c r="L74" s="307">
        <f>L41+L54+L72</f>
        <v>229265.50999999998</v>
      </c>
      <c r="M74" s="311"/>
      <c r="N74" s="320">
        <f t="shared" ref="N74:N82" si="21">L74-F74</f>
        <v>-4814.4101446346613</v>
      </c>
      <c r="O74" s="308" t="s">
        <v>119</v>
      </c>
      <c r="P74" s="306">
        <f>Q74/Q$27</f>
        <v>1.1936390951393223</v>
      </c>
      <c r="Q74" s="307">
        <f>Q41+Q54+Q72</f>
        <v>162472.82999999999</v>
      </c>
      <c r="R74" s="311"/>
      <c r="S74" s="320">
        <f>L74-Q74</f>
        <v>66792.679999999993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695</v>
      </c>
      <c r="M75" s="253"/>
      <c r="N75" s="276">
        <f t="shared" si="21"/>
        <v>695</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20">
        <f>+F78/D27</f>
        <v>1304.7120563880987</v>
      </c>
      <c r="F78" s="254">
        <f>+INDEX('Budget original'!$A$2:$AO$501,MATCH($A78,'Budget original'!$A$2:$A$501,0),MATCH(F$2,'Budget original'!$A$2:$AO$2,0))</f>
        <v>93286.91203174906</v>
      </c>
      <c r="G78" s="298"/>
      <c r="H78" s="41"/>
      <c r="I78" s="254"/>
      <c r="J78" s="1076"/>
      <c r="K78" s="1020">
        <f>+L78/J27</f>
        <v>1453.1349315068494</v>
      </c>
      <c r="L78" s="256">
        <f>-SUMIFS(BV_Data_An_Cour!$O:$O,BV_Data_An_Cour!$U:$U,$B78,BV_Data_An_Cour!$V:$V,$C78,BV_Data_An_Cour!$W:$W,L$2)</f>
        <v>106078.85</v>
      </c>
      <c r="M78" s="253"/>
      <c r="N78" s="276">
        <f t="shared" si="21"/>
        <v>12791.937968250946</v>
      </c>
      <c r="O78" s="253"/>
      <c r="P78" s="41"/>
      <c r="Q78" s="256">
        <f t="array" ref="Q78">+INDEX('Réel 2023'!$A$2:$AO$501,MATCH($A78,'Réel 2023'!$A$2:$A$501,0),MATCH(Q$2,'Réel 2023'!$A$2:$AO$2,0))</f>
        <v>39086.080000000002</v>
      </c>
      <c r="R78" s="253"/>
      <c r="S78" s="276">
        <f t="shared" si="22"/>
        <v>66992.77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7">
        <f>E82/499</f>
        <v>0.95</v>
      </c>
      <c r="E82" s="323">
        <f>+F82/D24</f>
        <v>474.04999999999995</v>
      </c>
      <c r="F82" s="254">
        <f>+INDEX('Budget original'!$A$2:$AO$501,MATCH($A82,'Budget original'!$A$2:$A$501,0),MATCH(F$2,'Budget original'!$A$2:$AO$2,0))</f>
        <v>31761.35</v>
      </c>
      <c r="G82" s="298"/>
      <c r="H82" s="41"/>
      <c r="I82" s="254"/>
      <c r="J82" s="1169">
        <f>K82/499</f>
        <v>0.98932110796936346</v>
      </c>
      <c r="K82" s="323">
        <f>+L82/J24</f>
        <v>493.67123287671234</v>
      </c>
      <c r="L82" s="256">
        <f>-SUMIFS(BV_Data_An_Cour!$O:$O,BV_Data_An_Cour!$U:$U,$B82,BV_Data_An_Cour!$V:$V,$C82,BV_Data_An_Cour!$W:$W,L$2)</f>
        <v>36038</v>
      </c>
      <c r="M82" s="253"/>
      <c r="N82" s="276">
        <f t="shared" si="21"/>
        <v>4276.6500000000015</v>
      </c>
      <c r="O82" s="253"/>
      <c r="P82" s="41"/>
      <c r="Q82" s="256">
        <f t="array" ref="Q82">+INDEX('Réel 2023'!$A$2:$AO$501,MATCH($A82,'Réel 2023'!$A$2:$A$501,0),MATCH(Q$2,'Réel 2023'!$A$2:$AO$2,0))</f>
        <v>12599</v>
      </c>
      <c r="R82" s="253"/>
      <c r="S82" s="276">
        <f t="shared" si="22"/>
        <v>23439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125048.26203174907</v>
      </c>
      <c r="G83" s="308"/>
      <c r="H83" s="306"/>
      <c r="I83" s="307"/>
      <c r="J83" s="308"/>
      <c r="K83" s="306"/>
      <c r="L83" s="307">
        <f>+SUM(L75:L82)</f>
        <v>142811.85</v>
      </c>
      <c r="M83" s="311"/>
      <c r="N83" s="307">
        <f>+SUM(N75:N82)</f>
        <v>17763.587968250948</v>
      </c>
      <c r="O83" s="308"/>
      <c r="P83" s="306"/>
      <c r="Q83" s="307">
        <f>+SUM(Q75:Q82)</f>
        <v>51685.08</v>
      </c>
      <c r="R83" s="311"/>
      <c r="S83" s="307">
        <f>+SUM(S75:S82)</f>
        <v>90431.77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179870.92393119264</v>
      </c>
      <c r="G85" s="336"/>
      <c r="H85" s="334"/>
      <c r="I85" s="335"/>
      <c r="J85" s="336"/>
      <c r="K85" s="333"/>
      <c r="L85" s="335">
        <f>L27-L74+L83</f>
        <v>173151.08000000007</v>
      </c>
      <c r="M85" s="336"/>
      <c r="N85" s="335">
        <f>N27-N41-N54-N72+N83</f>
        <v>-6719.8439311925322</v>
      </c>
      <c r="O85" s="336"/>
      <c r="P85" s="1152">
        <f>Q85/Q5</f>
        <v>1.4342977457373018E-2</v>
      </c>
      <c r="Q85" s="335">
        <f>Q27-Q74+Q83</f>
        <v>25327.789999999819</v>
      </c>
      <c r="R85" s="336"/>
      <c r="S85" s="335">
        <f>S27-S41-S54-S72+S83</f>
        <v>147128.29000000027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9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Avril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06" t="s">
        <v>343</v>
      </c>
      <c r="E91" s="1207"/>
      <c r="F91" s="1208"/>
      <c r="G91" s="1211"/>
      <c r="H91" s="1207"/>
      <c r="I91" s="1208"/>
      <c r="J91" s="1211" t="s">
        <v>344</v>
      </c>
      <c r="K91" s="1207"/>
      <c r="L91" s="1208"/>
      <c r="M91" s="1211" t="s">
        <v>3312</v>
      </c>
      <c r="N91" s="1208"/>
      <c r="O91" s="1206" t="s">
        <v>345</v>
      </c>
      <c r="P91" s="1207"/>
      <c r="Q91" s="1208"/>
      <c r="R91" s="1209" t="s">
        <v>3314</v>
      </c>
      <c r="S91" s="121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2101187.1269358294</v>
      </c>
      <c r="G93" s="267"/>
      <c r="H93" s="250"/>
      <c r="I93" s="248"/>
      <c r="J93" s="246"/>
      <c r="K93" s="250"/>
      <c r="L93" s="248">
        <f>-SUMIFS(BV_Data_An_Cour!$O:$O,BV_Data_An_Cour!$X:$X,"Oui",BV_Data_An_Cour!$U:$U,$B93)</f>
        <v>1101235.5499999998</v>
      </c>
      <c r="M93" s="342"/>
      <c r="N93" s="343"/>
      <c r="O93" s="246"/>
      <c r="P93" s="250"/>
      <c r="Q93" s="248">
        <f t="array" ref="Q93">+INDEX('Réel 2023'!$A$2:$AO$501,MATCH($A93,'Réel 2023'!$A$2:$A$501,0),MATCH(Q$2,'Réel 2023'!$A$2:$AO$2,0))</f>
        <v>738971.179999999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38.765999999999998</v>
      </c>
      <c r="E94" s="254">
        <f>IF(D94=0,0,F94/D94)</f>
        <v>1800.0000000000002</v>
      </c>
      <c r="F94" s="254">
        <f>+INDEX('Budget original'!$A$2:$AO$501,MATCH($A94,'Budget original'!$A$2:$A$501,0),MATCH(F$2,'Budget original'!$A$2:$AO$2,0))</f>
        <v>69778.8</v>
      </c>
      <c r="G94" s="255"/>
      <c r="H94" s="254"/>
      <c r="I94" s="254"/>
      <c r="J94" s="255">
        <f>-SUMIFS(BV_Data_An_Cour!$O:$O,BV_Data_An_Cour!$U:$U,$B94,BV_Data_An_Cour!$V:$V,$C94,BV_Data_An_Cour!$W:$W,J$2)</f>
        <v>22</v>
      </c>
      <c r="K94" s="254">
        <f t="shared" ref="K94:K95" si="23">IF(J94=0,0,L94/J94)</f>
        <v>1680.7486363636344</v>
      </c>
      <c r="L94" s="256">
        <f>-SUMIFS(BV_Data_An_Cour!$O:$O,BV_Data_An_Cour!$U:$U,$B94,BV_Data_An_Cour!$V:$V,$C94,BV_Data_An_Cour!$W:$W,$L2)</f>
        <v>36976.469999999958</v>
      </c>
      <c r="M94" s="255">
        <f>J94-D94</f>
        <v>-16.765999999999998</v>
      </c>
      <c r="N94" s="256">
        <f>L94-F94</f>
        <v>-32802.330000000045</v>
      </c>
      <c r="O94" s="255">
        <f t="array" ref="O94">+INDEX('Réel 2023'!$A$2:$AO$501,MATCH($A94,'Réel 2023'!$A$2:$A$501,0),MATCH(O$2,'Réel 2023'!$A$2:$AO$2,0))</f>
        <v>15</v>
      </c>
      <c r="P94" s="254">
        <f t="shared" ref="P94:P96" si="24">IF(O94=0,0,Q94/O94)</f>
        <v>1983.7439999999935</v>
      </c>
      <c r="Q94" s="256">
        <f t="array" ref="Q94">+INDEX('Réel 2023'!$A$2:$AO$501,MATCH($A94,'Réel 2023'!$A$2:$A$501,0),MATCH(Q$2,'Réel 2023'!$A$2:$AO$2,0))</f>
        <v>29756.159999999902</v>
      </c>
      <c r="R94" s="255">
        <f t="shared" ref="R94:R95" si="25">J94-O94</f>
        <v>7</v>
      </c>
      <c r="S94" s="256">
        <f t="shared" ref="S94:S95" si="26">L94-Q94</f>
        <v>7220.3100000000559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2.1867999999999999</v>
      </c>
      <c r="E95" s="1081">
        <f t="shared" ref="E95:E105" si="27">IF(D95=0,0,F95/D95)</f>
        <v>1800.0000000000002</v>
      </c>
      <c r="F95" s="254">
        <f>+INDEX('Budget original'!$A$2:$AO$501,MATCH($A95,'Budget original'!$A$2:$A$501,0),MATCH(F$2,'Budget original'!$A$2:$AO$2,0))</f>
        <v>3936.2400000000002</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-1.1867999999999999</v>
      </c>
      <c r="N95" s="256">
        <f>L95-F95</f>
        <v>-2936.2400000000002</v>
      </c>
      <c r="O95" s="255">
        <f t="array" ref="O95">+INDEX('Réel 2023'!$A$2:$AO$501,MATCH($A95,'Réel 2023'!$A$2:$A$501,0),MATCH(O$2,'Réel 2023'!$A$2:$AO$2,0))</f>
        <v>5</v>
      </c>
      <c r="P95" s="254">
        <f t="shared" si="24"/>
        <v>2587.1639999999798</v>
      </c>
      <c r="Q95" s="256">
        <f t="array" ref="Q95">+INDEX('Réel 2023'!$A$2:$AO$501,MATCH($A95,'Réel 2023'!$A$2:$A$501,0),MATCH(Q$2,'Réel 2023'!$A$2:$AO$2,0))</f>
        <v>12935.8199999999</v>
      </c>
      <c r="R95" s="255">
        <f t="shared" si="25"/>
        <v>-4</v>
      </c>
      <c r="S95" s="256">
        <f t="shared" si="26"/>
        <v>-11935.8199999999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9" t="s">
        <v>3866</v>
      </c>
      <c r="D96" s="254">
        <f>+INDEX('Budget original'!$A$2:$AO$501,MATCH($A96,'Budget original'!$A$2:$A$501,0),MATCH(D$2,'Budget original'!$A$2:$AO$2,0))</f>
        <v>1.2922</v>
      </c>
      <c r="E96" s="1083">
        <f t="shared" si="27"/>
        <v>1800</v>
      </c>
      <c r="F96" s="254">
        <f>+INDEX('Budget original'!$A$2:$AO$501,MATCH($A96,'Budget original'!$A$2:$A$501,0),MATCH(F$2,'Budget original'!$A$2:$AO$2,0))</f>
        <v>2325.96</v>
      </c>
      <c r="G96" s="1082"/>
      <c r="H96" s="254"/>
      <c r="I96" s="254"/>
      <c r="J96" s="1082">
        <f>-SUMIFS(BV_Data_An_Cour!$O:$O,BV_Data_An_Cour!$U:$U,$B96,BV_Data_An_Cour!$V:$V,$C96,BV_Data_An_Cour!$W:$W,J$2)</f>
        <v>0</v>
      </c>
      <c r="K96" s="254">
        <f t="shared" ref="K96" si="28">IF(J96=0,0,L96/J96)</f>
        <v>0</v>
      </c>
      <c r="L96" s="954">
        <f>-SUMIFS(BV_Data_An_Cour!$O:$O,BV_Data_An_Cour!$U:$U,$B96,BV_Data_An_Cour!$V:$V,$C96,BV_Data_An_Cour!$W:$W,$L2)</f>
        <v>0</v>
      </c>
      <c r="M96" s="1082">
        <f>J96-D96</f>
        <v>-1.2922</v>
      </c>
      <c r="N96" s="954">
        <f>L96-F96</f>
        <v>-2325.96</v>
      </c>
      <c r="O96" s="1082">
        <f>+INDEX('Réel 2023'!$A$2:$AO$501,MATCH($A96,'Réel 2023'!$A$2:$A$501,0),MATCH(O$2,'Réel 2023'!$A$2:$AO$2,0))</f>
        <v>0</v>
      </c>
      <c r="P96" s="254">
        <f t="shared" si="24"/>
        <v>0</v>
      </c>
      <c r="Q96" s="954">
        <f>+INDEX('Réel 2023'!$A$2:$AO$501,MATCH($A96,'Réel 2023'!$A$2:$A$501,0),MATCH(Q$2,'Réel 2023'!$A$2:$AO$2,0))</f>
        <v>0</v>
      </c>
      <c r="R96" s="1082">
        <f>J96-O96</f>
        <v>0</v>
      </c>
      <c r="S96" s="954">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42.244999999999997</v>
      </c>
      <c r="E97" s="254">
        <f t="shared" si="27"/>
        <v>1800.0000000000005</v>
      </c>
      <c r="F97" s="261">
        <f>+F94+F95+F96</f>
        <v>76041.000000000015</v>
      </c>
      <c r="G97" s="262"/>
      <c r="H97" s="260"/>
      <c r="I97" s="261"/>
      <c r="J97" s="262">
        <f>+J94+J95+J96</f>
        <v>23</v>
      </c>
      <c r="K97" s="260">
        <f>IF(J97&lt;=0,0,L97/J97)</f>
        <v>1651.1508695652155</v>
      </c>
      <c r="L97" s="261">
        <f>+L94+L95+L96</f>
        <v>37976.469999999958</v>
      </c>
      <c r="M97" s="262">
        <f>J97-D97</f>
        <v>-19.244999999999997</v>
      </c>
      <c r="N97" s="261">
        <f>L97-F97</f>
        <v>-38064.530000000057</v>
      </c>
      <c r="O97" s="262">
        <f>+O95+O94+O96</f>
        <v>20</v>
      </c>
      <c r="P97" s="260">
        <f>IF(O97=0,0,Q97/O97)</f>
        <v>2134.5989999999902</v>
      </c>
      <c r="Q97" s="261">
        <f>+Q94+Q95+Q96</f>
        <v>42691.979999999799</v>
      </c>
      <c r="R97" s="262">
        <f>R94+R95</f>
        <v>3</v>
      </c>
      <c r="S97" s="261">
        <f>S94+S95</f>
        <v>-4715.5099999998438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-0.45555687063557815</v>
      </c>
      <c r="N98" s="346">
        <f>N97/F97</f>
        <v>-0.50057902973395996</v>
      </c>
      <c r="O98" s="253"/>
      <c r="P98" s="41">
        <f t="shared" ref="P98" si="30">IF(O98=0,0,Q98/O98)</f>
        <v>0</v>
      </c>
      <c r="Q98" s="263"/>
      <c r="R98" s="345">
        <f>R97/O97</f>
        <v>0.15</v>
      </c>
      <c r="S98" s="346">
        <f>IF(Q97=0,0,(S97/Q97))</f>
        <v>-0.11045423519827063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43.239000000000004</v>
      </c>
      <c r="E100" s="254">
        <f t="shared" si="27"/>
        <v>400</v>
      </c>
      <c r="F100" s="254">
        <f>+INDEX('Budget original'!$A$2:$AO$501,MATCH($A100,'Budget original'!$A$2:$A$501,0),MATCH(F$2,'Budget original'!$A$2:$AO$2,0))</f>
        <v>17295.600000000002</v>
      </c>
      <c r="G100" s="255"/>
      <c r="H100" s="254"/>
      <c r="I100" s="254"/>
      <c r="J100" s="255">
        <f>-SUMIFS(BV_Data_An_Cour!$O:$O,BV_Data_An_Cour!$U:$U,$B100,BV_Data_An_Cour!$V:$V,$C100,BV_Data_An_Cour!$W:$W,J$2)</f>
        <v>31</v>
      </c>
      <c r="K100" s="254">
        <f>IF(J100=0,0,L100/J100)</f>
        <v>-367.32290322580673</v>
      </c>
      <c r="L100" s="256">
        <f>-SUMIFS(BV_Data_An_Cour!$O:$O,BV_Data_An_Cour!$U:$U,$B100,BV_Data_An_Cour!$V:$V,$C100,BV_Data_An_Cour!$W:$W,L$2)</f>
        <v>-11387.010000000009</v>
      </c>
      <c r="M100" s="255">
        <f>J100-D100</f>
        <v>-12.239000000000004</v>
      </c>
      <c r="N100" s="256">
        <f>L100-F100</f>
        <v>-28682.610000000011</v>
      </c>
      <c r="O100" s="255">
        <f t="array" ref="O100">+INDEX('Réel 2023'!$A$2:$AO$501,MATCH($A100,'Réel 2023'!$A$2:$A$501,0),MATCH(O$2,'Réel 2023'!$A$2:$AO$2,0))</f>
        <v>10</v>
      </c>
      <c r="P100" s="254">
        <f>IF(O100=0,0,Q100/O100)</f>
        <v>1818</v>
      </c>
      <c r="Q100" s="256">
        <f t="array" ref="Q100">+INDEX('Réel 2023'!$A$2:$AO$501,MATCH($A100,'Réel 2023'!$A$2:$A$501,0),MATCH(Q$2,'Réel 2023'!$A$2:$AO$2,0))</f>
        <v>18180</v>
      </c>
      <c r="R100" s="255">
        <f>J100-O100</f>
        <v>21</v>
      </c>
      <c r="S100" s="256">
        <f>L100-Q100</f>
        <v>-29567.010000000009</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29571.5</v>
      </c>
      <c r="G102" s="255"/>
      <c r="H102" s="254"/>
      <c r="I102" s="254"/>
      <c r="J102" s="255"/>
      <c r="K102" s="254">
        <f>IF(J97=0,0,L102/J97)</f>
        <v>360.09913043478264</v>
      </c>
      <c r="L102" s="256">
        <f>-SUMIFS(BV_Data_An_Cour!$O:$O,BV_Data_An_Cour!$U:$U,$B102,BV_Data_An_Cour!$V:$V,$C102,BV_Data_An_Cour!$W:$W,$L2)</f>
        <v>8282.2800000000007</v>
      </c>
      <c r="M102" s="255"/>
      <c r="N102" s="256">
        <f>L102-F102</f>
        <v>-21289.22</v>
      </c>
      <c r="O102" s="255"/>
      <c r="P102" s="254"/>
      <c r="Q102" s="256">
        <f t="array" ref="Q102">+INDEX('Réel 2023'!$A$2:$AO$501,MATCH($A102,'Réel 2023'!$A$2:$A$501,0),MATCH(Q$2,'Réel 2023'!$A$2:$AO$2,0))</f>
        <v>18972.05</v>
      </c>
      <c r="R102" s="255">
        <f t="shared" ref="R102:R104" si="31">O102-K102</f>
        <v>-360.09913043478264</v>
      </c>
      <c r="S102" s="256">
        <f t="shared" ref="S102:S105" si="32">L102-Q102</f>
        <v>-10689.769999999999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61255.249999999993</v>
      </c>
      <c r="G103" s="255"/>
      <c r="H103" s="254"/>
      <c r="I103" s="254"/>
      <c r="J103" s="255"/>
      <c r="K103" s="254">
        <f>IF(J97=0,0,L103/J97)</f>
        <v>1173.4047826086955</v>
      </c>
      <c r="L103" s="256">
        <f>-SUMIFS(BV_Data_An_Cour!$O:$O,BV_Data_An_Cour!$U:$U,$B103,BV_Data_An_Cour!$V:$V,$C103,BV_Data_An_Cour!$W:$W,$L2)</f>
        <v>26988.309999999998</v>
      </c>
      <c r="M103" s="255"/>
      <c r="N103" s="256">
        <f>L103-F103</f>
        <v>-34266.939999999995</v>
      </c>
      <c r="O103" s="255"/>
      <c r="P103" s="254"/>
      <c r="Q103" s="256">
        <f t="array" ref="Q103">+INDEX('Réel 2023'!$A$2:$AO$501,MATCH($A103,'Réel 2023'!$A$2:$A$501,0),MATCH(Q$2,'Réel 2023'!$A$2:$AO$2,0))</f>
        <v>40333.22</v>
      </c>
      <c r="R103" s="255">
        <f t="shared" si="31"/>
        <v>-1173.4047826086955</v>
      </c>
      <c r="S103" s="256">
        <f t="shared" si="32"/>
        <v>-13344.910000000003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2112.25</v>
      </c>
      <c r="G104" s="255"/>
      <c r="H104" s="250"/>
      <c r="I104" s="254"/>
      <c r="J104" s="255"/>
      <c r="K104" s="250">
        <f>IF(J97=0,0,L104/J97)</f>
        <v>28.495217391304347</v>
      </c>
      <c r="L104" s="256">
        <f>-SUMIFS(BV_Data_An_Cour!$O:$O,BV_Data_An_Cour!$U:$U,$B104,BV_Data_An_Cour!$V:$V,$C104,BV_Data_An_Cour!$W:$W,$L$2)</f>
        <v>655.39</v>
      </c>
      <c r="M104" s="267"/>
      <c r="N104" s="256">
        <f>L104-F104</f>
        <v>-1456.8600000000001</v>
      </c>
      <c r="O104" s="255"/>
      <c r="P104" s="250"/>
      <c r="Q104" s="256">
        <f t="array" ref="Q104">+INDEX('Réel 2023'!$A$2:$AO$501,MATCH($A104,'Réel 2023'!$A$2:$A$501,0),MATCH(Q$2,'Réel 2023'!$A$2:$AO$2,0))</f>
        <v>0</v>
      </c>
      <c r="R104" s="255">
        <f t="shared" si="31"/>
        <v>-28.495217391304347</v>
      </c>
      <c r="S104" s="256">
        <f t="shared" si="32"/>
        <v>655.39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42.244999999999997</v>
      </c>
      <c r="E105" s="254">
        <f t="shared" si="27"/>
        <v>2200</v>
      </c>
      <c r="F105" s="261">
        <f>F102+F103+F104</f>
        <v>92939</v>
      </c>
      <c r="G105" s="262"/>
      <c r="H105" s="260"/>
      <c r="I105" s="261"/>
      <c r="J105" s="262">
        <f>J97</f>
        <v>23</v>
      </c>
      <c r="K105" s="260">
        <f>IF(J105&lt;=0,0,L105/J105)</f>
        <v>1561.9991304347825</v>
      </c>
      <c r="L105" s="261">
        <f>L102+L103+L104</f>
        <v>35925.979999999996</v>
      </c>
      <c r="M105" s="255">
        <f>J105-D105</f>
        <v>-19.244999999999997</v>
      </c>
      <c r="N105" s="261">
        <f>L105-F105</f>
        <v>-57013.020000000004</v>
      </c>
      <c r="O105" s="262">
        <f>O97</f>
        <v>20</v>
      </c>
      <c r="P105" s="260">
        <f t="shared" ref="P105" si="33">IF(O105=0,0,Q105/O105)</f>
        <v>2965.2635</v>
      </c>
      <c r="Q105" s="261">
        <f>Q102+Q103+Q104</f>
        <v>59305.270000000004</v>
      </c>
      <c r="R105" s="273"/>
      <c r="S105" s="261">
        <f t="shared" si="32"/>
        <v>-23379.290000000008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-0.61344559334617332</v>
      </c>
      <c r="O106" s="253"/>
      <c r="P106" s="41"/>
      <c r="Q106" s="276"/>
      <c r="R106" s="277"/>
      <c r="S106" s="265">
        <f>IF(Q105=0,0,(S105/Q105))</f>
        <v>-0.39421943446172669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85.484000000000009</v>
      </c>
      <c r="E108" s="280">
        <f>IF(D108&lt;=0,0,F108/D108)</f>
        <v>2179.0697674418602</v>
      </c>
      <c r="F108" s="281">
        <f>F97+F105+F100</f>
        <v>186275.6</v>
      </c>
      <c r="G108" s="282"/>
      <c r="H108" s="350"/>
      <c r="I108" s="281"/>
      <c r="J108" s="282">
        <f>J97+J100</f>
        <v>54</v>
      </c>
      <c r="K108" s="280">
        <f>IF(J108&lt;=0,0,L108/J108)</f>
        <v>1157.6933333333322</v>
      </c>
      <c r="L108" s="281">
        <f>L97+L105+L100</f>
        <v>62515.439999999944</v>
      </c>
      <c r="M108" s="282">
        <f>J108-D108</f>
        <v>-31.484000000000009</v>
      </c>
      <c r="N108" s="281">
        <f>L108-F108</f>
        <v>-123760.16000000006</v>
      </c>
      <c r="O108" s="282">
        <f>O97+O100</f>
        <v>30</v>
      </c>
      <c r="P108" s="280">
        <f>IF(O108&lt;=0,0,Q108/O108)</f>
        <v>4005.9083333333265</v>
      </c>
      <c r="Q108" s="281">
        <f>Q97+Q105+Q100</f>
        <v>120177.2499999998</v>
      </c>
      <c r="R108" s="282">
        <f>J108-O108</f>
        <v>24</v>
      </c>
      <c r="S108" s="281">
        <f>L108-Q108</f>
        <v>-57661.809999999852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2">
        <f>L108/F108</f>
        <v>0.33560724002499492</v>
      </c>
      <c r="M109" s="286">
        <f>M108/D108</f>
        <v>-0.36830284029759963</v>
      </c>
      <c r="N109" s="287">
        <f>N108/F108</f>
        <v>-0.66439275997500513</v>
      </c>
      <c r="O109" s="283"/>
      <c r="P109" s="284"/>
      <c r="Q109" s="285"/>
      <c r="R109" s="351">
        <f>O108/R108</f>
        <v>1.25</v>
      </c>
      <c r="S109" s="352">
        <f>IF(Q108=0,0,(S108/Q108))</f>
        <v>-0.47980636934195076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0.14850000000000005</v>
      </c>
      <c r="E112" s="291">
        <f t="shared" ref="E112:E121" si="34">F112/D$97</f>
        <v>594.00000000000023</v>
      </c>
      <c r="F112" s="254">
        <f>+INDEX('Budget original'!$A$2:$AO$501,MATCH($A112,'Budget original'!$A$2:$A$501,0),MATCH(F$2,'Budget original'!$A$2:$AO$2,0))</f>
        <v>25093.530000000006</v>
      </c>
      <c r="G112" s="292"/>
      <c r="H112" s="291"/>
      <c r="I112" s="254"/>
      <c r="J112" s="292">
        <f>L112/L97</f>
        <v>0.33860624750009716</v>
      </c>
      <c r="K112" s="291">
        <f>IF($J$97=0,0,L112/(J$94+J$95+J96))</f>
        <v>559.09</v>
      </c>
      <c r="L112" s="256">
        <f>SUMIFS(BV_Data_An_Cour!$O:$O,BV_Data_An_Cour!$U:$U,$B112,BV_Data_An_Cour!$V:$V,$C112,BV_Data_An_Cour!$W:$W,$L$2)</f>
        <v>12859.07</v>
      </c>
      <c r="M112" s="253"/>
      <c r="N112" s="276">
        <f t="shared" ref="N112:N153" si="35">L112-F112</f>
        <v>-12234.460000000006</v>
      </c>
      <c r="O112" s="1150">
        <f>Q112/Q97</f>
        <v>0.43717508534390037</v>
      </c>
      <c r="P112" s="291">
        <f t="shared" ref="P112:P121" si="36">Q112/O$97</f>
        <v>933.19349999999997</v>
      </c>
      <c r="Q112" s="256">
        <f t="array" ref="Q112">+INDEX('Réel 2023'!$A$2:$AO$501,MATCH($A112,'Réel 2023'!$A$2:$A$501,0),MATCH(Q$2,'Réel 2023'!$A$2:$AO$2,0))</f>
        <v>18663.87</v>
      </c>
      <c r="R112" s="253"/>
      <c r="S112" s="276">
        <f t="shared" ref="S112:S153" si="37">L112-Q112</f>
        <v>-5804.7999999999993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0.27486173956762194</v>
      </c>
      <c r="E113" s="294">
        <f t="shared" si="34"/>
        <v>660.00000000000011</v>
      </c>
      <c r="F113" s="248">
        <f>+INDEX('Budget original'!$A$2:$AO$501,MATCH($A113,'Budget original'!$A$2:$A$501,0),MATCH(F$2,'Budget original'!$A$2:$AO$2,0))</f>
        <v>27881.7</v>
      </c>
      <c r="G113" s="295"/>
      <c r="H113" s="294"/>
      <c r="I113" s="248"/>
      <c r="J113" s="295">
        <f>L113/(L105+L19)</f>
        <v>0.25687267839075617</v>
      </c>
      <c r="K113" s="294">
        <f>IF($J$97=0,0,L113/(J$94+J$95+J96))</f>
        <v>468.58434782608697</v>
      </c>
      <c r="L113" s="256">
        <f>SUMIFS(BV_Data_An_Cour!$O:$O,BV_Data_An_Cour!$U:$U,$B113,BV_Data_An_Cour!$V:$V,$C113,BV_Data_An_Cour!$W:$W,$L$2)</f>
        <v>10777.44</v>
      </c>
      <c r="M113" s="246"/>
      <c r="N113" s="296">
        <f t="shared" si="35"/>
        <v>-17104.260000000002</v>
      </c>
      <c r="O113" s="1151">
        <f>Q113/(Q105+Q19)</f>
        <v>0.26674250697457286</v>
      </c>
      <c r="P113" s="294">
        <f t="shared" si="36"/>
        <v>887.37950000000001</v>
      </c>
      <c r="Q113" s="256">
        <f t="array" ref="Q113">+INDEX('Réel 2023'!$A$2:$AO$501,MATCH($A113,'Réel 2023'!$A$2:$A$501,0),MATCH(Q$2,'Réel 2023'!$A$2:$AO$2,0))</f>
        <v>17747.59</v>
      </c>
      <c r="R113" s="246"/>
      <c r="S113" s="296">
        <f t="shared" si="37"/>
        <v>-6970.15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422.45</v>
      </c>
      <c r="G114" s="298"/>
      <c r="H114" s="291"/>
      <c r="I114" s="254"/>
      <c r="J114" s="253"/>
      <c r="K114" s="291">
        <f>IF($J$97=0,0,L114/(J$94+J$95+J96))</f>
        <v>82.301739130434783</v>
      </c>
      <c r="L114" s="272">
        <f>SUMIFS(BV_Data_An_Cour!$O:$O,BV_Data_An_Cour!$U:$U,$B114,BV_Data_An_Cour!$V:$V,$C114,BV_Data_An_Cour!$W:$W,$L$2)</f>
        <v>1892.94</v>
      </c>
      <c r="M114" s="253"/>
      <c r="N114" s="276">
        <f t="shared" si="35"/>
        <v>1470.49</v>
      </c>
      <c r="O114" s="253"/>
      <c r="P114" s="291">
        <f t="shared" si="36"/>
        <v>-57.813499999999998</v>
      </c>
      <c r="Q114" s="272">
        <f t="array" ref="Q114">+INDEX('Réel 2023'!$A$2:$AO$501,MATCH($A114,'Réel 2023'!$A$2:$A$501,0),MATCH(Q$2,'Réel 2023'!$A$2:$AO$2,0))</f>
        <v>-1156.27</v>
      </c>
      <c r="R114" s="253"/>
      <c r="S114" s="276">
        <f t="shared" si="37"/>
        <v>3049.21</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295.71499999999997</v>
      </c>
      <c r="G115" s="298"/>
      <c r="H115" s="291"/>
      <c r="I115" s="254"/>
      <c r="J115" s="253"/>
      <c r="K115" s="291">
        <f>IF($J$97=0,0,L115/(J$94+J$95+J96))</f>
        <v>125.55652173913045</v>
      </c>
      <c r="L115" s="256">
        <f>SUMIFS(BV_Data_An_Cour!$O:$O,BV_Data_An_Cour!$U:$U,$B115,BV_Data_An_Cour!$V:$V,$C115,BV_Data_An_Cour!$W:$W,$L$2)</f>
        <v>2887.8</v>
      </c>
      <c r="M115" s="253"/>
      <c r="N115" s="276">
        <f t="shared" si="35"/>
        <v>2592.085</v>
      </c>
      <c r="O115" s="253"/>
      <c r="P115" s="291">
        <f t="shared" si="36"/>
        <v>6.5</v>
      </c>
      <c r="Q115" s="256">
        <f t="array" ref="Q115">+INDEX('Réel 2023'!$A$2:$AO$501,MATCH($A115,'Réel 2023'!$A$2:$A$501,0),MATCH(Q$2,'Réel 2023'!$A$2:$AO$2,0))</f>
        <v>130</v>
      </c>
      <c r="R115" s="253"/>
      <c r="S115" s="276">
        <f t="shared" si="37"/>
        <v>2757.8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6843.69</v>
      </c>
      <c r="G116" s="300"/>
      <c r="H116" s="294"/>
      <c r="I116" s="248"/>
      <c r="J116" s="246"/>
      <c r="K116" s="294">
        <f>IF($J$97=0,0,L116/(J$94+J$95+J96))</f>
        <v>178.62695652173915</v>
      </c>
      <c r="L116" s="248">
        <f>SUMIFS(BV_Data_An_Cour!$O:$O,BV_Data_An_Cour!$U:$U,$B116,BV_Data_An_Cour!$V:$V,$C116,BV_Data_An_Cour!$W:$W,$L$2)</f>
        <v>4108.42</v>
      </c>
      <c r="M116" s="246"/>
      <c r="N116" s="296">
        <f t="shared" si="35"/>
        <v>-2735.2699999999995</v>
      </c>
      <c r="O116" s="246"/>
      <c r="P116" s="294">
        <f t="shared" si="36"/>
        <v>237.09800000000001</v>
      </c>
      <c r="Q116" s="248">
        <f t="array" ref="Q116">+INDEX('Réel 2023'!$A$2:$AO$501,MATCH($A116,'Réel 2023'!$A$2:$A$501,0),MATCH(Q$2,'Réel 2023'!$A$2:$AO$2,0))</f>
        <v>4741.96</v>
      </c>
      <c r="R116" s="246"/>
      <c r="S116" s="296">
        <f t="shared" si="37"/>
        <v>-633.54</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258.66966504911824</v>
      </c>
      <c r="F117" s="254">
        <f>+INDEX('Budget original'!$A$2:$AO$501,MATCH($A117,'Budget original'!$A$2:$A$501,0),MATCH(F$2,'Budget original'!$A$2:$AO$2,0))</f>
        <v>10927.5</v>
      </c>
      <c r="G117" s="298"/>
      <c r="H117" s="291"/>
      <c r="I117" s="254"/>
      <c r="J117" s="253"/>
      <c r="K117" s="291">
        <f>IF($J$97=0,0,L117/(J$94+J$95+J96))</f>
        <v>499.74913043478261</v>
      </c>
      <c r="L117" s="256">
        <f>SUMIFS(BV_Data_An_Cour!$O:$O,BV_Data_An_Cour!$U:$U,$B117,BV_Data_An_Cour!$V:$V,$C117,BV_Data_An_Cour!$W:$W,$L$2)</f>
        <v>11494.23</v>
      </c>
      <c r="M117" s="253"/>
      <c r="N117" s="276">
        <f t="shared" si="35"/>
        <v>566.72999999999956</v>
      </c>
      <c r="O117" s="253"/>
      <c r="P117" s="291">
        <f t="shared" si="36"/>
        <v>612.85599999999999</v>
      </c>
      <c r="Q117" s="256">
        <f t="array" ref="Q117">+INDEX('Réel 2023'!$A$2:$AO$501,MATCH($A117,'Réel 2023'!$A$2:$A$501,0),MATCH(Q$2,'Réel 2023'!$A$2:$AO$2,0))</f>
        <v>12257.12</v>
      </c>
      <c r="R117" s="253"/>
      <c r="S117" s="276">
        <f t="shared" si="37"/>
        <v>-762.89000000000124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205.14225461864567</v>
      </c>
      <c r="F118" s="254">
        <f>+INDEX('Budget original'!$A$2:$AO$501,MATCH($A118,'Budget original'!$A$2:$A$501,0),MATCH(F$2,'Budget original'!$A$2:$AO$2,0))</f>
        <v>8666.2345463646852</v>
      </c>
      <c r="G118" s="298"/>
      <c r="H118" s="291"/>
      <c r="I118" s="254"/>
      <c r="J118" s="253"/>
      <c r="K118" s="291">
        <f>IF($J$97=0,0,L118/(J$94+J$95+J96))</f>
        <v>379.10826086956519</v>
      </c>
      <c r="L118" s="954">
        <f>SUMIFS(BV_Data_An_Cour!$O:$O,BV_Data_An_Cour!$U:$U,$B118,BV_Data_An_Cour!$V:$V,$C118,BV_Data_An_Cour!$W:$W,$L$2)</f>
        <v>8719.49</v>
      </c>
      <c r="M118" s="253"/>
      <c r="N118" s="963">
        <f t="shared" si="35"/>
        <v>53.255453635314552</v>
      </c>
      <c r="O118" s="253"/>
      <c r="P118" s="291">
        <f t="shared" si="36"/>
        <v>101.116</v>
      </c>
      <c r="Q118" s="256">
        <f t="array" ref="Q118">+INDEX('Réel 2023'!$A$2:$AO$501,MATCH($A118,'Réel 2023'!$A$2:$A$501,0),MATCH(Q$2,'Réel 2023'!$A$2:$AO$2,0))</f>
        <v>2022.32</v>
      </c>
      <c r="R118" s="253"/>
      <c r="S118" s="276">
        <f t="shared" si="37"/>
        <v>6697.17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0.4301734609705441</v>
      </c>
      <c r="F122" s="307">
        <f>SUM(F112:F121)</f>
        <v>80130.819546364684</v>
      </c>
      <c r="G122" s="308"/>
      <c r="H122" s="306"/>
      <c r="I122" s="307"/>
      <c r="J122" s="308" t="s">
        <v>119</v>
      </c>
      <c r="K122" s="306">
        <f>L122/L$108</f>
        <v>0.84362183166270666</v>
      </c>
      <c r="L122" s="307">
        <f>SUM(L112:L121)</f>
        <v>52739.389999999992</v>
      </c>
      <c r="M122" s="311"/>
      <c r="N122" s="307">
        <f t="shared" si="35"/>
        <v>-27391.429546364692</v>
      </c>
      <c r="O122" s="308" t="s">
        <v>119</v>
      </c>
      <c r="P122" s="306">
        <f>Q122/Q$108</f>
        <v>0.45271954550466165</v>
      </c>
      <c r="Q122" s="307">
        <f>SUM(Q112:Q121)</f>
        <v>54406.590000000004</v>
      </c>
      <c r="R122" s="311"/>
      <c r="S122" s="307">
        <f t="shared" si="37"/>
        <v>-1667.2000000000116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9398.39</v>
      </c>
      <c r="M123" s="253"/>
      <c r="N123" s="276">
        <f t="shared" si="35"/>
        <v>-3192.3100000000013</v>
      </c>
      <c r="O123" s="253"/>
      <c r="P123" s="41"/>
      <c r="Q123" s="256">
        <f t="array" ref="Q123">+INDEX('Réel 2023'!$A$2:$AO$501,MATCH($A123,'Réel 2023'!$A$2:$A$501,0),MATCH(Q$2,'Réel 2023'!$A$2:$AO$2,0))</f>
        <v>6562.1</v>
      </c>
      <c r="R123" s="253"/>
      <c r="S123" s="276">
        <f t="shared" si="37"/>
        <v>2836.2899999999991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1810.72</v>
      </c>
      <c r="M124" s="253"/>
      <c r="N124" s="276">
        <f t="shared" si="35"/>
        <v>-2444.2824615384616</v>
      </c>
      <c r="O124" s="253"/>
      <c r="P124" s="41"/>
      <c r="Q124" s="248">
        <f t="array" ref="Q124">+INDEX('Réel 2023'!$A$2:$AO$501,MATCH($A124,'Réel 2023'!$A$2:$A$501,0),MATCH(Q$2,'Réel 2023'!$A$2:$AO$2,0))</f>
        <v>3582.4</v>
      </c>
      <c r="R124" s="253"/>
      <c r="S124" s="276">
        <f t="shared" si="37"/>
        <v>-1771.68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7173.33</v>
      </c>
      <c r="M125" s="241"/>
      <c r="N125" s="317">
        <f t="shared" si="35"/>
        <v>1479.6376923076923</v>
      </c>
      <c r="O125" s="241"/>
      <c r="P125" s="315"/>
      <c r="Q125" s="256">
        <f t="array" ref="Q125">+INDEX('Réel 2023'!$A$2:$AO$501,MATCH($A125,'Réel 2023'!$A$2:$A$501,0),MATCH(Q$2,'Réel 2023'!$A$2:$AO$2,0))</f>
        <v>13048.16</v>
      </c>
      <c r="R125" s="241"/>
      <c r="S125" s="317">
        <f t="shared" si="37"/>
        <v>-5874.83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9665.1978396410268</v>
      </c>
      <c r="G130" s="298"/>
      <c r="H130" s="41"/>
      <c r="I130" s="254"/>
      <c r="J130" s="253"/>
      <c r="K130" s="41"/>
      <c r="L130" s="256">
        <f>SUMIFS(BV_Data_An_Cour!$O:$O,BV_Data_An_Cour!$U:$U,$B130,BV_Data_An_Cour!$V:$V,$C130,BV_Data_An_Cour!$W:$W,$L$2)</f>
        <v>6719.86</v>
      </c>
      <c r="M130" s="253"/>
      <c r="N130" s="276">
        <f t="shared" si="35"/>
        <v>-2945.3378396410271</v>
      </c>
      <c r="O130" s="253"/>
      <c r="P130" s="41"/>
      <c r="Q130" s="256">
        <f t="array" ref="Q130">+INDEX('Réel 2023'!$A$2:$AO$501,MATCH($A130,'Réel 2023'!$A$2:$A$501,0),MATCH(Q$2,'Réel 2023'!$A$2:$AO$2,0))</f>
        <v>4042.86</v>
      </c>
      <c r="R130" s="253"/>
      <c r="S130" s="276">
        <f t="shared" si="37"/>
        <v>2676.9999999999995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11751.518078153847</v>
      </c>
      <c r="G131" s="316"/>
      <c r="H131" s="315"/>
      <c r="I131" s="271"/>
      <c r="J131" s="241"/>
      <c r="K131" s="315"/>
      <c r="L131" s="272">
        <f>SUMIFS(BV_Data_An_Cour!$O:$O,BV_Data_An_Cour!$U:$U,$B131,BV_Data_An_Cour!$V:$V,$C131,BV_Data_An_Cour!$W:$W,$L$2)</f>
        <v>6401.3</v>
      </c>
      <c r="M131" s="241"/>
      <c r="N131" s="317">
        <f t="shared" si="35"/>
        <v>-5350.2180781538473</v>
      </c>
      <c r="O131" s="241"/>
      <c r="P131" s="315"/>
      <c r="Q131" s="272">
        <f t="array" ref="Q131">+INDEX('Réel 2023'!$A$2:$AO$501,MATCH($A131,'Réel 2023'!$A$2:$A$501,0),MATCH(Q$2,'Réel 2023'!$A$2:$AO$2,0))</f>
        <v>8576.25</v>
      </c>
      <c r="R131" s="241"/>
      <c r="S131" s="317">
        <f t="shared" si="37"/>
        <v>-2174.9499999999998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6054.5864880923082</v>
      </c>
      <c r="G132" s="298"/>
      <c r="H132" s="41"/>
      <c r="I132" s="254"/>
      <c r="J132" s="253"/>
      <c r="K132" s="41"/>
      <c r="L132" s="256">
        <f>SUMIFS(BV_Data_An_Cour!$O:$O,BV_Data_An_Cour!$U:$U,$B132,BV_Data_An_Cour!$V:$V,$C132,BV_Data_An_Cour!$W:$W,$L$2)</f>
        <v>999.32999999999993</v>
      </c>
      <c r="M132" s="253"/>
      <c r="N132" s="276">
        <f t="shared" si="35"/>
        <v>-5055.2564880923082</v>
      </c>
      <c r="O132" s="253"/>
      <c r="P132" s="41"/>
      <c r="Q132" s="256">
        <f t="array" ref="Q132">+INDEX('Réel 2023'!$A$2:$AO$501,MATCH($A132,'Réel 2023'!$A$2:$A$501,0),MATCH(Q$2,'Réel 2023'!$A$2:$AO$2,0))</f>
        <v>2346.83</v>
      </c>
      <c r="R132" s="253"/>
      <c r="S132" s="276">
        <f t="shared" si="37"/>
        <v>-1347.5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2639.8337711794875</v>
      </c>
      <c r="G133" s="298"/>
      <c r="H133" s="41"/>
      <c r="I133" s="254"/>
      <c r="J133" s="253"/>
      <c r="K133" s="41"/>
      <c r="L133" s="256">
        <f>SUMIFS(BV_Data_An_Cour!$O:$O,BV_Data_An_Cour!$U:$U,$B133,BV_Data_An_Cour!$V:$V,$C133,BV_Data_An_Cour!$W:$W,$L$2)</f>
        <v>1212.53</v>
      </c>
      <c r="M133" s="253"/>
      <c r="N133" s="276">
        <f t="shared" si="35"/>
        <v>-1427.3037711794875</v>
      </c>
      <c r="O133" s="253"/>
      <c r="P133" s="41"/>
      <c r="Q133" s="256">
        <f t="array" ref="Q133">+INDEX('Réel 2023'!$A$2:$AO$501,MATCH($A133,'Réel 2023'!$A$2:$A$501,0),MATCH(Q$2,'Réel 2023'!$A$2:$AO$2,0))</f>
        <v>1442.59</v>
      </c>
      <c r="R133" s="253"/>
      <c r="S133" s="276">
        <f t="shared" si="37"/>
        <v>-230.05999999999995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0.28264856452641918</v>
      </c>
      <c r="F135" s="307">
        <f>+SUM(F123:F134)</f>
        <v>52650.530946297447</v>
      </c>
      <c r="G135" s="308"/>
      <c r="H135" s="306"/>
      <c r="I135" s="307"/>
      <c r="J135" s="308" t="s">
        <v>119</v>
      </c>
      <c r="K135" s="306">
        <f>L135/L$108</f>
        <v>0.53931412783785937</v>
      </c>
      <c r="L135" s="307">
        <f>SUM(L123:L134)</f>
        <v>33715.46</v>
      </c>
      <c r="M135" s="355"/>
      <c r="N135" s="320">
        <f t="shared" si="35"/>
        <v>-18935.070946297448</v>
      </c>
      <c r="O135" s="308" t="s">
        <v>119</v>
      </c>
      <c r="P135" s="306">
        <f>Q135/Q$108</f>
        <v>0.329523183464425</v>
      </c>
      <c r="Q135" s="307">
        <f>+SUM(Q123:Q134)</f>
        <v>39601.19</v>
      </c>
      <c r="R135" s="355"/>
      <c r="S135" s="320">
        <f t="shared" si="37"/>
        <v>-5885.7300000000032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625</v>
      </c>
      <c r="M138" s="246"/>
      <c r="N138" s="296">
        <f t="shared" si="35"/>
        <v>-1833.3333333333335</v>
      </c>
      <c r="O138" s="246"/>
      <c r="P138" s="318"/>
      <c r="Q138" s="248">
        <f t="array" ref="Q138">+INDEX('Réel 2023'!$A$2:$AO$501,MATCH($A138,'Réel 2023'!$A$2:$A$501,0),MATCH(Q$2,'Réel 2023'!$A$2:$AO$2,0))</f>
        <v>1353.95</v>
      </c>
      <c r="R138" s="246"/>
      <c r="S138" s="296">
        <f t="shared" si="37"/>
        <v>-728.95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3778.28</v>
      </c>
      <c r="M139" s="253"/>
      <c r="N139" s="276">
        <f t="shared" si="35"/>
        <v>151.23846266666715</v>
      </c>
      <c r="O139" s="253"/>
      <c r="P139" s="41"/>
      <c r="Q139" s="256">
        <f t="array" ref="Q139">+INDEX('Réel 2023'!$A$2:$AO$501,MATCH($A139,'Réel 2023'!$A$2:$A$501,0),MATCH(Q$2,'Réel 2023'!$A$2:$AO$2,0))</f>
        <v>2787.21</v>
      </c>
      <c r="R139" s="253"/>
      <c r="S139" s="276">
        <f t="shared" si="37"/>
        <v>991.07000000000016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874.21</v>
      </c>
      <c r="M140" s="253"/>
      <c r="N140" s="276">
        <f t="shared" si="35"/>
        <v>353.10075360573717</v>
      </c>
      <c r="O140" s="253"/>
      <c r="P140" s="41"/>
      <c r="Q140" s="256">
        <f t="array" ref="Q140">+INDEX('Réel 2023'!$A$2:$AO$501,MATCH($A140,'Réel 2023'!$A$2:$A$501,0),MATCH(Q$2,'Réel 2023'!$A$2:$AO$2,0))</f>
        <v>347.09</v>
      </c>
      <c r="R140" s="253"/>
      <c r="S140" s="276">
        <f t="shared" si="37"/>
        <v>527.12000000000012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1058.31</v>
      </c>
      <c r="M141" s="246"/>
      <c r="N141" s="296">
        <f t="shared" si="35"/>
        <v>-431.28105332777773</v>
      </c>
      <c r="O141" s="246"/>
      <c r="P141" s="318"/>
      <c r="Q141" s="248">
        <f t="array" ref="Q141">+INDEX('Réel 2023'!$A$2:$AO$501,MATCH($A141,'Réel 2023'!$A$2:$A$501,0),MATCH(Q$2,'Réel 2023'!$A$2:$AO$2,0))</f>
        <v>2040.21</v>
      </c>
      <c r="R141" s="246"/>
      <c r="S141" s="296">
        <f t="shared" si="37"/>
        <v>-981.90000000000009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13.6</v>
      </c>
      <c r="M142" s="253"/>
      <c r="N142" s="276">
        <f t="shared" si="35"/>
        <v>-111.4</v>
      </c>
      <c r="O142" s="253"/>
      <c r="P142" s="41"/>
      <c r="Q142" s="256">
        <f t="array" ref="Q142">+INDEX('Réel 2023'!$A$2:$AO$501,MATCH($A142,'Réel 2023'!$A$2:$A$501,0),MATCH(Q$2,'Réel 2023'!$A$2:$AO$2,0))</f>
        <v>0</v>
      </c>
      <c r="R142" s="253"/>
      <c r="S142" s="276">
        <f t="shared" si="37"/>
        <v>13.6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142.91</v>
      </c>
      <c r="M144" s="253"/>
      <c r="N144" s="276">
        <f t="shared" si="35"/>
        <v>-163.87425698799998</v>
      </c>
      <c r="O144" s="253"/>
      <c r="P144" s="41"/>
      <c r="Q144" s="256">
        <f t="array" ref="Q144">+INDEX('Réel 2023'!$A$2:$AO$501,MATCH($A144,'Réel 2023'!$A$2:$A$501,0),MATCH(Q$2,'Réel 2023'!$A$2:$AO$2,0))</f>
        <v>293.77</v>
      </c>
      <c r="R144" s="253"/>
      <c r="S144" s="276">
        <f t="shared" si="37"/>
        <v>-150.85999999999999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40.54</v>
      </c>
      <c r="M145" s="253"/>
      <c r="N145" s="276">
        <f t="shared" si="35"/>
        <v>-43.94663189483331</v>
      </c>
      <c r="O145" s="253"/>
      <c r="P145" s="41"/>
      <c r="Q145" s="256">
        <f t="array" ref="Q145">+INDEX('Réel 2023'!$A$2:$AO$501,MATCH($A145,'Réel 2023'!$A$2:$A$501,0),MATCH(Q$2,'Réel 2023'!$A$2:$AO$2,0))</f>
        <v>36.03</v>
      </c>
      <c r="R145" s="253"/>
      <c r="S145" s="276">
        <f t="shared" si="37"/>
        <v>4.509999999999998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3.96</v>
      </c>
      <c r="M146" s="253"/>
      <c r="N146" s="276">
        <f t="shared" si="35"/>
        <v>-56.366747465166654</v>
      </c>
      <c r="O146" s="253"/>
      <c r="P146" s="41"/>
      <c r="Q146" s="256">
        <f t="array" ref="Q146">+INDEX('Réel 2023'!$A$2:$AO$501,MATCH($A146,'Réel 2023'!$A$2:$A$501,0),MATCH(Q$2,'Réel 2023'!$A$2:$AO$2,0))</f>
        <v>48.41</v>
      </c>
      <c r="R146" s="253"/>
      <c r="S146" s="276">
        <f t="shared" si="37"/>
        <v>-44.449999999999996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75.75</v>
      </c>
      <c r="M147" s="253"/>
      <c r="N147" s="276">
        <f t="shared" si="35"/>
        <v>-124.03005128816665</v>
      </c>
      <c r="O147" s="253"/>
      <c r="P147" s="41"/>
      <c r="Q147" s="256">
        <f t="array" ref="Q147">+INDEX('Réel 2023'!$A$2:$AO$501,MATCH($A147,'Réel 2023'!$A$2:$A$501,0),MATCH(Q$2,'Réel 2023'!$A$2:$AO$2,0))</f>
        <v>43.83</v>
      </c>
      <c r="R147" s="253"/>
      <c r="S147" s="276">
        <f t="shared" si="37"/>
        <v>31.92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1259.51</v>
      </c>
      <c r="R148" s="253"/>
      <c r="S148" s="276">
        <f t="shared" si="37"/>
        <v>-1221.23</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4">
        <f>SUMIFS(BV_Data_An_Cour!$O:$O,BV_Data_An_Cour!$U:$U,$B149,BV_Data_An_Cour!$V:$V,$C149,BV_Data_An_Cour!$W:$W,$L$2)</f>
        <v>950.46</v>
      </c>
      <c r="M149" s="253"/>
      <c r="N149" s="963">
        <f t="shared" si="35"/>
        <v>168.28542894170789</v>
      </c>
      <c r="O149" s="253"/>
      <c r="P149" s="41"/>
      <c r="Q149" s="256">
        <f t="array" ref="Q149">+INDEX('Réel 2023'!$A$2:$AO$501,MATCH($A149,'Réel 2023'!$A$2:$A$501,0),MATCH(Q$2,'Réel 2023'!$A$2:$AO$2,0))</f>
        <v>672.36</v>
      </c>
      <c r="R149" s="253"/>
      <c r="S149" s="276">
        <f t="shared" si="37"/>
        <v>278.10000000000002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5.4973346117867902E-2</v>
      </c>
      <c r="F153" s="307">
        <f>+SUM(F136:F152)</f>
        <v>10240.193032113515</v>
      </c>
      <c r="G153" s="308"/>
      <c r="H153" s="306"/>
      <c r="I153" s="307"/>
      <c r="J153" s="308" t="s">
        <v>119</v>
      </c>
      <c r="K153" s="306">
        <f>L153/L$108</f>
        <v>0.12159076221810176</v>
      </c>
      <c r="L153" s="307">
        <f>+SUM(L136:L152)</f>
        <v>7601.3000000000011</v>
      </c>
      <c r="M153" s="311"/>
      <c r="N153" s="307">
        <f t="shared" si="35"/>
        <v>-2638.893032113514</v>
      </c>
      <c r="O153" s="308" t="s">
        <v>119</v>
      </c>
      <c r="P153" s="306">
        <f>Q153/Q$108</f>
        <v>7.3910577917201584E-2</v>
      </c>
      <c r="Q153" s="307">
        <f>+SUM(Q136:Q152)</f>
        <v>8882.369999999999</v>
      </c>
      <c r="R153" s="311"/>
      <c r="S153" s="307">
        <f t="shared" si="37"/>
        <v>-1281.0699999999979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0.76779537161483125</v>
      </c>
      <c r="F155" s="307">
        <f>F122+F135+F153</f>
        <v>143021.54352477565</v>
      </c>
      <c r="G155" s="308"/>
      <c r="H155" s="306"/>
      <c r="I155" s="307"/>
      <c r="J155" s="308" t="s">
        <v>119</v>
      </c>
      <c r="K155" s="306">
        <f>L155/L$108</f>
        <v>1.504526721718668</v>
      </c>
      <c r="L155" s="307">
        <f>L122+L135+L153</f>
        <v>94056.15</v>
      </c>
      <c r="M155" s="311"/>
      <c r="N155" s="320">
        <f t="shared" ref="N155:N162" si="39">L155-F155</f>
        <v>-48965.39352477566</v>
      </c>
      <c r="O155" s="308" t="s">
        <v>119</v>
      </c>
      <c r="P155" s="306">
        <f>Q155/Q$108</f>
        <v>0.8561533068862881</v>
      </c>
      <c r="Q155" s="307">
        <f>Q122+Q135+Q153</f>
        <v>102890.15</v>
      </c>
      <c r="R155" s="311"/>
      <c r="S155" s="320">
        <f t="shared" ref="S155:S162" si="40">L155-Q155</f>
        <v>-8834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8">
        <f>E159/499</f>
        <v>0.95</v>
      </c>
      <c r="E159" s="323">
        <f>F159/D97</f>
        <v>474.04999999999995</v>
      </c>
      <c r="F159" s="254">
        <f>+INDEX('Budget original'!$A$2:$AO$501,MATCH($A159,'Budget original'!$A$2:$A$501,0),MATCH(F$2,'Budget original'!$A$2:$AO$2,0))</f>
        <v>20026.242249999996</v>
      </c>
      <c r="G159" s="298"/>
      <c r="H159" s="41"/>
      <c r="I159" s="254"/>
      <c r="J159" s="1169">
        <f>K159/299</f>
        <v>0.9347099025737966</v>
      </c>
      <c r="K159" s="323">
        <f>L159/J97</f>
        <v>279.47826086956519</v>
      </c>
      <c r="L159" s="256">
        <f>-SUMIFS(BV_Data_An_Cour!$O:$O,BV_Data_An_Cour!$U:$U,$B159,BV_Data_An_Cour!$V:$V,$C159,BV_Data_An_Cour!$W:$W,L$2)</f>
        <v>6428</v>
      </c>
      <c r="M159" s="253"/>
      <c r="N159" s="276">
        <f t="shared" si="39"/>
        <v>-13598.242249999996</v>
      </c>
      <c r="O159" s="253"/>
      <c r="P159" s="41"/>
      <c r="Q159" s="256">
        <f t="array" ref="Q159">+INDEX('Réel 2023'!$A$2:$AO$501,MATCH($A159,'Réel 2023'!$A$2:$A$501,0),MATCH(Q$2,'Réel 2023'!$A$2:$AO$2,0))</f>
        <v>7645</v>
      </c>
      <c r="R159" s="253"/>
      <c r="S159" s="276">
        <f t="shared" si="40"/>
        <v>-1217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20026.242249999996</v>
      </c>
      <c r="G163" s="308"/>
      <c r="H163" s="306"/>
      <c r="I163" s="307"/>
      <c r="J163" s="308"/>
      <c r="K163" s="306"/>
      <c r="L163" s="307">
        <f>+SUM(L156:L162)</f>
        <v>6428</v>
      </c>
      <c r="M163" s="311"/>
      <c r="N163" s="307">
        <f>SUM(N156:N159)</f>
        <v>-13598.242249999996</v>
      </c>
      <c r="O163" s="308"/>
      <c r="P163" s="306"/>
      <c r="Q163" s="307">
        <f>+SUM(Q156:Q162)</f>
        <v>7645</v>
      </c>
      <c r="R163" s="311"/>
      <c r="S163" s="307">
        <f>+SUM(S156:S162)</f>
        <v>-1217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63280.298725224347</v>
      </c>
      <c r="G165" s="361"/>
      <c r="H165" s="333"/>
      <c r="I165" s="335"/>
      <c r="J165" s="332"/>
      <c r="K165" s="334"/>
      <c r="L165" s="335">
        <f>L108-L155+L163</f>
        <v>-25112.71000000005</v>
      </c>
      <c r="M165" s="332"/>
      <c r="N165" s="335">
        <f>L165-F165</f>
        <v>-88393.008725224397</v>
      </c>
      <c r="O165" s="332"/>
      <c r="P165" s="1152">
        <f>+Q165/Q93</f>
        <v>3.3738934176025422E-2</v>
      </c>
      <c r="Q165" s="335">
        <f>Q108-Q155+Q163</f>
        <v>24932.099999999802</v>
      </c>
      <c r="R165" s="332"/>
      <c r="S165" s="335">
        <f>L165-Q165</f>
        <v>-50044.809999999852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Avril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06" t="s">
        <v>343</v>
      </c>
      <c r="E170" s="1207"/>
      <c r="F170" s="1208"/>
      <c r="G170" s="1211"/>
      <c r="H170" s="1207"/>
      <c r="I170" s="1208"/>
      <c r="J170" s="1211" t="s">
        <v>344</v>
      </c>
      <c r="K170" s="1207"/>
      <c r="L170" s="1208"/>
      <c r="M170" s="1211" t="s">
        <v>3312</v>
      </c>
      <c r="N170" s="1208"/>
      <c r="O170" s="1206" t="s">
        <v>345</v>
      </c>
      <c r="P170" s="1207"/>
      <c r="Q170" s="1208"/>
      <c r="R170" s="1209" t="s">
        <v>3314</v>
      </c>
      <c r="S170" s="121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779.19719999999995</v>
      </c>
      <c r="E172" s="291">
        <f>+INDEX('Budget original'!$A$2:$AO$501,MATCH($A172,'Budget original'!$A$2:$A$501,0),MATCH(E$2,'Budget original'!$A$2:$AO$2,0))</f>
        <v>257135.07599999997</v>
      </c>
      <c r="F172" s="291">
        <f>+INDEX('Budget original'!$A$2:$AO$501,MATCH($A172,'Budget original'!$A$2:$A$501,0),MATCH(F$2,'Budget original'!$A$2:$AO$2,0))</f>
        <v>195422.65775999997</v>
      </c>
      <c r="G172" s="277"/>
      <c r="H172" s="291"/>
      <c r="I172" s="291"/>
      <c r="J172" s="277">
        <f>-SUMIFS(BV_Data_An_Cour!$O:$O,BV_Data_An_Cour!$U:$U,$B172,BV_Data_An_Cour!$V:$V,$C172,BV_Data_An_Cour!$W:$W,J$2)</f>
        <v>724</v>
      </c>
      <c r="K172" s="254">
        <f>-SUMIFS(BV_Data_An_Cour!$O:$O,BV_Data_An_Cour!$X:$X,"Oui",BV_Data_An_Cour!$U:$U,$B172,BV_Data_An_Cour!$V:$V,$C172)</f>
        <v>213462.55</v>
      </c>
      <c r="L172" s="256">
        <f>-SUMIFS(BV_Data_An_Cour!$O:$O,BV_Data_An_Cour!$U:$U,$B172,BV_Data_An_Cour!$V:$V,$C172,BV_Data_An_Cour!$W:$W,$L$2)</f>
        <v>161811.37</v>
      </c>
      <c r="M172" s="292">
        <f>(K172-E172)/E172</f>
        <v>-0.16984274055244017</v>
      </c>
      <c r="N172" s="276">
        <f>L172-F172</f>
        <v>-33611.287759999977</v>
      </c>
      <c r="O172" s="277">
        <f t="array" ref="O172">+INDEX('Réel 2023'!$A$2:$AO$501,MATCH($A172,'Réel 2023'!$A$2:$A$501,0),MATCH(O$2,'Réel 2023'!$A$2:$AO$2,0))</f>
        <v>649</v>
      </c>
      <c r="P172" s="254">
        <f t="array" ref="P172">+INDEX('Réel 2023'!$A$2:$AO$501,MATCH($A172,'Réel 2023'!$A$2:$A$501,0),MATCH(P$2,'Réel 2023'!$A$2:$AO$2,0))</f>
        <v>206618.41</v>
      </c>
      <c r="Q172" s="256">
        <f t="array" ref="Q172">+INDEX('Réel 2023'!$A$2:$AO$501,MATCH($A172,'Réel 2023'!$A$2:$A$501,0),MATCH(Q$2,'Réel 2023'!$A$2:$AO$2,0))</f>
        <v>159399.99</v>
      </c>
      <c r="R172" s="292">
        <f>IF(O172=0,0,J172/O172)</f>
        <v>1.115562403697997</v>
      </c>
      <c r="S172" s="276">
        <f>L172-Q172</f>
        <v>2411.3800000000047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0.75803165473287937</v>
      </c>
      <c r="M173" s="292"/>
      <c r="N173" s="276"/>
      <c r="O173" s="277"/>
      <c r="P173" s="41"/>
      <c r="Q173" s="362">
        <f>Q172/P172</f>
        <v>0.77147041253487525</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294.83777624309391</v>
      </c>
      <c r="L174" s="364"/>
      <c r="M174" s="295"/>
      <c r="N174" s="296"/>
      <c r="O174" s="365"/>
      <c r="P174" s="363">
        <f>IFERROR(P172/O172,0)</f>
        <v>318.36426810477656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165.02539999999999</v>
      </c>
      <c r="E175" s="291">
        <f>+INDEX('Budget original'!$A$2:$AO$501,MATCH($A175,'Budget original'!$A$2:$A$501,0),MATCH(E$2,'Budget original'!$A$2:$AO$2,0))</f>
        <v>44556.858</v>
      </c>
      <c r="F175" s="291">
        <f>+INDEX('Budget original'!$A$2:$AO$501,MATCH($A175,'Budget original'!$A$2:$A$501,0),MATCH(F$2,'Budget original'!$A$2:$AO$2,0))</f>
        <v>28516.38912</v>
      </c>
      <c r="G175" s="367"/>
      <c r="H175" s="291"/>
      <c r="I175" s="291"/>
      <c r="J175" s="367">
        <f>-SUMIFS(BV_Data_An_Cour!$O:$O,BV_Data_An_Cour!$U:$U,$B175,BV_Data_An_Cour!$V:$V,$C175,BV_Data_An_Cour!$W:$W,J$2)</f>
        <v>99</v>
      </c>
      <c r="K175" s="271">
        <f>-SUMIFS(BV_Data_An_Cour!$O:$O,BV_Data_An_Cour!$X:$X,"Oui",BV_Data_An_Cour!$U:$U,$B175,BV_Data_An_Cour!$V:$V,$C175)</f>
        <v>23543.040000000001</v>
      </c>
      <c r="L175" s="256">
        <f>-SUMIFS(BV_Data_An_Cour!$O:$O,BV_Data_An_Cour!$U:$U,$B175,BV_Data_An_Cour!$V:$V,$C175,BV_Data_An_Cour!$W:$W,$L$2)</f>
        <v>13888.54</v>
      </c>
      <c r="M175" s="292">
        <f>(K175-E175)/E175</f>
        <v>-0.4716180391355243</v>
      </c>
      <c r="N175" s="317">
        <f>L175-F175</f>
        <v>-14627.849119999999</v>
      </c>
      <c r="O175" s="367">
        <f t="array" ref="O175">+INDEX('Réel 2023'!$A$2:$AO$501,MATCH($A175,'Réel 2023'!$A$2:$A$501,0),MATCH(O$2,'Réel 2023'!$A$2:$AO$2,0))</f>
        <v>76</v>
      </c>
      <c r="P175" s="271">
        <f t="array" ref="P175">+INDEX('Réel 2023'!$A$2:$AO$501,MATCH($A175,'Réel 2023'!$A$2:$A$501,0),MATCH(P$2,'Réel 2023'!$A$2:$AO$2,0))</f>
        <v>19537.28</v>
      </c>
      <c r="Q175" s="256">
        <f t="array" ref="Q175">+INDEX('Réel 2023'!$A$2:$AO$501,MATCH($A175,'Réel 2023'!$A$2:$A$501,0),MATCH(Q$2,'Réel 2023'!$A$2:$AO$2,0))</f>
        <v>11548.07</v>
      </c>
      <c r="R175" s="292">
        <f>IF(O175=0,0,J175/O175)</f>
        <v>1.3026315789473684</v>
      </c>
      <c r="S175" s="276">
        <f>L175-Q175</f>
        <v>2340.4700000000012</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0.58992126760180508</v>
      </c>
      <c r="M176" s="264"/>
      <c r="N176" s="265"/>
      <c r="O176" s="253"/>
      <c r="P176" s="41"/>
      <c r="Q176" s="362">
        <f>Q175/P175</f>
        <v>0.59107869672748714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237.80848484848485</v>
      </c>
      <c r="L177" s="364"/>
      <c r="M177" s="295"/>
      <c r="N177" s="296"/>
      <c r="O177" s="365"/>
      <c r="P177" s="363">
        <f>IFERROR(P175/O175,0)</f>
        <v>257.06947368421049</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262.5</v>
      </c>
      <c r="E178" s="291">
        <f>+INDEX('Budget original'!$A$2:$AO$501,MATCH($A178,'Budget original'!$A$2:$A$501,0),MATCH(E$2,'Budget original'!$A$2:$AO$2,0))</f>
        <v>77175</v>
      </c>
      <c r="F178" s="291">
        <f>+INDEX('Budget original'!$A$2:$AO$501,MATCH($A178,'Budget original'!$A$2:$A$501,0),MATCH(F$2,'Budget original'!$A$2:$AO$2,0))</f>
        <v>57109.5</v>
      </c>
      <c r="G178" s="277"/>
      <c r="H178" s="291"/>
      <c r="I178" s="291"/>
      <c r="J178" s="277">
        <f>-SUMIFS(BV_Data_An_Cour!$O:$O,BV_Data_An_Cour!$U:$U,$B178,BV_Data_An_Cour!$V:$V,$C178,BV_Data_An_Cour!$W:$W,J$2)</f>
        <v>232</v>
      </c>
      <c r="K178" s="271">
        <f>-SUMIFS(BV_Data_An_Cour!$O:$O,BV_Data_An_Cour!$X:$X,"Oui",BV_Data_An_Cour!$U:$U,$B178,BV_Data_An_Cour!$V:$V,$C178)</f>
        <v>68576.179999999993</v>
      </c>
      <c r="L178" s="256">
        <f>-SUMIFS(BV_Data_An_Cour!$O:$O,BV_Data_An_Cour!$U:$U,$B178,BV_Data_An_Cour!$V:$V,$C178,BV_Data_An_Cour!$W:$W,$L$2)</f>
        <v>51620.109999999993</v>
      </c>
      <c r="M178" s="292">
        <f>(K178-E178)/E178</f>
        <v>-0.1114197602850665</v>
      </c>
      <c r="N178" s="276">
        <f>L178-F178</f>
        <v>-5489.3900000000067</v>
      </c>
      <c r="O178" s="277">
        <f t="array" ref="O178">+INDEX('Réel 2023'!$A$2:$AO$501,MATCH($A178,'Réel 2023'!$A$2:$A$501,0),MATCH(O$2,'Réel 2023'!$A$2:$AO$2,0))</f>
        <v>141</v>
      </c>
      <c r="P178" s="271">
        <f t="array" ref="P178">+INDEX('Réel 2023'!$A$2:$AO$501,MATCH($A178,'Réel 2023'!$A$2:$A$501,0),MATCH(P$2,'Réel 2023'!$A$2:$AO$2,0))</f>
        <v>39589.24</v>
      </c>
      <c r="Q178" s="256">
        <f t="array" ref="Q178">+INDEX('Réel 2023'!$A$2:$AO$501,MATCH($A178,'Réel 2023'!$A$2:$A$501,0),MATCH(Q$2,'Réel 2023'!$A$2:$AO$2,0))</f>
        <v>28469.120000000003</v>
      </c>
      <c r="R178" s="292">
        <f>IF(O178=0,0,J178/O178)</f>
        <v>1.6453900709219857</v>
      </c>
      <c r="S178" s="276">
        <f>L178-Q178</f>
        <v>23150.989999999991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0.75274111214710415</v>
      </c>
      <c r="M179" s="292"/>
      <c r="N179" s="276">
        <f>L179-F179</f>
        <v>1.2741112147104161E-2</v>
      </c>
      <c r="O179" s="277"/>
      <c r="P179" s="349"/>
      <c r="Q179" s="362">
        <f>Q178/P178</f>
        <v>0.7191125669500098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295.58698275862065</v>
      </c>
      <c r="L180" s="364"/>
      <c r="M180" s="295"/>
      <c r="N180" s="296"/>
      <c r="O180" s="365"/>
      <c r="P180" s="363">
        <f>IFERROR(P178/O178,0)</f>
        <v>280.77475177304962</v>
      </c>
      <c r="Q180" s="362"/>
      <c r="R180" s="365"/>
      <c r="S180" s="276"/>
      <c r="T180" s="291"/>
      <c r="U180" s="1003"/>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151.73371672679087</v>
      </c>
      <c r="E181" s="291">
        <f>+INDEX('Budget original'!$A$2:$AO$501,MATCH($A181,'Budget original'!$A$2:$A$501,0),MATCH(E$2,'Budget original'!$A$2:$AO$2,0))</f>
        <v>15173.371672679088</v>
      </c>
      <c r="F181" s="291">
        <f>+INDEX('Budget original'!$A$2:$AO$501,MATCH($A181,'Budget original'!$A$2:$A$501,0),MATCH(F$2,'Budget original'!$A$2:$AO$2,0))</f>
        <v>11531.762471236107</v>
      </c>
      <c r="G181" s="367"/>
      <c r="H181" s="291"/>
      <c r="I181" s="291"/>
      <c r="J181" s="367">
        <f>-SUMIFS(BV_Data_An_Cour!$O:$O,BV_Data_An_Cour!$U:$U,$B181,BV_Data_An_Cour!$V:$V,$C181,BV_Data_An_Cour!$W:$W,J$2)</f>
        <v>0</v>
      </c>
      <c r="K181" s="271">
        <f>-SUMIFS(BV_Data_An_Cour!$O:$O,BV_Data_An_Cour!$X:$X,"Oui",BV_Data_An_Cour!$U:$U,$B181,BV_Data_An_Cour!$V:$V,$C181)</f>
        <v>31075.29</v>
      </c>
      <c r="L181" s="272">
        <f>-SUMIFS(BV_Data_An_Cour!$O:$O,BV_Data_An_Cour!$U:$U,$B181,BV_Data_An_Cour!$V:$V,$C181,BV_Data_An_Cour!$W:$W,$L$2)</f>
        <v>24885.31</v>
      </c>
      <c r="M181" s="371">
        <f>IF(E181=0,0,(K181-E181)/E181)</f>
        <v>1.0480148163742429</v>
      </c>
      <c r="N181" s="317">
        <f>L181-F181</f>
        <v>13353.547528763895</v>
      </c>
      <c r="O181" s="367">
        <f t="array" ref="O181">+INDEX('Réel 2023'!$A$2:$AO$501,MATCH($A181,'Réel 2023'!$A$2:$A$501,0),MATCH(O$2,'Réel 2023'!$A$2:$AO$2,0))</f>
        <v>0</v>
      </c>
      <c r="P181" s="271">
        <f t="array" ref="P181">+INDEX('Réel 2023'!$A$2:$AO$501,MATCH($A181,'Réel 2023'!$A$2:$A$501,0),MATCH(P$2,'Réel 2023'!$A$2:$AO$2,0))</f>
        <v>4257.78</v>
      </c>
      <c r="Q181" s="272">
        <f t="array" ref="Q181">+INDEX('Réel 2023'!$A$2:$AO$501,MATCH($A181,'Réel 2023'!$A$2:$A$501,0),MATCH(Q$2,'Réel 2023'!$A$2:$AO$2,0))</f>
        <v>3429.3799999999901</v>
      </c>
      <c r="R181" s="292">
        <f>IF(O181=0,0,J181/O181)</f>
        <v>0</v>
      </c>
      <c r="S181" s="317">
        <f>L181-Q181</f>
        <v>21455.930000000011</v>
      </c>
      <c r="T181" s="291"/>
      <c r="U181" s="1003"/>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0.80080700775439262</v>
      </c>
      <c r="M182" s="277">
        <f>J182-D182</f>
        <v>0</v>
      </c>
      <c r="N182" s="374"/>
      <c r="O182" s="373"/>
      <c r="P182" s="372"/>
      <c r="Q182" s="362">
        <f>IFERROR(Q181/P181,0)</f>
        <v>0.80543851490682705</v>
      </c>
      <c r="R182" s="253"/>
      <c r="S182" s="374"/>
      <c r="T182" s="319"/>
      <c r="U182" s="1003"/>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-4558.590378992194</v>
      </c>
      <c r="G184" s="253"/>
      <c r="H184" s="291"/>
      <c r="I184" s="291"/>
      <c r="J184" s="277"/>
      <c r="K184" s="291"/>
      <c r="L184" s="291">
        <f>-SUMIFS(BV_Data_An_Cour!$O:$O,BV_Data_An_Cour!$U:$U,$B184,BV_Data_An_Cour!$V:$V,$C184,BV_Data_An_Cour!$W:$W,$L$2)</f>
        <v>-3446.54</v>
      </c>
      <c r="M184" s="373"/>
      <c r="N184" s="276">
        <f>L184-F184</f>
        <v>1112.0503789921941</v>
      </c>
      <c r="O184" s="277"/>
      <c r="P184" s="291"/>
      <c r="Q184" s="256">
        <f t="array" ref="Q184">+INDEX('Réel 2023'!$A$2:$AO$501,MATCH($A184,'Réel 2023'!$A$2:$A$501,0),MATCH(Q$2,'Réel 2023'!$A$2:$AO$2,0))</f>
        <v>-3057.78</v>
      </c>
      <c r="R184" s="379"/>
      <c r="S184" s="276">
        <f t="shared" ref="S184:S185" si="41">L184-Q184</f>
        <v>-388.75999999999976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1358.4563167267909</v>
      </c>
      <c r="E185" s="381">
        <f>E172+E175+E178+E181+E184</f>
        <v>394040.30567267904</v>
      </c>
      <c r="F185" s="382">
        <f>F172+F175+F178+F181+F184</f>
        <v>288021.71897224389</v>
      </c>
      <c r="G185" s="383"/>
      <c r="H185" s="381"/>
      <c r="I185" s="382"/>
      <c r="J185" s="383">
        <f t="shared" ref="J185:L185" si="42">J172+J175+J178+J181+J184</f>
        <v>1055</v>
      </c>
      <c r="K185" s="381">
        <f t="shared" si="42"/>
        <v>336657.06</v>
      </c>
      <c r="L185" s="382">
        <f t="shared" si="42"/>
        <v>248758.78999999998</v>
      </c>
      <c r="M185" s="384">
        <f>(K185-E185)/E185</f>
        <v>-0.14562785797944763</v>
      </c>
      <c r="N185" s="382">
        <f>L185-F185</f>
        <v>-39262.928972243913</v>
      </c>
      <c r="O185" s="383">
        <f t="shared" ref="O185:Q185" si="43">O172+O175+O178+O181+O184</f>
        <v>866</v>
      </c>
      <c r="P185" s="381">
        <f t="shared" si="43"/>
        <v>270002.71000000002</v>
      </c>
      <c r="Q185" s="382">
        <f t="shared" si="43"/>
        <v>199788.78</v>
      </c>
      <c r="R185" s="264">
        <f>IF(O185=0,0,J185/O185)</f>
        <v>1.2182448036951501</v>
      </c>
      <c r="S185" s="382">
        <f t="shared" si="41"/>
        <v>48970.00999999998</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0.73094481662365129</v>
      </c>
      <c r="G186" s="389"/>
      <c r="H186" s="387"/>
      <c r="I186" s="265"/>
      <c r="J186" s="389"/>
      <c r="K186" s="387">
        <f>IF(J185=0,0,K185/J185)</f>
        <v>319.10621800947865</v>
      </c>
      <c r="L186" s="265">
        <f>IF(L185=0,0,L185/K185)</f>
        <v>0.73890857954976497</v>
      </c>
      <c r="M186" s="389"/>
      <c r="N186" s="388">
        <f>N185/F185</f>
        <v>-0.13631933422363751</v>
      </c>
      <c r="O186" s="389"/>
      <c r="P186" s="387">
        <f>IF(O185=0,0,P185/O185)</f>
        <v>311.78142032332568</v>
      </c>
      <c r="Q186" s="265">
        <f>Q185/P185</f>
        <v>0.73995101752867587</v>
      </c>
      <c r="R186" s="389"/>
      <c r="S186" s="265">
        <f>S185/Q185</f>
        <v>0.24510890951934328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18570</v>
      </c>
      <c r="F188" s="291">
        <f>+INDEX('Budget original'!$A$2:$AO$501,MATCH($A188,'Budget original'!$A$2:$A$501,0),MATCH(F$2,'Budget original'!$A$2:$AO$2,0))</f>
        <v>4085.4</v>
      </c>
      <c r="G188" s="277"/>
      <c r="H188" s="291"/>
      <c r="I188" s="291"/>
      <c r="J188" s="277"/>
      <c r="K188" s="254">
        <f>-SUMIFS(BV_Data_An_Cour!$O:$O,BV_Data_An_Cour!$X:$X,"Oui",BV_Data_An_Cour!$U:$U,$B188,BV_Data_An_Cour!$V:$V,$C188)</f>
        <v>21634.6</v>
      </c>
      <c r="L188" s="256">
        <f>-SUMIFS(BV_Data_An_Cour!$O:$O,BV_Data_An_Cour!$U:$U,$B188,BV_Data_An_Cour!$V:$V,$C188,BV_Data_An_Cour!$W:$W,$L$2)</f>
        <v>4449.5999999999985</v>
      </c>
      <c r="M188" s="292">
        <f>IF(E188=0,0,(K188-E188)/E188)</f>
        <v>0.16502961766289706</v>
      </c>
      <c r="N188" s="276">
        <f>L188-F188</f>
        <v>364.19999999999845</v>
      </c>
      <c r="O188" s="277"/>
      <c r="P188" s="254">
        <f t="array" ref="P188">+INDEX('Réel 2023'!$A$2:$AO$501,MATCH($A188,'Réel 2023'!$A$2:$A$501,0),MATCH(P$2,'Réel 2023'!$A$2:$AO$2,0))</f>
        <v>10677.2</v>
      </c>
      <c r="Q188" s="256">
        <f t="array" ref="Q188">+INDEX('Réel 2023'!$A$2:$AO$501,MATCH($A188,'Réel 2023'!$A$2:$A$501,0),MATCH(Q$2,'Réel 2023'!$A$2:$AO$2,0))</f>
        <v>345.05000000000098</v>
      </c>
      <c r="R188" s="292">
        <f>IF(O188=0,0,J188/O188)</f>
        <v>0</v>
      </c>
      <c r="S188" s="276">
        <f>L188-Q188</f>
        <v>4104.5499999999975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0.20567054625461062</v>
      </c>
      <c r="M189" s="373"/>
      <c r="N189" s="374"/>
      <c r="O189" s="373"/>
      <c r="P189" s="372"/>
      <c r="Q189" s="362">
        <f>IFERROR(Q188/P188,0)</f>
        <v>3.2316524931630106E-2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15173.371672679088</v>
      </c>
      <c r="F191" s="291">
        <f>+INDEX('Budget original'!$A$2:$AO$501,MATCH($A191,'Budget original'!$A$2:$A$501,0),MATCH(F$2,'Budget original'!$A$2:$AO$2,0))</f>
        <v>10621.360170875361</v>
      </c>
      <c r="G191" s="253"/>
      <c r="H191" s="291"/>
      <c r="I191" s="291"/>
      <c r="J191" s="277">
        <f>-SUMIFS(BV_Data_An_Cour!$O:$O,BV_Data_An_Cour!$U:$U,$B191,BV_Data_An_Cour!$V:$V,$C191,BV_Data_An_Cour!$W:$W,J$2)</f>
        <v>42</v>
      </c>
      <c r="K191" s="254">
        <f>-SUMIFS(BV_Data_An_Cour!$O:$O,BV_Data_An_Cour!$X:$X,"Oui",BV_Data_An_Cour!$U:$U,$B191,BV_Data_An_Cour!$V:$V,$C191)</f>
        <v>8946.15</v>
      </c>
      <c r="L191" s="256">
        <f>-SUMIFS(BV_Data_An_Cour!$O:$O,BV_Data_An_Cour!$U:$U,$B191,BV_Data_An_Cour!$V:$V,$C191,BV_Data_An_Cour!$W:$W,$L$2)</f>
        <v>7163.79</v>
      </c>
      <c r="M191" s="373"/>
      <c r="N191" s="374"/>
      <c r="O191" s="373"/>
      <c r="P191" s="254">
        <f t="array" ref="P191">+INDEX('Réel 2023'!$A$2:$AO$501,MATCH($A191,'Réel 2023'!$A$2:$A$501,0),MATCH(P$2,'Réel 2023'!$A$2:$AO$2,0))</f>
        <v>0</v>
      </c>
      <c r="Q191" s="362">
        <f t="array" ref="Q191">+INDEX('Réel 2023'!$A$2:$AO$501,MATCH($A191,'Réel 2023'!$A$2:$A$501,0),MATCH(Q$2,'Réel 2023'!$A$2:$AO$2,0))</f>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0.80076792810315056</v>
      </c>
      <c r="M192" s="373"/>
      <c r="N192" s="374"/>
      <c r="O192" s="373"/>
      <c r="P192" s="372"/>
      <c r="Q192" s="362">
        <f>IF(Q191=0,0,Q191/P191)</f>
        <v>0</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427783.67734535813</v>
      </c>
      <c r="F194" s="281">
        <f>F185+F188+F191</f>
        <v>302728.4791431193</v>
      </c>
      <c r="G194" s="282"/>
      <c r="H194" s="279"/>
      <c r="I194" s="281"/>
      <c r="J194" s="282"/>
      <c r="K194" s="279">
        <f t="shared" ref="K194:L194" si="44">K185+K188+K191</f>
        <v>367237.81</v>
      </c>
      <c r="L194" s="281">
        <f t="shared" si="44"/>
        <v>260372.18</v>
      </c>
      <c r="M194" s="399">
        <f>L195-F195</f>
        <v>1.3343548542956718E-3</v>
      </c>
      <c r="N194" s="281">
        <f>L194-F194</f>
        <v>-42356.299143119308</v>
      </c>
      <c r="O194" s="282"/>
      <c r="P194" s="279">
        <f t="shared" ref="P194:Q194" si="45">P185+P188+P191</f>
        <v>280679.91000000003</v>
      </c>
      <c r="Q194" s="281">
        <f t="shared" si="45"/>
        <v>200133.83</v>
      </c>
      <c r="R194" s="399"/>
      <c r="S194" s="281">
        <f>L194-Q194</f>
        <v>60238.350000000006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0.70766720465288036</v>
      </c>
      <c r="G195" s="283"/>
      <c r="H195" s="284"/>
      <c r="I195" s="287"/>
      <c r="J195" s="283"/>
      <c r="K195" s="284"/>
      <c r="L195" s="287">
        <f>L194/K194</f>
        <v>0.70900155950717603</v>
      </c>
      <c r="M195" s="286"/>
      <c r="N195" s="287">
        <f>N194/F194</f>
        <v>-0.1399151452912851</v>
      </c>
      <c r="O195" s="283"/>
      <c r="P195" s="284"/>
      <c r="Q195" s="287">
        <f>Q194/P194</f>
        <v>0.71303225799096193</v>
      </c>
      <c r="R195" s="286"/>
      <c r="S195" s="287">
        <f>L194/S194</f>
        <v>4.3223657354492602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9367.5400000000009</v>
      </c>
      <c r="M198" s="253"/>
      <c r="N198" s="256">
        <f t="shared" ref="N198:N229" si="46">L198-F198</f>
        <v>-6361.2221794871766</v>
      </c>
      <c r="O198" s="253"/>
      <c r="P198" s="41"/>
      <c r="Q198" s="256">
        <f t="array" ref="Q198">+INDEX('Réel 2023'!$A$2:$AO$501,MATCH($A198,'Réel 2023'!$A$2:$A$501,0),MATCH(Q$2,'Réel 2023'!$A$2:$AO$2,0))</f>
        <v>6865.75</v>
      </c>
      <c r="R198" s="253"/>
      <c r="S198" s="256">
        <f t="shared" ref="S198:S229" si="47">L198-Q198</f>
        <v>2501.7900000000009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8321.08</v>
      </c>
      <c r="M199" s="253"/>
      <c r="N199" s="256">
        <f t="shared" si="46"/>
        <v>-219.87553846153787</v>
      </c>
      <c r="O199" s="253"/>
      <c r="P199" s="41"/>
      <c r="Q199" s="256">
        <f t="array" ref="Q199">+INDEX('Réel 2023'!$A$2:$AO$501,MATCH($A199,'Réel 2023'!$A$2:$A$501,0),MATCH(Q$2,'Réel 2023'!$A$2:$AO$2,0))</f>
        <v>6119.29</v>
      </c>
      <c r="R199" s="253"/>
      <c r="S199" s="276">
        <f t="shared" si="47"/>
        <v>2201.79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20320.27</v>
      </c>
      <c r="M200" s="241"/>
      <c r="N200" s="272">
        <f t="shared" si="46"/>
        <v>2933.6930769230748</v>
      </c>
      <c r="O200" s="241"/>
      <c r="P200" s="315"/>
      <c r="Q200" s="272">
        <f t="array" ref="Q200">+INDEX('Réel 2023'!$A$2:$AO$501,MATCH($A200,'Réel 2023'!$A$2:$A$501,0),MATCH(Q$2,'Réel 2023'!$A$2:$AO$2,0))</f>
        <v>10219.44</v>
      </c>
      <c r="R200" s="241"/>
      <c r="S200" s="317">
        <f t="shared" si="47"/>
        <v>10100.83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49">
        <f>F201/E172</f>
        <v>0.14487266262188206</v>
      </c>
      <c r="F201" s="254">
        <f>+INDEX('Budget original'!$A$2:$AO$501,MATCH($A201,'Budget original'!$A$2:$A$501,0),MATCH(F$2,'Budget original'!$A$2:$AO$2,0))</f>
        <v>37251.8431136</v>
      </c>
      <c r="G201" s="298"/>
      <c r="H201" s="41"/>
      <c r="I201" s="254"/>
      <c r="J201" s="253"/>
      <c r="K201" s="1170">
        <f>L201/K172</f>
        <v>0.20588585679314708</v>
      </c>
      <c r="L201" s="256">
        <f>SUMIFS(BV_Data_An_Cour!$O:$O,BV_Data_An_Cour!$U:$U,$B201,BV_Data_An_Cour!$V:$V,$C201,BV_Data_An_Cour!$W:$W,$L$2)</f>
        <v>43948.92</v>
      </c>
      <c r="M201" s="253"/>
      <c r="N201" s="256">
        <f t="shared" si="46"/>
        <v>6697.0768863999983</v>
      </c>
      <c r="O201" s="253"/>
      <c r="P201" s="41"/>
      <c r="Q201" s="256">
        <f t="array" ref="Q201">+INDEX('Réel 2023'!$A$2:$AO$501,MATCH($A201,'Réel 2023'!$A$2:$A$501,0),MATCH(Q$2,'Réel 2023'!$A$2:$AO$2,0))</f>
        <v>30326</v>
      </c>
      <c r="R201" s="253"/>
      <c r="S201" s="276">
        <f t="shared" si="47"/>
        <v>13622.919999999998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21337.650925649403</v>
      </c>
      <c r="G205" s="298"/>
      <c r="H205" s="41"/>
      <c r="I205" s="254"/>
      <c r="J205" s="253"/>
      <c r="K205" s="41"/>
      <c r="L205" s="256">
        <f>SUMIFS(BV_Data_An_Cour!$O:$O,BV_Data_An_Cour!$U:$U,$B205,BV_Data_An_Cour!$V:$V,$C205,BV_Data_An_Cour!$W:$W,$L$2)</f>
        <v>20422.400000000001</v>
      </c>
      <c r="M205" s="253"/>
      <c r="N205" s="256">
        <f t="shared" si="46"/>
        <v>-915.25092564940132</v>
      </c>
      <c r="O205" s="253"/>
      <c r="P205" s="41"/>
      <c r="Q205" s="256">
        <f t="array" ref="Q205">+INDEX('Réel 2023'!$A$2:$AO$501,MATCH($A205,'Réel 2023'!$A$2:$A$501,0),MATCH(Q$2,'Réel 2023'!$A$2:$AO$2,0))</f>
        <v>15596.8</v>
      </c>
      <c r="R205" s="253"/>
      <c r="S205" s="276">
        <f t="shared" si="47"/>
        <v>4825.6000000000022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25943.575574798393</v>
      </c>
      <c r="G206" s="316"/>
      <c r="H206" s="315"/>
      <c r="I206" s="272"/>
      <c r="J206" s="241"/>
      <c r="K206" s="315"/>
      <c r="L206" s="272">
        <f>SUMIFS(BV_Data_An_Cour!$O:$O,BV_Data_An_Cour!$U:$U,$B206,BV_Data_An_Cour!$V:$V,$C206,BV_Data_An_Cour!$W:$W,$L$2)</f>
        <v>22408.44</v>
      </c>
      <c r="M206" s="241"/>
      <c r="N206" s="272">
        <f t="shared" si="46"/>
        <v>-3535.1355747983944</v>
      </c>
      <c r="O206" s="241"/>
      <c r="P206" s="315"/>
      <c r="Q206" s="272">
        <f t="array" ref="Q206">+INDEX('Réel 2023'!$A$2:$AO$501,MATCH($A206,'Réel 2023'!$A$2:$A$501,0),MATCH(Q$2,'Réel 2023'!$A$2:$AO$2,0))</f>
        <v>19500.03</v>
      </c>
      <c r="R206" s="241"/>
      <c r="S206" s="317">
        <f t="shared" si="47"/>
        <v>2908.41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13366.581328754823</v>
      </c>
      <c r="G207" s="298"/>
      <c r="H207" s="41"/>
      <c r="I207" s="254"/>
      <c r="J207" s="253"/>
      <c r="K207" s="41"/>
      <c r="L207" s="256">
        <f>SUMIFS(BV_Data_An_Cour!$O:$O,BV_Data_An_Cour!$U:$U,$B207,BV_Data_An_Cour!$V:$V,$C207,BV_Data_An_Cour!$W:$W,$L$2)</f>
        <v>11244.77</v>
      </c>
      <c r="M207" s="253"/>
      <c r="N207" s="256">
        <f t="shared" si="46"/>
        <v>-2121.8113287548222</v>
      </c>
      <c r="O207" s="253"/>
      <c r="P207" s="41"/>
      <c r="Q207" s="256">
        <f t="array" ref="Q207">+INDEX('Réel 2023'!$A$2:$AO$501,MATCH($A207,'Réel 2023'!$A$2:$A$501,0),MATCH(Q$2,'Réel 2023'!$A$2:$AO$2,0))</f>
        <v>10358.59</v>
      </c>
      <c r="R207" s="253"/>
      <c r="S207" s="276">
        <f t="shared" si="47"/>
        <v>886.18000000000029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5827.9046581068851</v>
      </c>
      <c r="G208" s="298"/>
      <c r="H208" s="41"/>
      <c r="I208" s="254"/>
      <c r="J208" s="253"/>
      <c r="K208" s="41"/>
      <c r="L208" s="256">
        <f>SUMIFS(BV_Data_An_Cour!$O:$O,BV_Data_An_Cour!$U:$U,$B208,BV_Data_An_Cour!$V:$V,$C208,BV_Data_An_Cour!$W:$W,$L$2)</f>
        <v>4370.88</v>
      </c>
      <c r="M208" s="253"/>
      <c r="N208" s="256">
        <f t="shared" si="46"/>
        <v>-1457.024658106885</v>
      </c>
      <c r="O208" s="253"/>
      <c r="P208" s="41"/>
      <c r="Q208" s="256">
        <f t="array" ref="Q208">+INDEX('Réel 2023'!$A$2:$AO$501,MATCH($A208,'Réel 2023'!$A$2:$A$501,0),MATCH(Q$2,'Réel 2023'!$A$2:$AO$2,0))</f>
        <v>3311.66</v>
      </c>
      <c r="R208" s="253"/>
      <c r="S208" s="276">
        <f t="shared" si="47"/>
        <v>1059.2200000000003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0.48024503889904196</v>
      </c>
      <c r="F210" s="307">
        <f>+SUM(F198:F209)</f>
        <v>145383.85024193514</v>
      </c>
      <c r="G210" s="308"/>
      <c r="H210" s="306"/>
      <c r="I210" s="307"/>
      <c r="J210" s="308" t="s">
        <v>175</v>
      </c>
      <c r="K210" s="306">
        <f>L210/L$194</f>
        <v>0.53924463051313698</v>
      </c>
      <c r="L210" s="307">
        <f>+SUM(L198:L209)</f>
        <v>140404.29999999999</v>
      </c>
      <c r="M210" s="355"/>
      <c r="N210" s="307">
        <f t="shared" si="46"/>
        <v>-4979.5502419351542</v>
      </c>
      <c r="O210" s="308" t="s">
        <v>175</v>
      </c>
      <c r="P210" s="306">
        <f>Q210/Q$194</f>
        <v>0.51114576681013901</v>
      </c>
      <c r="Q210" s="307">
        <f>+SUM(Q198:Q209)</f>
        <v>102297.56</v>
      </c>
      <c r="R210" s="355"/>
      <c r="S210" s="320">
        <f t="shared" si="47"/>
        <v>38106.739999999991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11076.5</v>
      </c>
      <c r="M211" s="253"/>
      <c r="N211" s="276">
        <f t="shared" si="46"/>
        <v>689.50768086805874</v>
      </c>
      <c r="O211" s="253"/>
      <c r="P211" s="41"/>
      <c r="Q211" s="256">
        <f t="array" ref="Q211">+INDEX('Réel 2023'!$A$2:$AO$501,MATCH($A211,'Réel 2023'!$A$2:$A$501,0),MATCH(Q$2,'Réel 2023'!$A$2:$AO$2,0))</f>
        <v>11679.54</v>
      </c>
      <c r="R211" s="253"/>
      <c r="S211" s="276">
        <f t="shared" si="47"/>
        <v>-603.04000000000087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2109.5300000000002</v>
      </c>
      <c r="M212" s="253"/>
      <c r="N212" s="276">
        <f t="shared" si="46"/>
        <v>-1750.8626568344444</v>
      </c>
      <c r="O212" s="253"/>
      <c r="P212" s="41"/>
      <c r="Q212" s="256">
        <f t="array" ref="Q212">+INDEX('Réel 2023'!$A$2:$AO$501,MATCH($A212,'Réel 2023'!$A$2:$A$501,0),MATCH(Q$2,'Réel 2023'!$A$2:$AO$2,0))</f>
        <v>4362.38</v>
      </c>
      <c r="R212" s="253"/>
      <c r="S212" s="276">
        <f t="shared" si="47"/>
        <v>-2252.85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13105.98</v>
      </c>
      <c r="M213" s="246"/>
      <c r="N213" s="296">
        <f t="shared" si="46"/>
        <v>-227.35333333333438</v>
      </c>
      <c r="O213" s="246"/>
      <c r="P213" s="318"/>
      <c r="Q213" s="256">
        <f t="array" ref="Q213">+INDEX('Réel 2023'!$A$2:$AO$501,MATCH($A213,'Réel 2023'!$A$2:$A$501,0),MATCH(Q$2,'Réel 2023'!$A$2:$AO$2,0))</f>
        <v>12465.7</v>
      </c>
      <c r="R213" s="246"/>
      <c r="S213" s="296">
        <f t="shared" si="47"/>
        <v>640.27999999999884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4927.17</v>
      </c>
      <c r="M214" s="253"/>
      <c r="N214" s="276">
        <f t="shared" si="46"/>
        <v>566.28812533333439</v>
      </c>
      <c r="O214" s="253"/>
      <c r="P214" s="41"/>
      <c r="Q214" s="272">
        <f t="array" ref="Q214">+INDEX('Réel 2023'!$A$2:$AO$501,MATCH($A214,'Réel 2023'!$A$2:$A$501,0),MATCH(Q$2,'Réel 2023'!$A$2:$AO$2,0))</f>
        <v>4576.83</v>
      </c>
      <c r="R214" s="253"/>
      <c r="S214" s="276">
        <f t="shared" si="47"/>
        <v>350.34000000000015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1797.78</v>
      </c>
      <c r="M215" s="253"/>
      <c r="N215" s="276">
        <f t="shared" si="46"/>
        <v>698.39814531267621</v>
      </c>
      <c r="O215" s="253"/>
      <c r="P215" s="41"/>
      <c r="Q215" s="256">
        <f t="array" ref="Q215">+INDEX('Réel 2023'!$A$2:$AO$501,MATCH($A215,'Réel 2023'!$A$2:$A$501,0),MATCH(Q$2,'Réel 2023'!$A$2:$AO$2,0))</f>
        <v>1653.06</v>
      </c>
      <c r="R215" s="253"/>
      <c r="S215" s="276">
        <f t="shared" si="47"/>
        <v>144.72000000000003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5141.7720024888895</v>
      </c>
      <c r="G216" s="300"/>
      <c r="H216" s="318"/>
      <c r="I216" s="248"/>
      <c r="J216" s="246"/>
      <c r="K216" s="318"/>
      <c r="L216" s="256">
        <f>SUMIFS(BV_Data_An_Cour!$O:$O,BV_Data_An_Cour!$U:$U,$B216,BV_Data_An_Cour!$V:$V,$C216,BV_Data_An_Cour!$W:$W,$L$2)</f>
        <v>11142.48</v>
      </c>
      <c r="M216" s="246"/>
      <c r="N216" s="1186">
        <f t="shared" si="46"/>
        <v>6000.7079975111101</v>
      </c>
      <c r="O216" s="246"/>
      <c r="P216" s="318"/>
      <c r="Q216" s="256">
        <f t="array" ref="Q216">+INDEX('Réel 2023'!$A$2:$AO$501,MATCH($A216,'Réel 2023'!$A$2:$A$501,0),MATCH(Q$2,'Réel 2023'!$A$2:$AO$2,0))</f>
        <v>4098.16</v>
      </c>
      <c r="R216" s="246"/>
      <c r="S216" s="296">
        <f t="shared" si="47"/>
        <v>7044.32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4529.47</v>
      </c>
      <c r="M218" s="253"/>
      <c r="N218" s="276">
        <f t="shared" si="46"/>
        <v>-1053.8633333333328</v>
      </c>
      <c r="O218" s="253"/>
      <c r="P218" s="41"/>
      <c r="Q218" s="256">
        <f t="array" ref="Q218">+INDEX('Réel 2023'!$A$2:$AO$501,MATCH($A218,'Réel 2023'!$A$2:$A$501,0),MATCH(Q$2,'Réel 2023'!$A$2:$AO$2,0))</f>
        <v>8832.08</v>
      </c>
      <c r="R218" s="253"/>
      <c r="S218" s="276">
        <f t="shared" si="47"/>
        <v>-4302.6099999999997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893.35</v>
      </c>
      <c r="M219" s="253"/>
      <c r="N219" s="276">
        <f t="shared" si="46"/>
        <v>-328.59163760710965</v>
      </c>
      <c r="O219" s="253"/>
      <c r="P219" s="41"/>
      <c r="Q219" s="256">
        <f t="array" ref="Q219">+INDEX('Réel 2023'!$A$2:$AO$501,MATCH($A219,'Réel 2023'!$A$2:$A$501,0),MATCH(Q$2,'Réel 2023'!$A$2:$AO$2,0))</f>
        <v>619.66999999999996</v>
      </c>
      <c r="R219" s="253"/>
      <c r="S219" s="276">
        <f t="shared" si="47"/>
        <v>273.68000000000006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479.88</v>
      </c>
      <c r="M220" s="253"/>
      <c r="N220" s="276">
        <f t="shared" si="46"/>
        <v>-268.32426397599988</v>
      </c>
      <c r="O220" s="253"/>
      <c r="P220" s="41"/>
      <c r="Q220" s="256">
        <f t="array" ref="Q220">+INDEX('Réel 2023'!$A$2:$AO$501,MATCH($A220,'Réel 2023'!$A$2:$A$501,0),MATCH(Q$2,'Réel 2023'!$A$2:$AO$2,0))</f>
        <v>587.58000000000004</v>
      </c>
      <c r="R220" s="253"/>
      <c r="S220" s="276">
        <f t="shared" si="47"/>
        <v>-107.70000000000005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330.28</v>
      </c>
      <c r="M221" s="253"/>
      <c r="N221" s="276">
        <f t="shared" si="46"/>
        <v>114.19293621033333</v>
      </c>
      <c r="O221" s="253"/>
      <c r="P221" s="41"/>
      <c r="Q221" s="256">
        <f t="array" ref="Q221">+INDEX('Réel 2023'!$A$2:$AO$501,MATCH($A221,'Réel 2023'!$A$2:$A$501,0),MATCH(Q$2,'Réel 2023'!$A$2:$AO$2,0))</f>
        <v>353.57</v>
      </c>
      <c r="R221" s="253"/>
      <c r="S221" s="276">
        <f t="shared" si="47"/>
        <v>-23.29000000000002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7.92</v>
      </c>
      <c r="M222" s="253"/>
      <c r="N222" s="276">
        <f t="shared" si="46"/>
        <v>-95.85844493033332</v>
      </c>
      <c r="O222" s="253"/>
      <c r="P222" s="41"/>
      <c r="Q222" s="256">
        <f t="array" ref="Q222">+INDEX('Réel 2023'!$A$2:$AO$501,MATCH($A222,'Réel 2023'!$A$2:$A$501,0),MATCH(Q$2,'Réel 2023'!$A$2:$AO$2,0))</f>
        <v>371.82</v>
      </c>
      <c r="R222" s="253"/>
      <c r="S222" s="276">
        <f t="shared" si="47"/>
        <v>-363.9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151.44999999999999</v>
      </c>
      <c r="M223" s="253"/>
      <c r="N223" s="276">
        <f t="shared" si="46"/>
        <v>-65.022652576333314</v>
      </c>
      <c r="O223" s="253"/>
      <c r="P223" s="41"/>
      <c r="Q223" s="256">
        <f t="array" ref="Q223">+INDEX('Réel 2023'!$A$2:$AO$501,MATCH($A223,'Réel 2023'!$A$2:$A$501,0),MATCH(Q$2,'Réel 2023'!$A$2:$AO$2,0))</f>
        <v>163.63</v>
      </c>
      <c r="R223" s="253"/>
      <c r="S223" s="276">
        <f t="shared" si="47"/>
        <v>-12.180000000000007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1114.8599999999999</v>
      </c>
      <c r="M224" s="253"/>
      <c r="N224" s="276">
        <f t="shared" si="46"/>
        <v>-2871.5945554484888</v>
      </c>
      <c r="O224" s="253"/>
      <c r="P224" s="41"/>
      <c r="Q224" s="256">
        <f t="array" ref="Q224">+INDEX('Réel 2023'!$A$2:$AO$501,MATCH($A224,'Réel 2023'!$A$2:$A$501,0),MATCH(Q$2,'Réel 2023'!$A$2:$AO$2,0))</f>
        <v>5330.26</v>
      </c>
      <c r="R224" s="253"/>
      <c r="S224" s="276">
        <f t="shared" si="47"/>
        <v>-4215.4000000000005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2138.54</v>
      </c>
      <c r="M225" s="253"/>
      <c r="N225" s="276">
        <f t="shared" si="46"/>
        <v>188.67660214561033</v>
      </c>
      <c r="O225" s="253"/>
      <c r="P225" s="41"/>
      <c r="Q225" s="256">
        <f t="array" ref="Q225">+INDEX('Réel 2023'!$A$2:$AO$501,MATCH($A225,'Réel 2023'!$A$2:$A$501,0),MATCH(Q$2,'Réel 2023'!$A$2:$AO$2,0))</f>
        <v>1512.81</v>
      </c>
      <c r="R225" s="253"/>
      <c r="S225" s="276">
        <f t="shared" si="47"/>
        <v>625.73</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0.17246110950128263</v>
      </c>
      <c r="F229" s="307">
        <f>+SUM(F211:F228)</f>
        <v>52208.889390658253</v>
      </c>
      <c r="G229" s="308"/>
      <c r="H229" s="306"/>
      <c r="I229" s="307"/>
      <c r="J229" s="308" t="s">
        <v>175</v>
      </c>
      <c r="K229" s="306">
        <f>L229/L$194</f>
        <v>0.2066472308984777</v>
      </c>
      <c r="L229" s="307">
        <f>+SUM(L211:L228)</f>
        <v>53805.189999999995</v>
      </c>
      <c r="M229" s="311"/>
      <c r="N229" s="307">
        <f t="shared" si="46"/>
        <v>1596.3006093417425</v>
      </c>
      <c r="O229" s="308" t="s">
        <v>175</v>
      </c>
      <c r="P229" s="306">
        <f>Q229/Q$194</f>
        <v>0.28284618347632684</v>
      </c>
      <c r="Q229" s="307">
        <f>+SUM(Q211:Q228)</f>
        <v>56607.09</v>
      </c>
      <c r="R229" s="311"/>
      <c r="S229" s="307">
        <f t="shared" si="47"/>
        <v>-2801.9000000000015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0.65270614840032459</v>
      </c>
      <c r="F231" s="307">
        <f>F210+F229</f>
        <v>197592.73963259341</v>
      </c>
      <c r="G231" s="308"/>
      <c r="H231" s="306"/>
      <c r="I231" s="307"/>
      <c r="J231" s="308" t="s">
        <v>119</v>
      </c>
      <c r="K231" s="306">
        <f>L231/L$194</f>
        <v>0.74589186141161468</v>
      </c>
      <c r="L231" s="307">
        <f>L210+L229</f>
        <v>194209.49</v>
      </c>
      <c r="M231" s="311"/>
      <c r="N231" s="320">
        <f>L231-F231</f>
        <v>-3383.2496325934189</v>
      </c>
      <c r="O231" s="308" t="s">
        <v>119</v>
      </c>
      <c r="P231" s="306">
        <f>Q231/Q$194</f>
        <v>0.79399195028646585</v>
      </c>
      <c r="Q231" s="307">
        <f>Q210+Q229</f>
        <v>158904.65</v>
      </c>
      <c r="R231" s="311"/>
      <c r="S231" s="320">
        <f>L231-Q231</f>
        <v>35304.839999999997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105135.73951052589</v>
      </c>
      <c r="G233" s="361"/>
      <c r="H233" s="333"/>
      <c r="I233" s="335"/>
      <c r="J233" s="332"/>
      <c r="K233" s="334"/>
      <c r="L233" s="335">
        <f>L194-L231</f>
        <v>66162.69</v>
      </c>
      <c r="M233" s="332"/>
      <c r="N233" s="335">
        <f>L233-F233</f>
        <v>-38973.049510525889</v>
      </c>
      <c r="O233" s="332"/>
      <c r="P233" s="1152">
        <f>+Q233/P194</f>
        <v>0.14689038485155559</v>
      </c>
      <c r="Q233" s="335">
        <f>Q194-Q231</f>
        <v>41229.179999999993</v>
      </c>
      <c r="R233" s="332"/>
      <c r="S233" s="335">
        <f>L233-Q233</f>
        <v>24933.510000000009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Avril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06" t="s">
        <v>343</v>
      </c>
      <c r="E238" s="1207"/>
      <c r="F238" s="1208"/>
      <c r="G238" s="1211"/>
      <c r="H238" s="1207"/>
      <c r="I238" s="1208"/>
      <c r="J238" s="1211" t="s">
        <v>344</v>
      </c>
      <c r="K238" s="1207"/>
      <c r="L238" s="1208"/>
      <c r="M238" s="1211" t="s">
        <v>3312</v>
      </c>
      <c r="N238" s="1208"/>
      <c r="O238" s="1206" t="s">
        <v>345</v>
      </c>
      <c r="P238" s="1207"/>
      <c r="Q238" s="1208"/>
      <c r="R238" s="1209" t="s">
        <v>3314</v>
      </c>
      <c r="S238" s="121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111937.99023890575</v>
      </c>
      <c r="F241" s="291">
        <f>+INDEX('Budget original'!$A$2:$AO$501,MATCH($A241,'Budget original'!$A$2:$A$501,0),MATCH(F$2,'Budget original'!$A$2:$AO$2,0))</f>
        <v>16790.698535835862</v>
      </c>
      <c r="G241" s="322"/>
      <c r="H241" s="291"/>
      <c r="I241" s="291"/>
      <c r="J241" s="277">
        <f>-SUMIFS(BV_Data_An_Cour!$O:$O,BV_Data_An_Cour!$U:$U,$B241,BV_Data_An_Cour!$V:$V,$C241,BV_Data_An_Cour!$W:$W,J$2)</f>
        <v>22</v>
      </c>
      <c r="K241" s="254">
        <f>-SUMIFS(BV_Data_An_Cour!$O:$O,BV_Data_An_Cour!$X:$X,"Oui",BV_Data_An_Cour!$U:$U,$B241,BV_Data_An_Cour!$V:$V,$C241)</f>
        <v>71665.97</v>
      </c>
      <c r="L241" s="256">
        <f>-SUMIFS(BV_Data_An_Cour!$O:$O,BV_Data_An_Cour!$U:$U,$B241,BV_Data_An_Cour!$V:$V,$C241,BV_Data_An_Cour!$W:$W,$L$2)</f>
        <v>17236.259999999995</v>
      </c>
      <c r="M241" s="292">
        <f>IFERROR((K241-E241)/E241,0)</f>
        <v>-0.35977079946633345</v>
      </c>
      <c r="N241" s="276">
        <f>L241-F241</f>
        <v>445.56146416413321</v>
      </c>
      <c r="O241" s="277">
        <f t="array" ref="O241">+INDEX('Réel 2023'!$A$2:$AO$501,MATCH($A241,'Réel 2023'!$A$2:$A$501,0),MATCH(O$2,'Réel 2023'!$A$2:$AO$2,0))</f>
        <v>21</v>
      </c>
      <c r="P241" s="254">
        <f t="array" ref="P241">+INDEX('Réel 2023'!$A$2:$AO$501,MATCH($A241,'Réel 2023'!$A$2:$A$501,0),MATCH(P$2,'Réel 2023'!$A$2:$AO$2,0))</f>
        <v>20068.84</v>
      </c>
      <c r="Q241" s="256">
        <f t="array" ref="Q241">+INDEX('Réel 2023'!$A$2:$AO$501,MATCH($A241,'Réel 2023'!$A$2:$A$501,0),MATCH(Q$2,'Réel 2023'!$A$2:$AO$2,0))</f>
        <v>6932.34</v>
      </c>
      <c r="R241" s="292">
        <f>IF(O241=0,0,J241/O241)</f>
        <v>1.0476190476190477</v>
      </c>
      <c r="S241" s="276">
        <f>L241-Q241</f>
        <v>10303.919999999995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0.24050829145269359</v>
      </c>
      <c r="M242" s="292"/>
      <c r="N242" s="276">
        <f>IFERROR(N241/M241,0)</f>
        <v>-1238.4592213294061</v>
      </c>
      <c r="O242" s="277"/>
      <c r="P242" s="41"/>
      <c r="Q242" s="362">
        <f>IFERROR(Q241/P241,0)</f>
        <v>0.34542803669768657</v>
      </c>
      <c r="R242" s="277"/>
      <c r="S242" s="276">
        <f>IFERROR(S241/R241,0)</f>
        <v>9835.559999999994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111937.99023890575</v>
      </c>
      <c r="F250" s="281">
        <f>F244+F247+F241</f>
        <v>16790.698535835862</v>
      </c>
      <c r="G250" s="282"/>
      <c r="H250" s="279"/>
      <c r="I250" s="281"/>
      <c r="J250" s="282"/>
      <c r="K250" s="279">
        <f t="shared" ref="K250:L250" si="48">K244+K247+K241</f>
        <v>71665.97</v>
      </c>
      <c r="L250" s="281">
        <f t="shared" si="48"/>
        <v>17236.259999999995</v>
      </c>
      <c r="M250" s="399">
        <f>L251-F251</f>
        <v>9.0508291452693596E-2</v>
      </c>
      <c r="N250" s="281">
        <f>L250-F250</f>
        <v>445.56146416413321</v>
      </c>
      <c r="O250" s="282"/>
      <c r="P250" s="279">
        <f t="shared" ref="P250:Q250" si="49">P244+P247+P241</f>
        <v>20068.84</v>
      </c>
      <c r="Q250" s="281">
        <f t="shared" si="49"/>
        <v>6932.34</v>
      </c>
      <c r="R250" s="405">
        <f>L251-Q251</f>
        <v>-0.10491974524499298</v>
      </c>
      <c r="S250" s="281">
        <f>L250-Q250</f>
        <v>10303.919999999995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0.24050829145269359</v>
      </c>
      <c r="M251" s="286"/>
      <c r="N251" s="287">
        <f>N250/F250</f>
        <v>2.6536207723173954E-2</v>
      </c>
      <c r="O251" s="283"/>
      <c r="P251" s="284"/>
      <c r="Q251" s="287">
        <f>Q250/P250</f>
        <v>0.34542803669768657</v>
      </c>
      <c r="R251" s="286"/>
      <c r="S251" s="287">
        <f>S250/Q250</f>
        <v>1.4863552566665794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452.67</v>
      </c>
      <c r="M255" s="253"/>
      <c r="N255" s="276">
        <f t="shared" si="50"/>
        <v>-4251.0806153846152</v>
      </c>
      <c r="O255" s="253"/>
      <c r="P255" s="41"/>
      <c r="Q255" s="256">
        <f t="array" ref="Q255">+INDEX('Réel 2023'!$A$2:$AO$501,MATCH($A255,'Réel 2023'!$A$2:$A$501,0),MATCH(Q$2,'Réel 2023'!$A$2:$AO$2,0))</f>
        <v>0</v>
      </c>
      <c r="R255" s="253"/>
      <c r="S255" s="276">
        <f t="shared" si="51"/>
        <v>452.67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0.13</v>
      </c>
      <c r="M256" s="241"/>
      <c r="N256" s="317">
        <f t="shared" si="50"/>
        <v>-17.400769230769232</v>
      </c>
      <c r="O256" s="241"/>
      <c r="P256" s="315"/>
      <c r="Q256" s="272">
        <f t="array" ref="Q256">+INDEX('Réel 2023'!$A$2:$AO$501,MATCH($A256,'Réel 2023'!$A$2:$A$501,0),MATCH(Q$2,'Réel 2023'!$A$2:$AO$2,0))</f>
        <v>0.08</v>
      </c>
      <c r="R256" s="241"/>
      <c r="S256" s="317">
        <f t="shared" si="51"/>
        <v>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1862.6</v>
      </c>
      <c r="R257" s="253"/>
      <c r="S257" s="276">
        <f t="shared" si="51"/>
        <v>-1862.6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148.47</v>
      </c>
      <c r="M261" s="253"/>
      <c r="N261" s="276">
        <f t="shared" si="50"/>
        <v>-448.15482465384605</v>
      </c>
      <c r="O261" s="253"/>
      <c r="P261" s="41"/>
      <c r="Q261" s="256">
        <f t="array" ref="Q261">+INDEX('Réel 2023'!$A$2:$AO$501,MATCH($A261,'Réel 2023'!$A$2:$A$501,0),MATCH(Q$2,'Réel 2023'!$A$2:$AO$2,0))</f>
        <v>331.33</v>
      </c>
      <c r="R261" s="253"/>
      <c r="S261" s="276">
        <f t="shared" si="51"/>
        <v>-182.85999999999999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830.33</v>
      </c>
      <c r="M262" s="241"/>
      <c r="N262" s="317">
        <f t="shared" si="50"/>
        <v>104.91831892307698</v>
      </c>
      <c r="O262" s="241"/>
      <c r="P262" s="315"/>
      <c r="Q262" s="272">
        <f t="array" ref="Q262">+INDEX('Réel 2023'!$A$2:$AO$501,MATCH($A262,'Réel 2023'!$A$2:$A$501,0),MATCH(Q$2,'Réel 2023'!$A$2:$AO$2,0))</f>
        <v>946.77</v>
      </c>
      <c r="R262" s="241"/>
      <c r="S262" s="317">
        <f t="shared" si="51"/>
        <v>-116.43999999999994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325.86</v>
      </c>
      <c r="M263" s="253"/>
      <c r="N263" s="276">
        <f t="shared" si="50"/>
        <v>-47.884713946153738</v>
      </c>
      <c r="O263" s="253"/>
      <c r="P263" s="41"/>
      <c r="Q263" s="256">
        <f t="array" ref="Q263">+INDEX('Réel 2023'!$A$2:$AO$501,MATCH($A263,'Réel 2023'!$A$2:$A$501,0),MATCH(Q$2,'Réel 2023'!$A$2:$AO$2,0))</f>
        <v>34.520000000000003</v>
      </c>
      <c r="R263" s="253"/>
      <c r="S263" s="276">
        <f t="shared" si="51"/>
        <v>291.34000000000003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127.2</v>
      </c>
      <c r="M264" s="253"/>
      <c r="N264" s="276">
        <f t="shared" si="50"/>
        <v>-35.754797923076907</v>
      </c>
      <c r="O264" s="253"/>
      <c r="P264" s="41"/>
      <c r="Q264" s="256">
        <f t="array" ref="Q264">+INDEX('Réel 2023'!$A$2:$AO$501,MATCH($A264,'Réel 2023'!$A$2:$A$501,0),MATCH(Q$2,'Réel 2023'!$A$2:$AO$2,0))</f>
        <v>49.08</v>
      </c>
      <c r="R264" s="253"/>
      <c r="S264" s="276">
        <f t="shared" si="51"/>
        <v>78.12</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0.40959239352295479</v>
      </c>
      <c r="F266" s="307">
        <f>+SUM(F254:F265)</f>
        <v>6877.3424022153831</v>
      </c>
      <c r="G266" s="308"/>
      <c r="H266" s="306"/>
      <c r="I266" s="307"/>
      <c r="J266" s="308" t="s">
        <v>119</v>
      </c>
      <c r="K266" s="306">
        <f>IF(L250=0,0,L266/L$250)</f>
        <v>0.16166732226132588</v>
      </c>
      <c r="L266" s="307">
        <f>+SUM(L254:L265)</f>
        <v>2786.54</v>
      </c>
      <c r="M266" s="355"/>
      <c r="N266" s="320">
        <f t="shared" si="50"/>
        <v>-4090.8024022153832</v>
      </c>
      <c r="O266" s="308" t="s">
        <v>119</v>
      </c>
      <c r="P266" s="306">
        <f>IF(Q244=0,0,Q266/Q$244)</f>
        <v>0</v>
      </c>
      <c r="Q266" s="307">
        <f>+SUM(Q254:Q265)</f>
        <v>4126.26</v>
      </c>
      <c r="R266" s="355"/>
      <c r="S266" s="320">
        <f t="shared" si="51"/>
        <v>-1339.7200000000003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57.6</v>
      </c>
      <c r="M267" s="253"/>
      <c r="N267" s="276">
        <f t="shared" si="50"/>
        <v>57.6</v>
      </c>
      <c r="O267" s="253"/>
      <c r="P267" s="41"/>
      <c r="Q267" s="276">
        <f t="array" ref="Q267">+INDEX('Réel 2023'!$A$2:$AO$501,MATCH($A267,'Réel 2023'!$A$2:$A$501,0),MATCH(Q$2,'Réel 2023'!$A$2:$AO$2,0))</f>
        <v>24.52</v>
      </c>
      <c r="R267" s="253"/>
      <c r="S267" s="276">
        <f t="shared" si="51"/>
        <v>33.08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966.44</v>
      </c>
      <c r="M268" s="253"/>
      <c r="N268" s="276">
        <f t="shared" si="50"/>
        <v>372.53343741008553</v>
      </c>
      <c r="O268" s="253"/>
      <c r="P268" s="41"/>
      <c r="Q268" s="276">
        <f t="array" ref="Q268">+INDEX('Réel 2023'!$A$2:$AO$501,MATCH($A268,'Réel 2023'!$A$2:$A$501,0),MATCH(Q$2,'Réel 2023'!$A$2:$AO$2,0))</f>
        <v>453.76</v>
      </c>
      <c r="R268" s="253"/>
      <c r="S268" s="276">
        <f t="shared" si="51"/>
        <v>512.68000000000006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1298.76</v>
      </c>
      <c r="R269" s="246"/>
      <c r="S269" s="296">
        <f t="shared" si="51"/>
        <v>-1140.99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1612.47</v>
      </c>
      <c r="M270" s="253"/>
      <c r="N270" s="276">
        <f t="shared" si="50"/>
        <v>178.33606988888869</v>
      </c>
      <c r="O270" s="253"/>
      <c r="P270" s="41"/>
      <c r="Q270" s="276">
        <f t="array" ref="Q270">+INDEX('Réel 2023'!$A$2:$AO$501,MATCH($A270,'Réel 2023'!$A$2:$A$501,0),MATCH(Q$2,'Réel 2023'!$A$2:$AO$2,0))</f>
        <v>1645.4</v>
      </c>
      <c r="R270" s="253"/>
      <c r="S270" s="276">
        <f t="shared" si="51"/>
        <v>-32.930000000000064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509.97</v>
      </c>
      <c r="M271" s="253"/>
      <c r="N271" s="276">
        <f t="shared" si="50"/>
        <v>331.53826947475909</v>
      </c>
      <c r="O271" s="253"/>
      <c r="P271" s="41"/>
      <c r="Q271" s="276">
        <f t="array" ref="Q271">+INDEX('Réel 2023'!$A$2:$AO$501,MATCH($A271,'Réel 2023'!$A$2:$A$501,0),MATCH(Q$2,'Réel 2023'!$A$2:$AO$2,0))</f>
        <v>202.46</v>
      </c>
      <c r="R271" s="253"/>
      <c r="S271" s="276">
        <f t="shared" si="51"/>
        <v>307.51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617.34</v>
      </c>
      <c r="M272" s="246"/>
      <c r="N272" s="296">
        <f t="shared" si="50"/>
        <v>-59.211202982870191</v>
      </c>
      <c r="O272" s="246"/>
      <c r="P272" s="318"/>
      <c r="Q272" s="296">
        <f t="array" ref="Q272">+INDEX('Réel 2023'!$A$2:$AO$501,MATCH($A272,'Réel 2023'!$A$2:$A$501,0),MATCH(Q$2,'Réel 2023'!$A$2:$AO$2,0))</f>
        <v>369.39</v>
      </c>
      <c r="R272" s="246"/>
      <c r="S272" s="296">
        <f t="shared" si="51"/>
        <v>247.95000000000005</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7.93</v>
      </c>
      <c r="M274" s="253"/>
      <c r="N274" s="276">
        <f t="shared" si="50"/>
        <v>-117.07</v>
      </c>
      <c r="O274" s="253"/>
      <c r="P274" s="41"/>
      <c r="Q274" s="276">
        <f t="array" ref="Q274">+INDEX('Réel 2023'!$A$2:$AO$501,MATCH($A274,'Réel 2023'!$A$2:$A$501,0),MATCH(Q$2,'Réel 2023'!$A$2:$AO$2,0))</f>
        <v>0</v>
      </c>
      <c r="R274" s="253"/>
      <c r="S274" s="276">
        <f t="shared" si="51"/>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83.36</v>
      </c>
      <c r="M276" s="253"/>
      <c r="N276" s="276">
        <f t="shared" si="50"/>
        <v>-74.198520743000003</v>
      </c>
      <c r="O276" s="253"/>
      <c r="P276" s="41"/>
      <c r="Q276" s="276">
        <f t="array" ref="Q276">+INDEX('Réel 2023'!$A$2:$AO$501,MATCH($A276,'Réel 2023'!$A$2:$A$501,0),MATCH(Q$2,'Réel 2023'!$A$2:$AO$2,0))</f>
        <v>171.37</v>
      </c>
      <c r="R276" s="253"/>
      <c r="S276" s="276">
        <f t="shared" si="51"/>
        <v>-88.01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23.66</v>
      </c>
      <c r="M277" s="253"/>
      <c r="N277" s="276">
        <f t="shared" si="50"/>
        <v>-13.120368605319445</v>
      </c>
      <c r="O277" s="253"/>
      <c r="P277" s="41"/>
      <c r="Q277" s="276">
        <f t="array" ref="Q277">+INDEX('Réel 2023'!$A$2:$AO$501,MATCH($A277,'Réel 2023'!$A$2:$A$501,0),MATCH(Q$2,'Réel 2023'!$A$2:$AO$2,0))</f>
        <v>21.02</v>
      </c>
      <c r="R277" s="253"/>
      <c r="S277" s="276">
        <f t="shared" si="51"/>
        <v>2.6400000000000006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2.31</v>
      </c>
      <c r="M278" s="253"/>
      <c r="N278" s="276">
        <f t="shared" si="50"/>
        <v>-22.435731854680558</v>
      </c>
      <c r="O278" s="253"/>
      <c r="P278" s="41"/>
      <c r="Q278" s="276">
        <f t="array" ref="Q278">+INDEX('Réel 2023'!$A$2:$AO$501,MATCH($A278,'Réel 2023'!$A$2:$A$501,0),MATCH(Q$2,'Réel 2023'!$A$2:$AO$2,0))</f>
        <v>28.24</v>
      </c>
      <c r="R278" s="253"/>
      <c r="S278" s="276">
        <f t="shared" si="51"/>
        <v>-25.93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44.2</v>
      </c>
      <c r="M279" s="253"/>
      <c r="N279" s="276">
        <f t="shared" si="50"/>
        <v>-190.7994632514305</v>
      </c>
      <c r="O279" s="253"/>
      <c r="P279" s="41"/>
      <c r="Q279" s="276">
        <f t="array" ref="Q279">+INDEX('Réel 2023'!$A$2:$AO$501,MATCH($A279,'Réel 2023'!$A$2:$A$501,0),MATCH(Q$2,'Réel 2023'!$A$2:$AO$2,0))</f>
        <v>25.57</v>
      </c>
      <c r="R279" s="253"/>
      <c r="S279" s="276">
        <f t="shared" si="51"/>
        <v>18.630000000000003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122.21</v>
      </c>
      <c r="R280" s="253"/>
      <c r="S280" s="276">
        <f t="shared" si="51"/>
        <v>-99.88</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237.63</v>
      </c>
      <c r="M281" s="253"/>
      <c r="N281" s="276">
        <f t="shared" si="50"/>
        <v>32.348461152880191</v>
      </c>
      <c r="O281" s="253"/>
      <c r="P281" s="41"/>
      <c r="Q281" s="276">
        <f t="array" ref="Q281">+INDEX('Réel 2023'!$A$2:$AO$501,MATCH($A281,'Réel 2023'!$A$2:$A$501,0),MATCH(Q$2,'Réel 2023'!$A$2:$AO$2,0))</f>
        <v>168.09</v>
      </c>
      <c r="R281" s="253"/>
      <c r="S281" s="276">
        <f t="shared" si="51"/>
        <v>69.539999999999992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0.25196939475269003</v>
      </c>
      <c r="L285" s="307">
        <f>+SUM(L267:L284)</f>
        <v>4343.01</v>
      </c>
      <c r="M285" s="311"/>
      <c r="N285" s="307">
        <f>+SUM(N267:N284)</f>
        <v>157.96246484132519</v>
      </c>
      <c r="O285" s="308" t="s">
        <v>119</v>
      </c>
      <c r="P285" s="306">
        <f>IF(Q$244=0,0,Q285/Q$244)</f>
        <v>0</v>
      </c>
      <c r="Q285" s="307">
        <f>+SUM(Q267:Q284)</f>
        <v>4530.79</v>
      </c>
      <c r="R285" s="311"/>
      <c r="S285" s="307">
        <f t="shared" si="51"/>
        <v>-187.77999999999975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0.41363671701401594</v>
      </c>
      <c r="L287" s="307">
        <f>L266+L285</f>
        <v>7129.55</v>
      </c>
      <c r="M287" s="311"/>
      <c r="N287" s="320">
        <f>L287-F287</f>
        <v>-3932.8399373740567</v>
      </c>
      <c r="O287" s="308" t="s">
        <v>119</v>
      </c>
      <c r="P287" s="306">
        <f>IF(Q$244=0,0,Q287/Q$244)</f>
        <v>0</v>
      </c>
      <c r="Q287" s="307">
        <f>Q266+Q285</f>
        <v>8657.0499999999993</v>
      </c>
      <c r="R287" s="311"/>
      <c r="S287" s="320">
        <f>L287-Q287</f>
        <v>-1527.4999999999991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5728.3085984618046</v>
      </c>
      <c r="G289" s="361"/>
      <c r="H289" s="333"/>
      <c r="I289" s="335"/>
      <c r="J289" s="332"/>
      <c r="K289" s="334"/>
      <c r="L289" s="335">
        <f>L250-L287</f>
        <v>10106.709999999995</v>
      </c>
      <c r="M289" s="332"/>
      <c r="N289" s="335">
        <f>L289-F289</f>
        <v>4378.4014015381908</v>
      </c>
      <c r="O289" s="332"/>
      <c r="P289" s="1152">
        <f>+Q289/P250</f>
        <v>-8.5939695567855398E-2</v>
      </c>
      <c r="Q289" s="335">
        <f>Q250-Q287</f>
        <v>-1724.7099999999991</v>
      </c>
      <c r="R289" s="332"/>
      <c r="S289" s="335">
        <f>L289-Q289</f>
        <v>11831.419999999995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Avril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06" t="s">
        <v>343</v>
      </c>
      <c r="E293" s="1207"/>
      <c r="F293" s="1208"/>
      <c r="G293" s="1211"/>
      <c r="H293" s="1207"/>
      <c r="I293" s="1208"/>
      <c r="J293" s="1211" t="s">
        <v>344</v>
      </c>
      <c r="K293" s="1207"/>
      <c r="L293" s="1208"/>
      <c r="M293" s="1211" t="s">
        <v>3312</v>
      </c>
      <c r="N293" s="1208"/>
      <c r="O293" s="1206" t="s">
        <v>345</v>
      </c>
      <c r="P293" s="1207"/>
      <c r="Q293" s="1208"/>
      <c r="R293" s="1209" t="s">
        <v>3314</v>
      </c>
      <c r="S293" s="121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179994.55319999999</v>
      </c>
      <c r="E295" s="353">
        <f>IF(D295=0,0,F295/D295)</f>
        <v>0.34200000000000003</v>
      </c>
      <c r="F295" s="276">
        <f>+INDEX('Budget original'!$A$2:$AO$501,MATCH($A295,'Budget original'!$A$2:$A$501,0),MATCH(F$2,'Budget original'!$A$2:$AO$2,0))</f>
        <v>61558.137194400006</v>
      </c>
      <c r="G295" s="291"/>
      <c r="H295" s="353"/>
      <c r="I295" s="276"/>
      <c r="J295" s="254">
        <f>-SUMIFS(BV_Data_An_Cour!$O:$O,BV_Data_An_Cour!$X:$X,"Oui",BV_Data_An_Cour!$U:$U,$B295,BV_Data_An_Cour!$V:$V,$C295)</f>
        <v>94158.54</v>
      </c>
      <c r="K295" s="353">
        <f t="shared" ref="K295:K304" si="52">IF(J295&lt;=0,0,L295/J295)</f>
        <v>0.39031595009863151</v>
      </c>
      <c r="L295" s="276">
        <f>-SUMIFS(BV_Data_An_Cour!$O:$O,BV_Data_An_Cour!$U:$U,$B295,BV_Data_An_Cour!$V:$V,$C295,BV_Data_An_Cour!$W:$W,$L$2)</f>
        <v>36751.579999999994</v>
      </c>
      <c r="M295" s="292">
        <f t="shared" ref="M295:M301" si="53">(+J295-D295)/D295</f>
        <v>-0.47688117042421707</v>
      </c>
      <c r="N295" s="276">
        <f t="shared" ref="N295:N304" si="54">L295-F295</f>
        <v>-24806.557194400011</v>
      </c>
      <c r="O295" s="254">
        <f t="array" ref="O295">+INDEX('Réel 2023'!$A$2:$AO$501,MATCH($A295,'Réel 2023'!$A$2:$A$501,0),MATCH(O$2,'Réel 2023'!$A$2:$AO$2,0))</f>
        <v>103800.09</v>
      </c>
      <c r="P295" s="353">
        <f t="shared" ref="P295:P303" si="55">IF(O295=0,0,Q295/O295)</f>
        <v>0.31221562524656771</v>
      </c>
      <c r="Q295" s="276">
        <f t="array" ref="Q295">+INDEX('Réel 2023'!$A$2:$AO$501,MATCH($A295,'Réel 2023'!$A$2:$A$501,0),MATCH(Q$2,'Réel 2023'!$A$2:$AO$2,0))</f>
        <v>32408.01</v>
      </c>
      <c r="R295" s="292">
        <f t="shared" ref="R295:R304" si="56">IF(O295=0,0,(J295-O295)/O295)</f>
        <v>-9.2885757613504996E-2</v>
      </c>
      <c r="S295" s="276">
        <f t="shared" ref="S295:S304" si="57">L295-Q295</f>
        <v>4343.5699999999961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67540.913915572368</v>
      </c>
      <c r="E296" s="353">
        <f t="shared" ref="E296:E303" si="58">IF(D296=0,0,F296/D296)</f>
        <v>0.248</v>
      </c>
      <c r="F296" s="276">
        <f>+INDEX('Budget original'!$A$2:$AO$501,MATCH($A296,'Budget original'!$A$2:$A$501,0),MATCH(F$2,'Budget original'!$A$2:$AO$2,0))</f>
        <v>16750.146651061947</v>
      </c>
      <c r="G296" s="291"/>
      <c r="H296" s="353"/>
      <c r="I296" s="276"/>
      <c r="J296" s="254">
        <f>-SUMIFS(BV_Data_An_Cour!$O:$O,BV_Data_An_Cour!$X:$X,"Oui",BV_Data_An_Cour!$U:$U,$B296,BV_Data_An_Cour!$V:$V,$C296)</f>
        <v>39357.14</v>
      </c>
      <c r="K296" s="353">
        <f t="shared" si="52"/>
        <v>0.23324890985473021</v>
      </c>
      <c r="L296" s="276">
        <f>-SUMIFS(BV_Data_An_Cour!$O:$O,BV_Data_An_Cour!$U:$U,$B296,BV_Data_An_Cour!$V:$V,$C296,BV_Data_An_Cour!$W:$W,$L$2)</f>
        <v>9180.0099999999966</v>
      </c>
      <c r="M296" s="292">
        <f t="shared" si="53"/>
        <v>-0.41728446184193935</v>
      </c>
      <c r="N296" s="276">
        <f t="shared" si="54"/>
        <v>-7570.13665106195</v>
      </c>
      <c r="O296" s="254">
        <f t="array" ref="O296">+INDEX('Réel 2023'!$A$2:$AO$501,MATCH($A296,'Réel 2023'!$A$2:$A$501,0),MATCH(O$2,'Réel 2023'!$A$2:$AO$2,0))</f>
        <v>10030.48</v>
      </c>
      <c r="P296" s="353">
        <f t="shared" si="55"/>
        <v>0.32753666823521804</v>
      </c>
      <c r="Q296" s="276">
        <f t="array" ref="Q296">+INDEX('Réel 2023'!$A$2:$AO$501,MATCH($A296,'Réel 2023'!$A$2:$A$501,0),MATCH(Q$2,'Réel 2023'!$A$2:$AO$2,0))</f>
        <v>3285.3499999999899</v>
      </c>
      <c r="R296" s="292">
        <f t="shared" si="56"/>
        <v>2.9237543965991657</v>
      </c>
      <c r="S296" s="276">
        <f t="shared" si="57"/>
        <v>5894.6600000000071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66852</v>
      </c>
      <c r="E297" s="353">
        <f t="shared" si="58"/>
        <v>0.24299999999999999</v>
      </c>
      <c r="F297" s="276">
        <f>+INDEX('Budget original'!$A$2:$AO$501,MATCH($A297,'Budget original'!$A$2:$A$501,0),MATCH(F$2,'Budget original'!$A$2:$AO$2,0))</f>
        <v>16245.036</v>
      </c>
      <c r="G297" s="291"/>
      <c r="H297" s="353"/>
      <c r="I297" s="276"/>
      <c r="J297" s="254">
        <f>-SUMIFS(BV_Data_An_Cour!$O:$O,BV_Data_An_Cour!$X:$X,"Oui",BV_Data_An_Cour!$U:$U,$B297,BV_Data_An_Cour!$V:$V,$C297)</f>
        <v>30357.78</v>
      </c>
      <c r="K297" s="353">
        <f t="shared" si="52"/>
        <v>0.24208786017949929</v>
      </c>
      <c r="L297" s="276">
        <f>-SUMIFS(BV_Data_An_Cour!$O:$O,BV_Data_An_Cour!$U:$U,$B297,BV_Data_An_Cour!$V:$V,$C297,BV_Data_An_Cour!$W:$W,$L$2)</f>
        <v>7349.25</v>
      </c>
      <c r="M297" s="292">
        <f t="shared" si="53"/>
        <v>-0.54589570992640457</v>
      </c>
      <c r="N297" s="276">
        <f t="shared" si="54"/>
        <v>-8895.7860000000001</v>
      </c>
      <c r="O297" s="254">
        <f t="array" ref="O297">+INDEX('Réel 2023'!$A$2:$AO$501,MATCH($A297,'Réel 2023'!$A$2:$A$501,0),MATCH(O$2,'Réel 2023'!$A$2:$AO$2,0))</f>
        <v>50247.839999999997</v>
      </c>
      <c r="P297" s="353">
        <f t="shared" si="55"/>
        <v>0.24430383475189979</v>
      </c>
      <c r="Q297" s="276">
        <f t="array" ref="Q297">+INDEX('Réel 2023'!$A$2:$AO$501,MATCH($A297,'Réel 2023'!$A$2:$A$501,0),MATCH(Q$2,'Réel 2023'!$A$2:$AO$2,0))</f>
        <v>12275.7399999999</v>
      </c>
      <c r="R297" s="292">
        <f t="shared" si="56"/>
        <v>-0.39583910472569567</v>
      </c>
      <c r="S297" s="276">
        <f t="shared" si="57"/>
        <v>-4926.4899999998997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46178.307044285575</v>
      </c>
      <c r="E298" s="353">
        <f t="shared" si="58"/>
        <v>0.316</v>
      </c>
      <c r="F298" s="276">
        <f>+INDEX('Budget original'!$A$2:$AO$501,MATCH($A298,'Budget original'!$A$2:$A$501,0),MATCH(F$2,'Budget original'!$A$2:$AO$2,0))</f>
        <v>14592.345025994242</v>
      </c>
      <c r="G298" s="291"/>
      <c r="H298" s="353"/>
      <c r="I298" s="276"/>
      <c r="J298" s="254">
        <f>-SUMIFS(BV_Data_An_Cour!$O:$O,BV_Data_An_Cour!$X:$X,"Oui",BV_Data_An_Cour!$U:$U,$B298,BV_Data_An_Cour!$V:$V,$C298)</f>
        <v>42372.56</v>
      </c>
      <c r="K298" s="353">
        <f t="shared" si="52"/>
        <v>0.28409588658320384</v>
      </c>
      <c r="L298" s="276">
        <f>-SUMIFS(BV_Data_An_Cour!$O:$O,BV_Data_An_Cour!$U:$U,$B298,BV_Data_An_Cour!$V:$V,$C298,BV_Data_An_Cour!$W:$W,$L$2)</f>
        <v>12037.869999999999</v>
      </c>
      <c r="M298" s="292">
        <f t="shared" si="53"/>
        <v>-8.2414174270958401E-2</v>
      </c>
      <c r="N298" s="276">
        <f t="shared" si="54"/>
        <v>-2554.475025994243</v>
      </c>
      <c r="O298" s="254">
        <f t="array" ref="O298">+INDEX('Réel 2023'!$A$2:$AO$501,MATCH($A298,'Réel 2023'!$A$2:$A$501,0),MATCH(O$2,'Réel 2023'!$A$2:$AO$2,0))</f>
        <v>24960.95</v>
      </c>
      <c r="P298" s="353">
        <f t="shared" si="55"/>
        <v>0.31938207480083891</v>
      </c>
      <c r="Q298" s="276">
        <f t="array" ref="Q298">+INDEX('Réel 2023'!$A$2:$AO$501,MATCH($A298,'Réel 2023'!$A$2:$A$501,0),MATCH(Q$2,'Réel 2023'!$A$2:$AO$2,0))</f>
        <v>7972.08</v>
      </c>
      <c r="R298" s="292">
        <f t="shared" si="56"/>
        <v>0.69755397931569096</v>
      </c>
      <c r="S298" s="276">
        <f t="shared" si="57"/>
        <v>4065.7899999999991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25563.600000000002</v>
      </c>
      <c r="E299" s="353">
        <f t="shared" si="58"/>
        <v>0.26500000000000001</v>
      </c>
      <c r="F299" s="276">
        <f>+INDEX('Budget original'!$A$2:$AO$501,MATCH($A299,'Budget original'!$A$2:$A$501,0),MATCH(F$2,'Budget original'!$A$2:$AO$2,0))</f>
        <v>6774.3540000000012</v>
      </c>
      <c r="G299" s="291"/>
      <c r="H299" s="353"/>
      <c r="I299" s="276"/>
      <c r="J299" s="254">
        <f>-SUMIFS(BV_Data_An_Cour!$O:$O,BV_Data_An_Cour!$X:$X,"Oui",BV_Data_An_Cour!$U:$U,$B299,BV_Data_An_Cour!$V:$V,$C299)</f>
        <v>21891.26</v>
      </c>
      <c r="K299" s="353">
        <f t="shared" si="52"/>
        <v>0.31894829260627294</v>
      </c>
      <c r="L299" s="276">
        <f>-SUMIFS(BV_Data_An_Cour!$O:$O,BV_Data_An_Cour!$U:$U,$B299,BV_Data_An_Cour!$V:$V,$C299,BV_Data_An_Cour!$W:$W,$L$2)</f>
        <v>6982.1799999999985</v>
      </c>
      <c r="M299" s="292">
        <f t="shared" si="53"/>
        <v>-0.14365504076108229</v>
      </c>
      <c r="N299" s="276">
        <f t="shared" si="54"/>
        <v>207.82599999999729</v>
      </c>
      <c r="O299" s="254">
        <f t="array" ref="O299">+INDEX('Réel 2023'!$A$2:$AO$501,MATCH($A299,'Réel 2023'!$A$2:$A$501,0),MATCH(O$2,'Réel 2023'!$A$2:$AO$2,0))</f>
        <v>19409.09</v>
      </c>
      <c r="P299" s="353">
        <f t="shared" si="55"/>
        <v>0.26700582046865673</v>
      </c>
      <c r="Q299" s="276">
        <f t="array" ref="Q299">+INDEX('Réel 2023'!$A$2:$AO$501,MATCH($A299,'Réel 2023'!$A$2:$A$501,0),MATCH(Q$2,'Réel 2023'!$A$2:$AO$2,0))</f>
        <v>5182.34</v>
      </c>
      <c r="R299" s="292">
        <f t="shared" si="56"/>
        <v>0.12788698491273925</v>
      </c>
      <c r="S299" s="276">
        <f t="shared" si="57"/>
        <v>1799.8399999999983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114574.82119492393</v>
      </c>
      <c r="E300" s="353">
        <f t="shared" si="58"/>
        <v>0.14499999999999999</v>
      </c>
      <c r="F300" s="276">
        <f>+INDEX('Budget original'!$A$2:$AO$501,MATCH($A300,'Budget original'!$A$2:$A$501,0),MATCH(F$2,'Budget original'!$A$2:$AO$2,0))</f>
        <v>16613.349073263969</v>
      </c>
      <c r="G300" s="291"/>
      <c r="H300" s="353"/>
      <c r="I300" s="276"/>
      <c r="J300" s="254">
        <f>-SUMIFS(BV_Data_An_Cour!$O:$O,BV_Data_An_Cour!$X:$X,"Oui",BV_Data_An_Cour!$U:$U,$B300,BV_Data_An_Cour!$V:$V,$C300)</f>
        <v>169839.65</v>
      </c>
      <c r="K300" s="353">
        <f t="shared" si="52"/>
        <v>0.13764453706775762</v>
      </c>
      <c r="L300" s="276">
        <f>-SUMIFS(BV_Data_An_Cour!$O:$O,BV_Data_An_Cour!$U:$U,$B300,BV_Data_An_Cour!$V:$V,$C300,BV_Data_An_Cour!$W:$W,$L$2)</f>
        <v>23377.499999999978</v>
      </c>
      <c r="M300" s="292">
        <f t="shared" si="53"/>
        <v>0.48234706568780128</v>
      </c>
      <c r="N300" s="276">
        <f t="shared" si="54"/>
        <v>6764.1509267360088</v>
      </c>
      <c r="O300" s="254">
        <f t="array" ref="O300">+INDEX('Réel 2023'!$A$2:$AO$501,MATCH($A300,'Réel 2023'!$A$2:$A$501,0),MATCH(O$2,'Réel 2023'!$A$2:$AO$2,0))</f>
        <v>110639.22</v>
      </c>
      <c r="P300" s="353">
        <f t="shared" si="55"/>
        <v>0.1786696435495469</v>
      </c>
      <c r="Q300" s="276">
        <f t="array" ref="Q300">+INDEX('Réel 2023'!$A$2:$AO$501,MATCH($A300,'Réel 2023'!$A$2:$A$501,0),MATCH(Q$2,'Réel 2023'!$A$2:$AO$2,0))</f>
        <v>19767.869999999901</v>
      </c>
      <c r="R300" s="292">
        <f t="shared" si="56"/>
        <v>0.53507634995980624</v>
      </c>
      <c r="S300" s="276">
        <f t="shared" si="57"/>
        <v>3609.6300000000774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9161.6554983934057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17862.830000000002</v>
      </c>
      <c r="M302" s="292"/>
      <c r="N302" s="276">
        <f t="shared" si="54"/>
        <v>8701.1745016065961</v>
      </c>
      <c r="O302" s="254">
        <f t="array" ref="O302">+INDEX('Réel 2023'!$A$2:$AO$501,MATCH($A302,'Réel 2023'!$A$2:$A$501,0),MATCH(O$2,'Réel 2023'!$A$2:$AO$2,0))</f>
        <v>0</v>
      </c>
      <c r="P302" s="353">
        <f t="shared" si="55"/>
        <v>0</v>
      </c>
      <c r="Q302" s="276">
        <f t="array" ref="Q302">+INDEX('Réel 2023'!$A$2:$AO$501,MATCH($A302,'Réel 2023'!$A$2:$A$501,0),MATCH(Q$2,'Réel 2023'!$A$2:$AO$2,0))</f>
        <v>13912.76</v>
      </c>
      <c r="R302" s="292">
        <f t="shared" si="56"/>
        <v>0</v>
      </c>
      <c r="S302" s="276">
        <f t="shared" si="57"/>
        <v>3950.0700000000015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500704.19535478187</v>
      </c>
      <c r="E304" s="407">
        <f>IF(D304&lt;=0,0,F304/D304)</f>
        <v>0.28299148430884091</v>
      </c>
      <c r="F304" s="392">
        <f>SUM(F295:F303)</f>
        <v>141695.02344311358</v>
      </c>
      <c r="G304" s="390"/>
      <c r="H304" s="407"/>
      <c r="I304" s="392"/>
      <c r="J304" s="390">
        <f t="shared" ref="J304" si="59">SUM(J295:J303)</f>
        <v>397976.93</v>
      </c>
      <c r="K304" s="407">
        <f t="shared" si="52"/>
        <v>0.28529598436773701</v>
      </c>
      <c r="L304" s="392">
        <f>SUM(L295:L303)</f>
        <v>113541.21999999996</v>
      </c>
      <c r="M304" s="408">
        <f>(+J304-D304)/D304</f>
        <v>-0.2051655774164082</v>
      </c>
      <c r="N304" s="392">
        <f t="shared" si="54"/>
        <v>-28153.803443113618</v>
      </c>
      <c r="O304" s="390">
        <f>SUM(O295:O303)</f>
        <v>319087.67</v>
      </c>
      <c r="P304" s="407">
        <f>IF(O304&lt;=0,0,Q304/O304)</f>
        <v>0.29711003875517905</v>
      </c>
      <c r="Q304" s="392">
        <f t="shared" ref="Q304" si="60">SUM(Q295:Q303)</f>
        <v>94804.149999999776</v>
      </c>
      <c r="R304" s="408">
        <f t="shared" si="56"/>
        <v>0.2472338088149881</v>
      </c>
      <c r="S304" s="392">
        <f t="shared" si="57"/>
        <v>18737.070000000182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-0.19869295871507126</v>
      </c>
      <c r="O305" s="253"/>
      <c r="P305" s="41"/>
      <c r="Q305" s="263"/>
      <c r="R305" s="253"/>
      <c r="S305" s="265">
        <f>IF(Q304=0,0,S304/Q304)</f>
        <v>0.19763976576974981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56512.9</v>
      </c>
      <c r="E307" s="353">
        <f>IF(D307=0,0,F307/D307)</f>
        <v>0.18</v>
      </c>
      <c r="F307" s="317">
        <f>+INDEX('Budget original'!$A$2:$AO$501,MATCH($A307,'Budget original'!$A$2:$A$501,0),MATCH(F$2,'Budget original'!$A$2:$AO$2,0))</f>
        <v>10172.322</v>
      </c>
      <c r="G307" s="291"/>
      <c r="H307" s="353"/>
      <c r="I307" s="317"/>
      <c r="J307" s="254">
        <f>-SUMIFS(BV_Data_An_Cour!$O:$O,BV_Data_An_Cour!$X:$X,"Oui",BV_Data_An_Cour!$U:$U,$B307,BV_Data_An_Cour!$V:$V,$C307)</f>
        <v>33810.450000000004</v>
      </c>
      <c r="K307" s="353">
        <f t="shared" ref="K307:K309" si="61">IF(J307&lt;=0,0,L307/J307)</f>
        <v>0.15712154082539578</v>
      </c>
      <c r="L307" s="317">
        <f>-SUMIFS(BV_Data_An_Cour!$O:$O,BV_Data_An_Cour!$U:$U,$B307,BV_Data_An_Cour!$V:$V,$C307,BV_Data_An_Cour!$W:$W,$L$2)</f>
        <v>5312.350000000004</v>
      </c>
      <c r="M307" s="292">
        <f>(+J307-D307)/D307</f>
        <v>-0.4017215538399197</v>
      </c>
      <c r="N307" s="276">
        <f>L307-F307</f>
        <v>-4859.9719999999961</v>
      </c>
      <c r="O307" s="254">
        <f t="array" ref="O307">+INDEX('Réel 2023'!$A$2:$AO$501,MATCH($A307,'Réel 2023'!$A$2:$A$501,0),MATCH(O$2,'Réel 2023'!$A$2:$AO$2,0))</f>
        <v>30345.22</v>
      </c>
      <c r="P307" s="353">
        <f t="shared" ref="P307:P308" si="62">IF(O307=0,0,Q307/O307)</f>
        <v>0.16760069625463253</v>
      </c>
      <c r="Q307" s="317">
        <f t="array" ref="Q307">+INDEX('Réel 2023'!$A$2:$AO$501,MATCH($A307,'Réel 2023'!$A$2:$A$501,0),MATCH(Q$2,'Réel 2023'!$A$2:$AO$2,0))</f>
        <v>5085.88</v>
      </c>
      <c r="R307" s="292">
        <f t="shared" ref="R307:R309" si="63">IF(O307=0,0,(J307-O307)/O307)</f>
        <v>0.11419360281454552</v>
      </c>
      <c r="S307" s="276">
        <f t="shared" ref="S307:S309" si="64">L307-Q307</f>
        <v>226.47000000000389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34834.224999999999</v>
      </c>
      <c r="E308" s="353">
        <f>IF(D308=0,0,F308/D308)</f>
        <v>0.26</v>
      </c>
      <c r="F308" s="296">
        <f>+INDEX('Budget original'!$A$2:$AO$501,MATCH($A308,'Budget original'!$A$2:$A$501,0),MATCH(F$2,'Budget original'!$A$2:$AO$2,0))</f>
        <v>9056.8984999999993</v>
      </c>
      <c r="G308" s="291"/>
      <c r="H308" s="353"/>
      <c r="I308" s="296"/>
      <c r="J308" s="254">
        <f>-SUMIFS(BV_Data_An_Cour!$O:$O,BV_Data_An_Cour!$X:$X,"Oui",BV_Data_An_Cour!$U:$U,$B308,BV_Data_An_Cour!$V:$V,$C308)</f>
        <v>27235.040000000001</v>
      </c>
      <c r="K308" s="353">
        <f t="shared" si="61"/>
        <v>0.26812554708933783</v>
      </c>
      <c r="L308" s="296">
        <f>-SUMIFS(BV_Data_An_Cour!$O:$O,BV_Data_An_Cour!$U:$U,$B308,BV_Data_An_Cour!$V:$V,$C308,BV_Data_An_Cour!$W:$W,$L$2)</f>
        <v>7302.41</v>
      </c>
      <c r="M308" s="292">
        <f>(+J308-D308)/D308</f>
        <v>-0.21815283675752792</v>
      </c>
      <c r="N308" s="276">
        <f>L308-F308</f>
        <v>-1754.4884999999995</v>
      </c>
      <c r="O308" s="254">
        <f t="array" ref="O308">+INDEX('Réel 2023'!$A$2:$AO$501,MATCH($A308,'Réel 2023'!$A$2:$A$501,0),MATCH(O$2,'Réel 2023'!$A$2:$AO$2,0))</f>
        <v>23693.71</v>
      </c>
      <c r="P308" s="353">
        <f t="shared" si="62"/>
        <v>0.25796593273066948</v>
      </c>
      <c r="Q308" s="296">
        <f t="array" ref="Q308">+INDEX('Réel 2023'!$A$2:$AO$501,MATCH($A308,'Réel 2023'!$A$2:$A$501,0),MATCH(Q$2,'Réel 2023'!$A$2:$AO$2,0))</f>
        <v>6112.1699999999901</v>
      </c>
      <c r="R308" s="292">
        <f t="shared" si="63"/>
        <v>0.14946287432402955</v>
      </c>
      <c r="S308" s="276">
        <f t="shared" si="64"/>
        <v>1190.2400000000098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592051.32035478181</v>
      </c>
      <c r="E309" s="407">
        <f>IF(D309&lt;=0,0,F309/D309)</f>
        <v>0.27180793017517652</v>
      </c>
      <c r="F309" s="392">
        <f>F304+F307+F308</f>
        <v>160924.2439431136</v>
      </c>
      <c r="G309" s="393"/>
      <c r="H309" s="407"/>
      <c r="I309" s="392"/>
      <c r="J309" s="393">
        <f t="shared" ref="J309" si="65">J304+J307+J308</f>
        <v>459022.42</v>
      </c>
      <c r="K309" s="407">
        <f t="shared" si="61"/>
        <v>0.27483620516836621</v>
      </c>
      <c r="L309" s="392">
        <f>L304+L307+L308</f>
        <v>126155.97999999997</v>
      </c>
      <c r="M309" s="408">
        <f>(+J309-D309)/D309</f>
        <v>-0.22469150187025236</v>
      </c>
      <c r="N309" s="392">
        <f>L309-F309</f>
        <v>-34768.263943113634</v>
      </c>
      <c r="O309" s="393">
        <f>O304+O307+O308</f>
        <v>373126.60000000003</v>
      </c>
      <c r="P309" s="407">
        <f>IF(O309&lt;=0,0,Q309/O309)</f>
        <v>0.28409178010894898</v>
      </c>
      <c r="Q309" s="392">
        <f t="shared" ref="Q309" si="66">Q304+Q307+Q308</f>
        <v>106002.19999999976</v>
      </c>
      <c r="R309" s="408">
        <f t="shared" si="63"/>
        <v>0.23020556561767491</v>
      </c>
      <c r="S309" s="392">
        <f t="shared" si="64"/>
        <v>20153.780000000203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-0.21605361063808476</v>
      </c>
      <c r="O310" s="253"/>
      <c r="P310" s="41"/>
      <c r="Q310" s="263"/>
      <c r="R310" s="253"/>
      <c r="S310" s="265">
        <f>IF(Q309=0,0,S309/Q309)</f>
        <v>0.19012605398756108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592051.32035478181</v>
      </c>
      <c r="E314" s="410">
        <f>IF(D314&lt;=0,0,F314/D314)</f>
        <v>0.27180793017517652</v>
      </c>
      <c r="F314" s="281">
        <f>F309+F312</f>
        <v>160924.2439431136</v>
      </c>
      <c r="G314" s="282"/>
      <c r="H314" s="410"/>
      <c r="I314" s="281"/>
      <c r="J314" s="282">
        <f t="shared" ref="J314" si="67">J309+J312</f>
        <v>459022.42</v>
      </c>
      <c r="K314" s="410">
        <f>IF(J314&lt;=0,0,L314/J314)</f>
        <v>0.27483620516836621</v>
      </c>
      <c r="L314" s="281">
        <f>L309+L312</f>
        <v>126155.97999999997</v>
      </c>
      <c r="M314" s="411">
        <f>(+J314-D314)/D314</f>
        <v>-0.22469150187025236</v>
      </c>
      <c r="N314" s="412">
        <f>L314-F314</f>
        <v>-34768.263943113634</v>
      </c>
      <c r="O314" s="282">
        <f>O309+O312</f>
        <v>373126.60000000003</v>
      </c>
      <c r="P314" s="410">
        <f>IF(O314&lt;=0,0,Q314/O314)</f>
        <v>0.28409178010894898</v>
      </c>
      <c r="Q314" s="281">
        <f t="shared" ref="Q314" si="68">Q309+Q312</f>
        <v>106002.19999999976</v>
      </c>
      <c r="R314" s="411">
        <f>IF(O314=0,0,(J314-O314)/O314)</f>
        <v>0.23020556561767491</v>
      </c>
      <c r="S314" s="412">
        <f>L314-Q314</f>
        <v>20153.780000000203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5">
        <f>L314/F314</f>
        <v>0.7839463893619153</v>
      </c>
      <c r="M315" s="416"/>
      <c r="N315" s="287">
        <f>N314/F314</f>
        <v>-0.21605361063808476</v>
      </c>
      <c r="O315" s="415"/>
      <c r="P315" s="414"/>
      <c r="Q315" s="335"/>
      <c r="R315" s="416"/>
      <c r="S315" s="287">
        <f>IF(Q314=0,0,S314/Q314)</f>
        <v>0.19012605398756108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7005.54</v>
      </c>
      <c r="M318" s="253"/>
      <c r="N318" s="256">
        <f t="shared" ref="N318:N348" si="69">L318-F318</f>
        <v>440.60410256410159</v>
      </c>
      <c r="O318" s="253"/>
      <c r="P318" s="41"/>
      <c r="Q318" s="256">
        <f t="array" ref="Q318">+INDEX('Réel 2023'!$A$2:$AO$501,MATCH($A318,'Réel 2023'!$A$2:$A$501,0),MATCH(Q$2,'Réel 2023'!$A$2:$AO$2,0))</f>
        <v>6557.1</v>
      </c>
      <c r="R318" s="253"/>
      <c r="S318" s="256">
        <f t="shared" ref="S318:S348" si="70">L318-Q318</f>
        <v>448.4399999999996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24992.33</v>
      </c>
      <c r="M319" s="253"/>
      <c r="N319" s="256">
        <f t="shared" si="69"/>
        <v>-1573.7549230769218</v>
      </c>
      <c r="O319" s="253"/>
      <c r="P319" s="41"/>
      <c r="Q319" s="256">
        <f t="array" ref="Q319">+INDEX('Réel 2023'!$A$2:$AO$501,MATCH($A319,'Réel 2023'!$A$2:$A$501,0),MATCH(Q$2,'Réel 2023'!$A$2:$AO$2,0))</f>
        <v>23228.23</v>
      </c>
      <c r="R319" s="253"/>
      <c r="S319" s="276">
        <f t="shared" si="70"/>
        <v>1764.1000000000022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190.37</v>
      </c>
      <c r="M320" s="241"/>
      <c r="N320" s="272">
        <f t="shared" si="69"/>
        <v>50.123846153846159</v>
      </c>
      <c r="O320" s="241"/>
      <c r="P320" s="315"/>
      <c r="Q320" s="272">
        <f t="array" ref="Q320">+INDEX('Réel 2023'!$A$2:$AO$501,MATCH($A320,'Réel 2023'!$A$2:$A$501,0),MATCH(Q$2,'Réel 2023'!$A$2:$AO$2,0))</f>
        <v>2573.29</v>
      </c>
      <c r="R320" s="241"/>
      <c r="S320" s="317">
        <f t="shared" si="70"/>
        <v>-2382.92</v>
      </c>
      <c r="T320" s="41"/>
      <c r="U320" s="417" t="s">
        <v>3927</v>
      </c>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3726.86</v>
      </c>
      <c r="M325" s="253"/>
      <c r="N325" s="256">
        <f t="shared" si="69"/>
        <v>-359.17786825640997</v>
      </c>
      <c r="O325" s="253"/>
      <c r="P325" s="41"/>
      <c r="Q325" s="256">
        <f t="array" ref="Q325">+INDEX('Réel 2023'!$A$2:$AO$501,MATCH($A325,'Réel 2023'!$A$2:$A$501,0),MATCH(Q$2,'Réel 2023'!$A$2:$AO$2,0))</f>
        <v>2892.89</v>
      </c>
      <c r="R325" s="253"/>
      <c r="S325" s="276">
        <f t="shared" si="70"/>
        <v>833.97000000000025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7350.11</v>
      </c>
      <c r="M326" s="241"/>
      <c r="N326" s="272">
        <f t="shared" si="69"/>
        <v>2382.0639575384612</v>
      </c>
      <c r="O326" s="241"/>
      <c r="P326" s="315"/>
      <c r="Q326" s="272">
        <f t="array" ref="Q326">+INDEX('Réel 2023'!$A$2:$AO$501,MATCH($A326,'Réel 2023'!$A$2:$A$501,0),MATCH(Q$2,'Réel 2023'!$A$2:$AO$2,0))</f>
        <v>28085.94</v>
      </c>
      <c r="R326" s="241"/>
      <c r="S326" s="317">
        <f t="shared" si="70"/>
        <v>-20735.829999999998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1026.28</v>
      </c>
      <c r="M327" s="253"/>
      <c r="N327" s="256">
        <f t="shared" si="69"/>
        <v>-1533.3437218769229</v>
      </c>
      <c r="O327" s="253"/>
      <c r="P327" s="41"/>
      <c r="Q327" s="256">
        <f t="array" ref="Q327">+INDEX('Réel 2023'!$A$2:$AO$501,MATCH($A327,'Réel 2023'!$A$2:$A$501,0),MATCH(Q$2,'Réel 2023'!$A$2:$AO$2,0))</f>
        <v>1272.5999999999999</v>
      </c>
      <c r="R327" s="253"/>
      <c r="S327" s="276">
        <f t="shared" si="70"/>
        <v>-246.31999999999994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1204.1600000000001</v>
      </c>
      <c r="M328" s="253"/>
      <c r="N328" s="256">
        <f t="shared" si="69"/>
        <v>88.149657128205263</v>
      </c>
      <c r="O328" s="253"/>
      <c r="P328" s="41"/>
      <c r="Q328" s="256">
        <f t="array" ref="Q328">+INDEX('Réel 2023'!$A$2:$AO$501,MATCH($A328,'Réel 2023'!$A$2:$A$501,0),MATCH(Q$2,'Réel 2023'!$A$2:$AO$2,0))</f>
        <v>-19275.34</v>
      </c>
      <c r="R328" s="253"/>
      <c r="S328" s="276">
        <f t="shared" si="70"/>
        <v>20479.5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0.28585490801551872</v>
      </c>
      <c r="F330" s="307">
        <f>+SUM(F318:F329)</f>
        <v>46000.984949825637</v>
      </c>
      <c r="G330" s="308"/>
      <c r="H330" s="306"/>
      <c r="I330" s="307"/>
      <c r="J330" s="308" t="s">
        <v>119</v>
      </c>
      <c r="K330" s="306">
        <f>L330/L$314</f>
        <v>0.36063015007294946</v>
      </c>
      <c r="L330" s="307">
        <f>+SUM(L318:L329)</f>
        <v>45495.65</v>
      </c>
      <c r="M330" s="355"/>
      <c r="N330" s="320">
        <f t="shared" si="69"/>
        <v>-505.3349498256357</v>
      </c>
      <c r="O330" s="308" t="s">
        <v>119</v>
      </c>
      <c r="P330" s="306">
        <f>Q330/Q$314</f>
        <v>0.42767706707974074</v>
      </c>
      <c r="Q330" s="307">
        <f>+SUM(Q318:Q329)</f>
        <v>45334.709999999992</v>
      </c>
      <c r="R330" s="355"/>
      <c r="S330" s="320">
        <f t="shared" si="70"/>
        <v>160.9400000000096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4417.4399999999996</v>
      </c>
      <c r="M331" s="253"/>
      <c r="N331" s="276">
        <f t="shared" si="69"/>
        <v>-34.128136770832498</v>
      </c>
      <c r="O331" s="253"/>
      <c r="P331" s="41"/>
      <c r="Q331" s="256">
        <f t="array" ref="Q331">+INDEX('Réel 2023'!$A$2:$AO$501,MATCH($A331,'Réel 2023'!$A$2:$A$501,0),MATCH(Q$2,'Réel 2023'!$A$2:$AO$2,0))</f>
        <v>3416.28</v>
      </c>
      <c r="R331" s="253"/>
      <c r="S331" s="276">
        <f t="shared" si="70"/>
        <v>1001.1599999999994</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881.44</v>
      </c>
      <c r="M332" s="253"/>
      <c r="N332" s="276">
        <f t="shared" si="69"/>
        <v>-603.32640647478615</v>
      </c>
      <c r="O332" s="253"/>
      <c r="P332" s="41"/>
      <c r="Q332" s="256">
        <f t="array" ref="Q332">+INDEX('Réel 2023'!$A$2:$AO$501,MATCH($A332,'Réel 2023'!$A$2:$A$501,0),MATCH(Q$2,'Réel 2023'!$A$2:$AO$2,0))</f>
        <v>1915.31</v>
      </c>
      <c r="R332" s="253"/>
      <c r="S332" s="276">
        <f t="shared" si="70"/>
        <v>-1033.8699999999999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1271.42</v>
      </c>
      <c r="M333" s="246"/>
      <c r="N333" s="296">
        <f t="shared" si="69"/>
        <v>188.08666666666682</v>
      </c>
      <c r="O333" s="246"/>
      <c r="P333" s="318"/>
      <c r="Q333" s="256">
        <f t="array" ref="Q333">+INDEX('Réel 2023'!$A$2:$AO$501,MATCH($A333,'Réel 2023'!$A$2:$A$501,0),MATCH(Q$2,'Réel 2023'!$A$2:$AO$2,0))</f>
        <v>791.55</v>
      </c>
      <c r="R333" s="246"/>
      <c r="S333" s="296">
        <f t="shared" si="70"/>
        <v>479.87000000000012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4958.8900000000003</v>
      </c>
      <c r="M334" s="253"/>
      <c r="N334" s="276">
        <f t="shared" si="69"/>
        <v>1149.954297222223</v>
      </c>
      <c r="O334" s="253"/>
      <c r="P334" s="41"/>
      <c r="Q334" s="272">
        <f t="array" ref="Q334">+INDEX('Réel 2023'!$A$2:$AO$501,MATCH($A334,'Réel 2023'!$A$2:$A$501,0),MATCH(Q$2,'Réel 2023'!$A$2:$AO$2,0))</f>
        <v>4186.4799999999996</v>
      </c>
      <c r="R334" s="253"/>
      <c r="S334" s="276">
        <f t="shared" si="70"/>
        <v>772.41000000000076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1821.32</v>
      </c>
      <c r="M335" s="253"/>
      <c r="N335" s="276">
        <f t="shared" si="69"/>
        <v>1135.6995033035032</v>
      </c>
      <c r="O335" s="253"/>
      <c r="P335" s="41"/>
      <c r="Q335" s="256">
        <f t="array" ref="Q335">+INDEX('Réel 2023'!$A$2:$AO$501,MATCH($A335,'Réel 2023'!$A$2:$A$501,0),MATCH(Q$2,'Réel 2023'!$A$2:$AO$2,0))</f>
        <v>911.08</v>
      </c>
      <c r="R335" s="253"/>
      <c r="S335" s="276">
        <f t="shared" si="70"/>
        <v>910.2399999999999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11758.11</v>
      </c>
      <c r="M336" s="246"/>
      <c r="N336" s="296">
        <f t="shared" si="69"/>
        <v>-658.71775053240708</v>
      </c>
      <c r="O336" s="246"/>
      <c r="P336" s="318"/>
      <c r="Q336" s="248">
        <f t="array" ref="Q336">+INDEX('Réel 2023'!$A$2:$AO$501,MATCH($A336,'Réel 2023'!$A$2:$A$501,0),MATCH(Q$2,'Réel 2023'!$A$2:$AO$2,0))</f>
        <v>13813.01</v>
      </c>
      <c r="R336" s="246"/>
      <c r="S336" s="296">
        <f t="shared" si="70"/>
        <v>-2054.8999999999996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65.61</v>
      </c>
      <c r="M338" s="253"/>
      <c r="N338" s="276">
        <f t="shared" si="69"/>
        <v>-59.39</v>
      </c>
      <c r="O338" s="253"/>
      <c r="P338" s="41"/>
      <c r="Q338" s="256">
        <f t="array" ref="Q338">+INDEX('Réel 2023'!$A$2:$AO$501,MATCH($A338,'Réel 2023'!$A$2:$A$501,0),MATCH(Q$2,'Réel 2023'!$A$2:$AO$2,0))</f>
        <v>0</v>
      </c>
      <c r="R338" s="253"/>
      <c r="S338" s="276">
        <f t="shared" si="70"/>
        <v>65.61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297.66000000000003</v>
      </c>
      <c r="M340" s="253"/>
      <c r="N340" s="276">
        <f t="shared" si="69"/>
        <v>-320.29293122500002</v>
      </c>
      <c r="O340" s="253"/>
      <c r="P340" s="41"/>
      <c r="Q340" s="256">
        <f t="array" ref="Q340">+INDEX('Réel 2023'!$A$2:$AO$501,MATCH($A340,'Réel 2023'!$A$2:$A$501,0),MATCH(Q$2,'Réel 2023'!$A$2:$AO$2,0))</f>
        <v>612.05999999999995</v>
      </c>
      <c r="R340" s="253"/>
      <c r="S340" s="276">
        <f t="shared" si="70"/>
        <v>-314.39999999999992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84.4</v>
      </c>
      <c r="M341" s="253"/>
      <c r="N341" s="276">
        <f t="shared" si="69"/>
        <v>-46.958216447569441</v>
      </c>
      <c r="O341" s="253"/>
      <c r="P341" s="41"/>
      <c r="Q341" s="256">
        <f t="array" ref="Q341">+INDEX('Réel 2023'!$A$2:$AO$501,MATCH($A341,'Réel 2023'!$A$2:$A$501,0),MATCH(Q$2,'Réel 2023'!$A$2:$AO$2,0))</f>
        <v>75.05</v>
      </c>
      <c r="R341" s="253"/>
      <c r="S341" s="276">
        <f t="shared" si="70"/>
        <v>9.3500000000000085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-52.37</v>
      </c>
      <c r="M342" s="253"/>
      <c r="N342" s="276">
        <f t="shared" si="69"/>
        <v>-212.66647805243053</v>
      </c>
      <c r="O342" s="253"/>
      <c r="P342" s="41"/>
      <c r="Q342" s="256">
        <f t="array" ref="Q342">+INDEX('Réel 2023'!$A$2:$AO$501,MATCH($A342,'Réel 2023'!$A$2:$A$501,0),MATCH(Q$2,'Réel 2023'!$A$2:$AO$2,0))</f>
        <v>53.44</v>
      </c>
      <c r="R342" s="253"/>
      <c r="S342" s="276">
        <f t="shared" si="70"/>
        <v>-105.81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157.71</v>
      </c>
      <c r="M343" s="253"/>
      <c r="N343" s="276">
        <f t="shared" si="69"/>
        <v>-61.054490183680542</v>
      </c>
      <c r="O343" s="253"/>
      <c r="P343" s="41"/>
      <c r="Q343" s="256">
        <f t="array" ref="Q343">+INDEX('Réel 2023'!$A$2:$AO$501,MATCH($A343,'Réel 2023'!$A$2:$A$501,0),MATCH(Q$2,'Réel 2023'!$A$2:$AO$2,0))</f>
        <v>91.31</v>
      </c>
      <c r="R343" s="253"/>
      <c r="S343" s="276">
        <f t="shared" si="70"/>
        <v>66.400000000000006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2535.9699999999998</v>
      </c>
      <c r="R344" s="253"/>
      <c r="S344" s="276">
        <f t="shared" si="70"/>
        <v>-2456.2199999999998</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1900.91</v>
      </c>
      <c r="M345" s="253"/>
      <c r="N345" s="276">
        <f t="shared" si="69"/>
        <v>421.2491510203547</v>
      </c>
      <c r="O345" s="253"/>
      <c r="P345" s="41"/>
      <c r="Q345" s="256">
        <f t="array" ref="Q345">+INDEX('Réel 2023'!$A$2:$AO$501,MATCH($A345,'Réel 2023'!$A$2:$A$501,0),MATCH(Q$2,'Réel 2023'!$A$2:$AO$2,0))</f>
        <v>1344.72</v>
      </c>
      <c r="R345" s="253"/>
      <c r="S345" s="276">
        <f t="shared" si="70"/>
        <v>556.19000000000005</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0.17132084316354712</v>
      </c>
      <c r="F349" s="307">
        <f>+SUM(F331:F348)</f>
        <v>27569.677157790564</v>
      </c>
      <c r="G349" s="308"/>
      <c r="H349" s="306"/>
      <c r="I349" s="307"/>
      <c r="J349" s="308" t="s">
        <v>119</v>
      </c>
      <c r="K349" s="306">
        <f>L349/L$314</f>
        <v>0.21911200721519508</v>
      </c>
      <c r="L349" s="307">
        <f>+SUM(L331:L348)</f>
        <v>27642.29</v>
      </c>
      <c r="M349" s="311"/>
      <c r="N349" s="307">
        <f>+SUM(N331:N348)</f>
        <v>72.612842209433893</v>
      </c>
      <c r="O349" s="308" t="s">
        <v>119</v>
      </c>
      <c r="P349" s="306">
        <f>Q349/Q$314</f>
        <v>0.28061927016609156</v>
      </c>
      <c r="Q349" s="307">
        <f>+SUM(Q331:Q348)</f>
        <v>29746.260000000002</v>
      </c>
      <c r="R349" s="311"/>
      <c r="S349" s="307">
        <f>+SUM(S331:S348)</f>
        <v>-2103.9699999999989</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0.45717575117906584</v>
      </c>
      <c r="F351" s="307">
        <f>F330+F349</f>
        <v>73570.662107616197</v>
      </c>
      <c r="G351" s="308"/>
      <c r="H351" s="306"/>
      <c r="I351" s="307"/>
      <c r="J351" s="308" t="s">
        <v>119</v>
      </c>
      <c r="K351" s="306">
        <f>L351/L$314</f>
        <v>0.5797421572881446</v>
      </c>
      <c r="L351" s="307">
        <f>L330+L349</f>
        <v>73137.94</v>
      </c>
      <c r="M351" s="311"/>
      <c r="N351" s="320">
        <f>L351-F351</f>
        <v>-432.72210761619499</v>
      </c>
      <c r="O351" s="308" t="s">
        <v>119</v>
      </c>
      <c r="P351" s="306">
        <f>Q351/Q$314</f>
        <v>0.7082963372458323</v>
      </c>
      <c r="Q351" s="307">
        <f>Q330+Q349</f>
        <v>75080.97</v>
      </c>
      <c r="R351" s="311"/>
      <c r="S351" s="320">
        <f>L351-Q351</f>
        <v>-1943.0299999999988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87353.581835497404</v>
      </c>
      <c r="G353" s="361"/>
      <c r="H353" s="333"/>
      <c r="I353" s="335"/>
      <c r="J353" s="332"/>
      <c r="K353" s="334"/>
      <c r="L353" s="335">
        <f>L314-L351</f>
        <v>53018.039999999964</v>
      </c>
      <c r="M353" s="332"/>
      <c r="N353" s="335">
        <f>L353-F353</f>
        <v>-34335.541835497439</v>
      </c>
      <c r="O353" s="332"/>
      <c r="P353" s="1152">
        <f>+Q353/O314</f>
        <v>8.2870612816132005E-2</v>
      </c>
      <c r="Q353" s="335">
        <f>Q314-Q351</f>
        <v>30921.229999999763</v>
      </c>
      <c r="R353" s="332"/>
      <c r="S353" s="335">
        <f>L353-Q353</f>
        <v>22096.810000000201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Avril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06" t="s">
        <v>343</v>
      </c>
      <c r="E358" s="1207"/>
      <c r="F358" s="1208"/>
      <c r="G358" s="1211"/>
      <c r="H358" s="1207"/>
      <c r="I358" s="1208"/>
      <c r="J358" s="1211" t="s">
        <v>344</v>
      </c>
      <c r="K358" s="1207"/>
      <c r="L358" s="1208"/>
      <c r="M358" s="1211"/>
      <c r="N358" s="1208"/>
      <c r="O358" s="1206" t="s">
        <v>345</v>
      </c>
      <c r="P358" s="1207"/>
      <c r="Q358" s="1208"/>
      <c r="R358" s="1211" t="s">
        <v>346</v>
      </c>
      <c r="S358" s="120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3"/>
      <c r="E400" s="41"/>
      <c r="F400" s="319">
        <f>F353+F289+F233</f>
        <v>198217.62994448509</v>
      </c>
      <c r="G400" s="297"/>
      <c r="H400" s="41"/>
      <c r="I400" s="319"/>
      <c r="J400" s="1043"/>
      <c r="K400" s="11"/>
      <c r="L400" s="319">
        <f>L353+L289+L233</f>
        <v>129287.43999999996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7"/>
      <c r="L401" s="1037"/>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7"/>
      <c r="L402" s="1037"/>
      <c r="V402" s="956" t="str">
        <f>C1</f>
        <v>Volks</v>
      </c>
      <c r="W402" s="36"/>
      <c r="X402" s="36"/>
      <c r="Y402" s="36"/>
      <c r="Z402" s="36"/>
      <c r="AA402" s="36"/>
      <c r="AB402" s="36"/>
      <c r="AC402" s="36"/>
      <c r="AD402" s="36"/>
      <c r="AE402" s="232" t="s">
        <v>3311</v>
      </c>
      <c r="AF402" s="36"/>
      <c r="AG402" s="36"/>
      <c r="AH402" s="36"/>
      <c r="AI402" s="36"/>
      <c r="AJ402" s="957"/>
      <c r="AK402" s="958"/>
      <c r="AL402" s="959"/>
      <c r="AM402" s="959"/>
      <c r="AN402" s="959"/>
      <c r="AO402" s="957" t="str">
        <f>$S$1</f>
        <v>Réalisé, Avril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15" t="s">
        <v>600</v>
      </c>
      <c r="Y404" s="1213"/>
      <c r="Z404" s="1216"/>
      <c r="AA404" s="1212"/>
      <c r="AB404" s="1213"/>
      <c r="AC404" s="1216"/>
      <c r="AD404" s="1212" t="s">
        <v>344</v>
      </c>
      <c r="AE404" s="1213"/>
      <c r="AF404" s="1216"/>
      <c r="AG404" s="1212" t="s">
        <v>3312</v>
      </c>
      <c r="AH404" s="1213"/>
      <c r="AI404" s="1216"/>
      <c r="AJ404" s="1212" t="s">
        <v>601</v>
      </c>
      <c r="AK404" s="1213"/>
      <c r="AL404" s="1213"/>
      <c r="AM404" s="1212" t="s">
        <v>602</v>
      </c>
      <c r="AN404" s="1213"/>
      <c r="AO404" s="121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6476054.4469894199</v>
      </c>
      <c r="AA406" s="440"/>
      <c r="AB406" s="440"/>
      <c r="AC406" s="441"/>
      <c r="AD406" s="442"/>
      <c r="AE406" s="443"/>
      <c r="AF406" s="443">
        <f>L5+L93+K194+K250+J314+J362</f>
        <v>5889184.629999999</v>
      </c>
      <c r="AG406" s="442"/>
      <c r="AH406" s="443"/>
      <c r="AI406" s="444"/>
      <c r="AJ406" s="442"/>
      <c r="AK406" s="443"/>
      <c r="AL406" s="443">
        <f>Q5+Q93+P194+P250+O314+O362</f>
        <v>3178713.4899999988</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448"/>
      <c r="Y407" s="448"/>
      <c r="Z407" s="449">
        <f>F27+F108+F194+F250+F314+F362</f>
        <v>955621.60366614698</v>
      </c>
      <c r="AA407" s="448"/>
      <c r="AB407" s="448"/>
      <c r="AC407" s="449"/>
      <c r="AD407" s="450"/>
      <c r="AE407" s="451"/>
      <c r="AF407" s="449">
        <f>L27+L108+L194+L250+L314+L362</f>
        <v>725884.6</v>
      </c>
      <c r="AG407" s="450"/>
      <c r="AH407" s="451">
        <f>AF407-Z407</f>
        <v>-229737.00366614701</v>
      </c>
      <c r="AI407" s="452">
        <f>AH407/Z407</f>
        <v>-0.24040582881841924</v>
      </c>
      <c r="AJ407" s="450">
        <f>+AL407/AL406</f>
        <v>0.17911685396974847</v>
      </c>
      <c r="AK407" s="451"/>
      <c r="AL407" s="451">
        <f>Q27+Q108+Q194+Q250+Q314+Q362</f>
        <v>569361.15999999933</v>
      </c>
      <c r="AM407" s="453"/>
      <c r="AN407" s="451">
        <f>AF407-AL407</f>
        <v>156523.44000000064</v>
      </c>
      <c r="AO407" s="454">
        <f>IF(AL407=0,0,AN407/AL407)</f>
        <v>0.27491063844256752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832.07614630114836</v>
      </c>
      <c r="Z409" s="457">
        <f t="shared" ref="Z409:Z415" si="75">+SUMIF($C:$C,$V409,F:F)</f>
        <v>86739.777871163213</v>
      </c>
      <c r="AA409" s="456"/>
      <c r="AB409" s="464"/>
      <c r="AC409" s="457"/>
      <c r="AD409" s="465"/>
      <c r="AE409" s="464">
        <f t="shared" ref="AE409:AE414" si="76">IF(AF409=0,0,AF409/(J$13+J$97))</f>
        <v>669.37043478260875</v>
      </c>
      <c r="AF409" s="457">
        <f t="shared" ref="AF409:AF415" si="77">+SUMIF($C:$C,$V409,L:L)</f>
        <v>61582.080000000002</v>
      </c>
      <c r="AG409" s="458">
        <f t="shared" ref="AG409:AG418" si="78">AE409-Y409</f>
        <v>-162.7057115185396</v>
      </c>
      <c r="AH409" s="459">
        <f t="shared" ref="AH409:AH418" si="79">AF409-Z409</f>
        <v>-25157.697871163211</v>
      </c>
      <c r="AI409" s="460">
        <f t="shared" ref="AI409:AI418" si="80">IF(Z409=0,0,AH409/Z409)</f>
        <v>-0.29003645718957888</v>
      </c>
      <c r="AJ409" s="1153">
        <f t="shared" ref="AJ409:AJ415" si="81">AL409/AL$407</f>
        <v>9.7933146686718264E-2</v>
      </c>
      <c r="AK409" s="459">
        <f t="shared" ref="AK409:AK418" si="82">AL409/(O$13+O$97)</f>
        <v>1161.6527083333333</v>
      </c>
      <c r="AL409" s="457">
        <f t="shared" ref="AL409:AL414" si="83">+SUMIF($C:$C,$V409,Q:Q)</f>
        <v>55759.33</v>
      </c>
      <c r="AM409" s="461">
        <f t="shared" ref="AM409:AM418" si="84">AE409-Y409</f>
        <v>-162.7057115185396</v>
      </c>
      <c r="AN409" s="459">
        <f t="shared" ref="AN409:AN431" si="85">AF409-AL409</f>
        <v>5822.75</v>
      </c>
      <c r="AO409" s="466">
        <f t="shared" ref="AO409:AO431" si="86">IF(AL409=0,0,AN409/AL409)</f>
        <v>0.10442646997372457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518.12269173581467</v>
      </c>
      <c r="Z410" s="441">
        <f t="shared" si="75"/>
        <v>54011.7</v>
      </c>
      <c r="AA410" s="440"/>
      <c r="AB410" s="468"/>
      <c r="AC410" s="441"/>
      <c r="AD410" s="469"/>
      <c r="AE410" s="468">
        <f t="shared" si="76"/>
        <v>302.10423913043485</v>
      </c>
      <c r="AF410" s="441">
        <f t="shared" si="77"/>
        <v>27793.590000000004</v>
      </c>
      <c r="AG410" s="442">
        <f t="shared" si="78"/>
        <v>-216.01845260537982</v>
      </c>
      <c r="AH410" s="443">
        <f t="shared" si="79"/>
        <v>-26218.109999999993</v>
      </c>
      <c r="AI410" s="470">
        <f t="shared" si="80"/>
        <v>-0.48541538222274055</v>
      </c>
      <c r="AJ410" s="1154">
        <f t="shared" si="81"/>
        <v>4.8801730697612095E-2</v>
      </c>
      <c r="AK410" s="443">
        <f t="shared" si="82"/>
        <v>578.87104166666666</v>
      </c>
      <c r="AL410" s="441">
        <f t="shared" si="83"/>
        <v>27785.809999999998</v>
      </c>
      <c r="AM410" s="445">
        <f t="shared" si="84"/>
        <v>-216.01845260537982</v>
      </c>
      <c r="AN410" s="443">
        <f t="shared" si="85"/>
        <v>7.7800000000061118</v>
      </c>
      <c r="AO410" s="446">
        <f t="shared" si="86"/>
        <v>2.799990354791209E-4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77.964890402417382</v>
      </c>
      <c r="Z411" s="457">
        <f t="shared" si="75"/>
        <v>8127.45</v>
      </c>
      <c r="AA411" s="456"/>
      <c r="AB411" s="464"/>
      <c r="AC411" s="457"/>
      <c r="AD411" s="465"/>
      <c r="AE411" s="464">
        <f t="shared" si="76"/>
        <v>61.377173913043485</v>
      </c>
      <c r="AF411" s="457">
        <f t="shared" si="77"/>
        <v>5646.7000000000007</v>
      </c>
      <c r="AG411" s="458">
        <f t="shared" si="78"/>
        <v>-16.587716489373896</v>
      </c>
      <c r="AH411" s="459">
        <f t="shared" si="79"/>
        <v>-2480.7499999999991</v>
      </c>
      <c r="AI411" s="460">
        <f t="shared" si="80"/>
        <v>-0.30523103802545681</v>
      </c>
      <c r="AJ411" s="1153">
        <f t="shared" si="81"/>
        <v>3.9078710602598937E-3</v>
      </c>
      <c r="AK411" s="459">
        <f t="shared" si="82"/>
        <v>46.353958333333338</v>
      </c>
      <c r="AL411" s="457">
        <f t="shared" si="83"/>
        <v>2224.9900000000002</v>
      </c>
      <c r="AM411" s="461">
        <f t="shared" si="84"/>
        <v>-16.587716489373896</v>
      </c>
      <c r="AN411" s="459">
        <f t="shared" si="85"/>
        <v>3421.7100000000005</v>
      </c>
      <c r="AO411" s="466">
        <f t="shared" si="86"/>
        <v>1.5378541027150685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4.7648808096311566</v>
      </c>
      <c r="Z412" s="457">
        <f t="shared" si="75"/>
        <v>496.71499999999997</v>
      </c>
      <c r="AA412" s="456"/>
      <c r="AB412" s="464"/>
      <c r="AC412" s="457"/>
      <c r="AD412" s="465"/>
      <c r="AE412" s="464">
        <f t="shared" si="76"/>
        <v>32.592065217391308</v>
      </c>
      <c r="AF412" s="457">
        <f t="shared" si="77"/>
        <v>2998.4700000000003</v>
      </c>
      <c r="AG412" s="458">
        <f t="shared" si="78"/>
        <v>27.82718440776015</v>
      </c>
      <c r="AH412" s="459">
        <f t="shared" si="79"/>
        <v>2501.7550000000001</v>
      </c>
      <c r="AI412" s="460">
        <f t="shared" si="80"/>
        <v>5.0366004650554146</v>
      </c>
      <c r="AJ412" s="1153">
        <f t="shared" si="81"/>
        <v>3.6883443190961648E-4</v>
      </c>
      <c r="AK412" s="459">
        <f t="shared" si="82"/>
        <v>4.375</v>
      </c>
      <c r="AL412" s="457">
        <f t="shared" si="83"/>
        <v>210</v>
      </c>
      <c r="AM412" s="461">
        <f t="shared" si="84"/>
        <v>27.82718440776015</v>
      </c>
      <c r="AN412" s="459">
        <f t="shared" si="85"/>
        <v>2788.4700000000003</v>
      </c>
      <c r="AO412" s="466">
        <f t="shared" si="86"/>
        <v>13.278428571428572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120.31310854237611</v>
      </c>
      <c r="Z413" s="441">
        <f t="shared" si="75"/>
        <v>12542.039999999999</v>
      </c>
      <c r="AA413" s="440"/>
      <c r="AB413" s="468"/>
      <c r="AC413" s="441"/>
      <c r="AD413" s="469"/>
      <c r="AE413" s="468">
        <f t="shared" si="76"/>
        <v>175.53304347826088</v>
      </c>
      <c r="AF413" s="441">
        <f t="shared" si="77"/>
        <v>16149.04</v>
      </c>
      <c r="AG413" s="442">
        <f t="shared" si="78"/>
        <v>55.219934935884766</v>
      </c>
      <c r="AH413" s="443">
        <f t="shared" si="79"/>
        <v>3607.0000000000018</v>
      </c>
      <c r="AI413" s="470">
        <f t="shared" si="80"/>
        <v>0.28759276800265365</v>
      </c>
      <c r="AJ413" s="1154">
        <f t="shared" si="81"/>
        <v>1.3632542128444464E-2</v>
      </c>
      <c r="AK413" s="443">
        <f t="shared" si="82"/>
        <v>161.70500000000001</v>
      </c>
      <c r="AL413" s="441">
        <f t="shared" si="83"/>
        <v>7761.84</v>
      </c>
      <c r="AM413" s="445">
        <f t="shared" si="84"/>
        <v>55.219934935884766</v>
      </c>
      <c r="AN413" s="443">
        <f t="shared" si="85"/>
        <v>8387.2000000000007</v>
      </c>
      <c r="AO413" s="446">
        <f t="shared" si="86"/>
        <v>1.0805685249889203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177.11640846083745</v>
      </c>
      <c r="Z414" s="457">
        <f t="shared" si="75"/>
        <v>18463.5</v>
      </c>
      <c r="AA414" s="460"/>
      <c r="AB414" s="464"/>
      <c r="AC414" s="457"/>
      <c r="AD414" s="465"/>
      <c r="AE414" s="464">
        <f t="shared" si="76"/>
        <v>228.92576086956521</v>
      </c>
      <c r="AF414" s="457">
        <f t="shared" si="77"/>
        <v>21061.17</v>
      </c>
      <c r="AG414" s="458">
        <f t="shared" si="78"/>
        <v>51.809352408727761</v>
      </c>
      <c r="AH414" s="459">
        <f t="shared" si="79"/>
        <v>2597.6699999999983</v>
      </c>
      <c r="AI414" s="460">
        <f t="shared" si="80"/>
        <v>0.14069217645625143</v>
      </c>
      <c r="AJ414" s="1153">
        <f t="shared" si="81"/>
        <v>3.1065413734930606E-2</v>
      </c>
      <c r="AK414" s="459">
        <f t="shared" si="82"/>
        <v>368.4883333333334</v>
      </c>
      <c r="AL414" s="457">
        <f t="shared" si="83"/>
        <v>17687.440000000002</v>
      </c>
      <c r="AM414" s="461">
        <f t="shared" si="84"/>
        <v>51.809352408727761</v>
      </c>
      <c r="AN414" s="459">
        <f t="shared" si="85"/>
        <v>3373.7299999999959</v>
      </c>
      <c r="AO414" s="466">
        <f t="shared" si="86"/>
        <v>0.19074156576644191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287.71319915393713</v>
      </c>
      <c r="Z415" s="457">
        <f t="shared" si="75"/>
        <v>29992.662445802176</v>
      </c>
      <c r="AA415" s="456"/>
      <c r="AB415" s="464"/>
      <c r="AC415" s="457"/>
      <c r="AD415" s="465"/>
      <c r="AE415" s="464">
        <f t="shared" ref="AE415:AE418" si="87">IF(AF415=0,0,AF415/(J$13+J$13))</f>
        <v>314.30927536231883</v>
      </c>
      <c r="AF415" s="960">
        <f t="shared" si="77"/>
        <v>43374.68</v>
      </c>
      <c r="AG415" s="1019">
        <f t="shared" si="78"/>
        <v>26.596076208381703</v>
      </c>
      <c r="AH415" s="964">
        <f t="shared" si="79"/>
        <v>13382.017554197824</v>
      </c>
      <c r="AI415" s="460">
        <f t="shared" si="80"/>
        <v>0.44617637991890896</v>
      </c>
      <c r="AJ415" s="1153">
        <f t="shared" si="81"/>
        <v>6.8311825133980063E-3</v>
      </c>
      <c r="AK415" s="459">
        <f t="shared" si="82"/>
        <v>81.029375000000002</v>
      </c>
      <c r="AL415" s="457">
        <f>IFERROR(SUMIF($C:$C,$V415,Q:Q),0)</f>
        <v>3889.41</v>
      </c>
      <c r="AM415" s="461">
        <f t="shared" si="84"/>
        <v>26.596076208381703</v>
      </c>
      <c r="AN415" s="459">
        <f t="shared" si="85"/>
        <v>39485.270000000004</v>
      </c>
      <c r="AO415" s="466">
        <f t="shared" si="86"/>
        <v>10.15199477555722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0.22014345899034424</v>
      </c>
      <c r="Y419" s="472"/>
      <c r="Z419" s="474">
        <f>SUM(Z409:Z418)</f>
        <v>210373.84531696542</v>
      </c>
      <c r="AA419" s="473"/>
      <c r="AB419" s="472"/>
      <c r="AC419" s="474"/>
      <c r="AD419" s="475">
        <f>AF419/AF407</f>
        <v>0.24605251303030812</v>
      </c>
      <c r="AE419" s="472"/>
      <c r="AF419" s="474">
        <f>SUM(AF409:AF418)</f>
        <v>178605.72999999998</v>
      </c>
      <c r="AG419" s="476"/>
      <c r="AH419" s="477">
        <f t="shared" ref="AH419:AH451" si="88">AF419-Z419</f>
        <v>-31768.115316965443</v>
      </c>
      <c r="AI419" s="473">
        <f>AH419/Z419</f>
        <v>-0.15100791293281327</v>
      </c>
      <c r="AJ419" s="475">
        <f>IF($AL$407=0,0,AL419/$AL$407)</f>
        <v>0.20254072125327297</v>
      </c>
      <c r="AK419" s="472"/>
      <c r="AL419" s="474">
        <f>SUM(AL409:AL418)</f>
        <v>115318.82</v>
      </c>
      <c r="AM419" s="478"/>
      <c r="AN419" s="477">
        <f t="shared" si="85"/>
        <v>63286.909999999974</v>
      </c>
      <c r="AO419" s="454">
        <f t="shared" si="86"/>
        <v>0.54879949343914525</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14884.91</v>
      </c>
      <c r="AG420" s="458"/>
      <c r="AH420" s="459">
        <f t="shared" si="88"/>
        <v>1342.7100000000028</v>
      </c>
      <c r="AI420" s="460">
        <f t="shared" ref="AI420:AI432" si="89">IF(Z420=0,0,AH420/Z420)</f>
        <v>9.9150064243623867E-2</v>
      </c>
      <c r="AJ420" s="465"/>
      <c r="AK420" s="456"/>
      <c r="AL420" s="457">
        <f>+INDEX('Réel 2023'!$A$2:$AO$501,MATCH($A420,'Réel 2023'!$A$2:$A$501,0),MATCH(F$2,'Réel 2023'!$A$2:$AO$2,0))</f>
        <v>17494.309999999899</v>
      </c>
      <c r="AM420" s="461"/>
      <c r="AN420" s="459">
        <f t="shared" si="85"/>
        <v>-2609.3999999998996</v>
      </c>
      <c r="AO420" s="466">
        <f t="shared" si="86"/>
        <v>-0.14915706878407406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39822.400000000001</v>
      </c>
      <c r="AG421" s="458"/>
      <c r="AH421" s="459">
        <f t="shared" si="88"/>
        <v>-13556.439743589741</v>
      </c>
      <c r="AI421" s="460">
        <f t="shared" si="89"/>
        <v>-0.25396654945497821</v>
      </c>
      <c r="AJ421" s="465"/>
      <c r="AK421" s="456"/>
      <c r="AL421" s="457">
        <f t="shared" ref="AL421:AL429" si="91">+SUMIF($C:$C,$V421,Q:Q)</f>
        <v>34182.79</v>
      </c>
      <c r="AM421" s="461"/>
      <c r="AN421" s="459">
        <f t="shared" si="85"/>
        <v>5639.6100000000006</v>
      </c>
      <c r="AO421" s="466">
        <f t="shared" si="86"/>
        <v>0.164983899792849</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44942.65</v>
      </c>
      <c r="AG422" s="442"/>
      <c r="AH422" s="443">
        <f t="shared" si="88"/>
        <v>-10390.654615384614</v>
      </c>
      <c r="AI422" s="470">
        <f t="shared" si="89"/>
        <v>-0.18778301219507582</v>
      </c>
      <c r="AJ422" s="469"/>
      <c r="AK422" s="440"/>
      <c r="AL422" s="441">
        <f t="shared" si="91"/>
        <v>43473.979999999996</v>
      </c>
      <c r="AM422" s="445"/>
      <c r="AN422" s="443">
        <f t="shared" si="85"/>
        <v>1468.6700000000055</v>
      </c>
      <c r="AO422" s="446">
        <f t="shared" si="86"/>
        <v>3.3782736248211126E-2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32259.46</v>
      </c>
      <c r="AG423" s="458"/>
      <c r="AH423" s="459">
        <f t="shared" si="88"/>
        <v>6357.0599999999977</v>
      </c>
      <c r="AI423" s="460">
        <f t="shared" si="89"/>
        <v>0.24542359009203771</v>
      </c>
      <c r="AJ423" s="465"/>
      <c r="AK423" s="456"/>
      <c r="AL423" s="457">
        <f t="shared" si="91"/>
        <v>38091.160000000003</v>
      </c>
      <c r="AM423" s="461"/>
      <c r="AN423" s="459">
        <f t="shared" si="85"/>
        <v>-5831.7000000000044</v>
      </c>
      <c r="AO423" s="466">
        <f t="shared" si="86"/>
        <v>-0.15309851419594478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37251.8431136</v>
      </c>
      <c r="AA424" s="456"/>
      <c r="AB424" s="456"/>
      <c r="AC424" s="457"/>
      <c r="AD424" s="465"/>
      <c r="AE424" s="464"/>
      <c r="AF424" s="457">
        <f>+SUMIF($C:$C,$V424,L:L)</f>
        <v>43948.92</v>
      </c>
      <c r="AG424" s="458"/>
      <c r="AH424" s="459">
        <f t="shared" si="88"/>
        <v>6697.0768863999983</v>
      </c>
      <c r="AI424" s="460">
        <f t="shared" si="89"/>
        <v>0.17977840360749861</v>
      </c>
      <c r="AJ424" s="465"/>
      <c r="AK424" s="456"/>
      <c r="AL424" s="457">
        <f t="shared" si="91"/>
        <v>32188.6</v>
      </c>
      <c r="AM424" s="461"/>
      <c r="AN424" s="459">
        <f t="shared" si="85"/>
        <v>11760.32</v>
      </c>
      <c r="AO424" s="466">
        <f t="shared" si="86"/>
        <v>0.36535667907271518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5">
        <f>Z428/(SUM(Z420:Z424)+E194-F194+Z409+Z410)</f>
        <v>0.10663128509549782</v>
      </c>
      <c r="Z428" s="441">
        <f t="shared" si="90"/>
        <v>48113.663406611187</v>
      </c>
      <c r="AA428" s="440"/>
      <c r="AB428" s="440"/>
      <c r="AC428" s="441"/>
      <c r="AD428" s="469"/>
      <c r="AE428" s="468"/>
      <c r="AF428" s="441">
        <f>+SUMIF($C:$C,$V428,L:L)</f>
        <v>42780.740000000005</v>
      </c>
      <c r="AG428" s="442"/>
      <c r="AH428" s="443">
        <f t="shared" si="88"/>
        <v>-5332.9234066111821</v>
      </c>
      <c r="AI428" s="470">
        <f t="shared" si="89"/>
        <v>-0.11084010297745063</v>
      </c>
      <c r="AJ428" s="469"/>
      <c r="AK428" s="440"/>
      <c r="AL428" s="441">
        <f t="shared" si="91"/>
        <v>33924.15</v>
      </c>
      <c r="AM428" s="445"/>
      <c r="AN428" s="443">
        <f t="shared" si="85"/>
        <v>8856.5900000000038</v>
      </c>
      <c r="AO428" s="446">
        <f t="shared" si="86"/>
        <v>0.26107035843197263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6">
        <f>Z429/(SUM(Z420:Z424)+E194-F194+Z409+Z410)</f>
        <v>0.12964861095311631</v>
      </c>
      <c r="Z429" s="457">
        <f t="shared" si="90"/>
        <v>58499.432159580123</v>
      </c>
      <c r="AA429" s="456"/>
      <c r="AB429" s="456"/>
      <c r="AC429" s="457"/>
      <c r="AD429" s="465"/>
      <c r="AE429" s="464"/>
      <c r="AF429" s="457">
        <f>+SUMIF($C:$C,$V429,L:L)</f>
        <v>55588.25</v>
      </c>
      <c r="AG429" s="458"/>
      <c r="AH429" s="459">
        <f t="shared" si="88"/>
        <v>-2911.182159580123</v>
      </c>
      <c r="AI429" s="460">
        <f t="shared" si="89"/>
        <v>-4.9764280645301529E-2</v>
      </c>
      <c r="AJ429" s="465"/>
      <c r="AK429" s="456"/>
      <c r="AL429" s="457">
        <f t="shared" si="91"/>
        <v>73262.2</v>
      </c>
      <c r="AM429" s="461"/>
      <c r="AN429" s="459">
        <f t="shared" si="85"/>
        <v>-17673.949999999997</v>
      </c>
      <c r="AO429" s="466">
        <f t="shared" si="86"/>
        <v>-0.24124241423271481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6">
        <f>Z430/(SUM(Z420:Z424)+E194-F194+Z410+Z409)</f>
        <v>6.6797219121496873E-2</v>
      </c>
      <c r="Z430" s="457">
        <f t="shared" si="90"/>
        <v>30139.92483004454</v>
      </c>
      <c r="AA430" s="456"/>
      <c r="AB430" s="456"/>
      <c r="AC430" s="457"/>
      <c r="AD430" s="465"/>
      <c r="AE430" s="464"/>
      <c r="AF430" s="457">
        <f>+SUMIF($C:$C,$V430,L:L)</f>
        <v>20871.650000000001</v>
      </c>
      <c r="AG430" s="458"/>
      <c r="AH430" s="459">
        <f t="shared" si="88"/>
        <v>-9268.2748300445382</v>
      </c>
      <c r="AI430" s="460">
        <f t="shared" si="89"/>
        <v>-0.30750822645733988</v>
      </c>
      <c r="AJ430" s="465"/>
      <c r="AK430" s="456"/>
      <c r="AL430" s="457">
        <f>IFERROR(SUMIF($C:$C,$V430,Q:Q),0)</f>
        <v>23416.399999999998</v>
      </c>
      <c r="AM430" s="461"/>
      <c r="AN430" s="459">
        <f t="shared" si="85"/>
        <v>-2544.7499999999964</v>
      </c>
      <c r="AO430" s="466">
        <f t="shared" si="86"/>
        <v>-0.10867383543157773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13141.176789470897</v>
      </c>
      <c r="AA431" s="456"/>
      <c r="AB431" s="456"/>
      <c r="AC431" s="457"/>
      <c r="AD431" s="465"/>
      <c r="AE431" s="464"/>
      <c r="AF431" s="457">
        <f>+SUMIF($C:$C,$V431,L:L)</f>
        <v>10619.84</v>
      </c>
      <c r="AG431" s="458"/>
      <c r="AH431" s="459">
        <f t="shared" si="88"/>
        <v>-2521.3367894708972</v>
      </c>
      <c r="AI431" s="479">
        <f t="shared" si="89"/>
        <v>-0.19186537323590894</v>
      </c>
      <c r="AJ431" s="465"/>
      <c r="AK431" s="456"/>
      <c r="AL431" s="457">
        <f>IFERROR(SUMIF($C:$C,$V431,Q:Q),0)</f>
        <v>-11696.03</v>
      </c>
      <c r="AM431" s="461"/>
      <c r="AN431" s="459">
        <f t="shared" si="85"/>
        <v>22315.870000000003</v>
      </c>
      <c r="AO431" s="466">
        <f t="shared" si="86"/>
        <v>-1.907986727120228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0.35087401056226164</v>
      </c>
      <c r="Y433" s="472"/>
      <c r="Z433" s="474">
        <f>SUM(Z420:Z432)</f>
        <v>335302.78465828107</v>
      </c>
      <c r="AA433" s="473"/>
      <c r="AB433" s="472"/>
      <c r="AC433" s="474"/>
      <c r="AD433" s="475">
        <f>AF433/AF407</f>
        <v>0.42116724889879192</v>
      </c>
      <c r="AE433" s="480"/>
      <c r="AF433" s="474">
        <f>SUM(AF420:AF432)</f>
        <v>305718.82</v>
      </c>
      <c r="AG433" s="476"/>
      <c r="AH433" s="477">
        <f t="shared" si="88"/>
        <v>-29583.964658281067</v>
      </c>
      <c r="AI433" s="473">
        <f>AH433/Z433</f>
        <v>-8.8230596380018525E-2</v>
      </c>
      <c r="AJ433" s="475">
        <f>IF($AL$407=0,0,AL433/$AL$407)</f>
        <v>0.49939753530079256</v>
      </c>
      <c r="AK433" s="472"/>
      <c r="AL433" s="474">
        <f>SUM(AL420:AL432)</f>
        <v>284337.55999999988</v>
      </c>
      <c r="AM433" s="482"/>
      <c r="AN433" s="477">
        <f t="shared" ref="AN433:AN451" si="92">AF433-AL433</f>
        <v>21381.260000000126</v>
      </c>
      <c r="AO433" s="454">
        <f t="shared" ref="AO433:AO461" si="93">IF(AL433=0,0,AN433/AL433)</f>
        <v>7.5196748540713843E-2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15551.54</v>
      </c>
      <c r="AG434" s="486"/>
      <c r="AH434" s="488">
        <f t="shared" si="88"/>
        <v>712.97954409722661</v>
      </c>
      <c r="AI434" s="489">
        <f t="shared" ref="AI434:AI451" si="96">IF(Z434=0,0,AH434/Z434)</f>
        <v>4.8049104643004881E-2</v>
      </c>
      <c r="AJ434" s="486"/>
      <c r="AK434" s="484"/>
      <c r="AL434" s="485">
        <f t="shared" ref="AL434:AL448" si="97">+SUMIF($C:$C,$V434,Q:Q)</f>
        <v>15120.340000000002</v>
      </c>
      <c r="AM434" s="490"/>
      <c r="AN434" s="488">
        <f t="shared" si="92"/>
        <v>431.19999999999891</v>
      </c>
      <c r="AO434" s="462">
        <f t="shared" si="93"/>
        <v>2.8517877243501064E-2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3957.4100000000003</v>
      </c>
      <c r="AG435" s="458"/>
      <c r="AH435" s="459">
        <f t="shared" si="88"/>
        <v>-1981.6556258991445</v>
      </c>
      <c r="AI435" s="460">
        <f t="shared" si="96"/>
        <v>-0.33366454434473969</v>
      </c>
      <c r="AJ435" s="465"/>
      <c r="AK435" s="456"/>
      <c r="AL435" s="457">
        <f t="shared" si="97"/>
        <v>6731.4500000000007</v>
      </c>
      <c r="AM435" s="461"/>
      <c r="AN435" s="459">
        <f t="shared" si="92"/>
        <v>-2774.0400000000004</v>
      </c>
      <c r="AO435" s="466">
        <f t="shared" si="93"/>
        <v>-0.41210140460079181</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26786.480000000003</v>
      </c>
      <c r="AG436" s="442"/>
      <c r="AH436" s="443">
        <f t="shared" si="88"/>
        <v>711.4800000000032</v>
      </c>
      <c r="AI436" s="470">
        <f t="shared" si="96"/>
        <v>2.7285906040268579E-2</v>
      </c>
      <c r="AJ436" s="469"/>
      <c r="AK436" s="440"/>
      <c r="AL436" s="441">
        <f t="shared" si="97"/>
        <v>21960.5</v>
      </c>
      <c r="AM436" s="445"/>
      <c r="AN436" s="443">
        <f t="shared" si="92"/>
        <v>4825.9800000000032</v>
      </c>
      <c r="AO436" s="446">
        <f t="shared" si="93"/>
        <v>0.21975729150064904</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22793.11</v>
      </c>
      <c r="AG437" s="458"/>
      <c r="AH437" s="1157">
        <f t="shared" si="88"/>
        <v>522.42148888889278</v>
      </c>
      <c r="AI437" s="460">
        <f t="shared" si="96"/>
        <v>2.3457805924062498E-2</v>
      </c>
      <c r="AJ437" s="465"/>
      <c r="AK437" s="456"/>
      <c r="AL437" s="457">
        <f t="shared" si="97"/>
        <v>19618.09</v>
      </c>
      <c r="AM437" s="461"/>
      <c r="AN437" s="459">
        <f t="shared" si="92"/>
        <v>3175.0200000000004</v>
      </c>
      <c r="AO437" s="466">
        <f t="shared" si="93"/>
        <v>0.16184144328015623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7708.47</v>
      </c>
      <c r="AG438" s="458"/>
      <c r="AH438" s="459">
        <f t="shared" si="88"/>
        <v>4118.7007868055553</v>
      </c>
      <c r="AI438" s="460">
        <f t="shared" si="96"/>
        <v>1.1473441723403794</v>
      </c>
      <c r="AJ438" s="465"/>
      <c r="AK438" s="456"/>
      <c r="AL438" s="457">
        <f t="shared" si="97"/>
        <v>4039.21</v>
      </c>
      <c r="AM438" s="461"/>
      <c r="AN438" s="459">
        <f t="shared" si="92"/>
        <v>3669.26</v>
      </c>
      <c r="AO438" s="466">
        <f t="shared" si="93"/>
        <v>0.90841030795625877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26436.160651539351</v>
      </c>
      <c r="AA439" s="456"/>
      <c r="AB439" s="456"/>
      <c r="AC439" s="457"/>
      <c r="AD439" s="465"/>
      <c r="AE439" s="464"/>
      <c r="AF439" s="457">
        <f t="shared" si="95"/>
        <v>31322.5</v>
      </c>
      <c r="AG439" s="458"/>
      <c r="AH439" s="459">
        <f t="shared" si="88"/>
        <v>4886.3393484606495</v>
      </c>
      <c r="AI439" s="460">
        <f t="shared" si="96"/>
        <v>0.18483543858234661</v>
      </c>
      <c r="AJ439" s="465"/>
      <c r="AK439" s="456"/>
      <c r="AL439" s="457">
        <f t="shared" si="97"/>
        <v>26024.04</v>
      </c>
      <c r="AM439" s="461"/>
      <c r="AN439" s="459">
        <f t="shared" si="92"/>
        <v>5298.4599999999991</v>
      </c>
      <c r="AO439" s="466">
        <f t="shared" si="93"/>
        <v>0.20359867261193876</v>
      </c>
      <c r="AP439" s="1012"/>
      <c r="AQ439" s="1012" t="s">
        <v>3347</v>
      </c>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4652.8900000000003</v>
      </c>
      <c r="AG441" s="458"/>
      <c r="AH441" s="459">
        <f t="shared" si="88"/>
        <v>-1430.4433333333327</v>
      </c>
      <c r="AI441" s="460">
        <f t="shared" si="96"/>
        <v>-0.23514136986301359</v>
      </c>
      <c r="AJ441" s="465"/>
      <c r="AK441" s="456"/>
      <c r="AL441" s="457">
        <f t="shared" si="97"/>
        <v>8832.08</v>
      </c>
      <c r="AM441" s="461"/>
      <c r="AN441" s="459">
        <f t="shared" si="92"/>
        <v>-4179.1899999999996</v>
      </c>
      <c r="AO441" s="466">
        <f t="shared" si="93"/>
        <v>-0.47318298747293952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893.35</v>
      </c>
      <c r="AG442" s="458"/>
      <c r="AH442" s="459">
        <f t="shared" si="88"/>
        <v>-661.9249709404429</v>
      </c>
      <c r="AI442" s="479">
        <f t="shared" si="96"/>
        <v>-0.42559996354869034</v>
      </c>
      <c r="AJ442" s="465"/>
      <c r="AK442" s="456"/>
      <c r="AL442" s="457">
        <f t="shared" si="97"/>
        <v>619.66999999999996</v>
      </c>
      <c r="AM442" s="461"/>
      <c r="AN442" s="459">
        <f t="shared" si="92"/>
        <v>273.68000000000006</v>
      </c>
      <c r="AO442" s="466">
        <f t="shared" si="93"/>
        <v>0.44165442897025847</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1384.8500000000001</v>
      </c>
      <c r="AG443" s="458"/>
      <c r="AH443" s="459">
        <f t="shared" si="88"/>
        <v>-1202.5965749</v>
      </c>
      <c r="AI443" s="460">
        <f t="shared" si="96"/>
        <v>-0.46478121966498109</v>
      </c>
      <c r="AJ443" s="465"/>
      <c r="AK443" s="456"/>
      <c r="AL443" s="457">
        <f t="shared" si="97"/>
        <v>2448.1899999999996</v>
      </c>
      <c r="AM443" s="461"/>
      <c r="AN443" s="459">
        <f t="shared" si="92"/>
        <v>-1063.3399999999995</v>
      </c>
      <c r="AO443" s="466">
        <f t="shared" si="93"/>
        <v>-0.43433720422026051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797.78</v>
      </c>
      <c r="AG444" s="458"/>
      <c r="AH444" s="459">
        <f t="shared" si="88"/>
        <v>19.664234209722167</v>
      </c>
      <c r="AI444" s="479">
        <f t="shared" si="96"/>
        <v>2.5271604913120579E-2</v>
      </c>
      <c r="AJ444" s="465"/>
      <c r="AK444" s="456"/>
      <c r="AL444" s="457">
        <f t="shared" si="97"/>
        <v>718.74</v>
      </c>
      <c r="AM444" s="461"/>
      <c r="AN444" s="459">
        <f t="shared" si="92"/>
        <v>79.039999999999964</v>
      </c>
      <c r="AO444" s="466">
        <f t="shared" si="93"/>
        <v>0.10997022567270497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-27.62</v>
      </c>
      <c r="AG445" s="458"/>
      <c r="AH445" s="459">
        <f t="shared" si="88"/>
        <v>-489.89621220972219</v>
      </c>
      <c r="AI445" s="460">
        <f t="shared" si="96"/>
        <v>-1.0597478288315418</v>
      </c>
      <c r="AJ445" s="465"/>
      <c r="AK445" s="456"/>
      <c r="AL445" s="457">
        <f t="shared" si="97"/>
        <v>631</v>
      </c>
      <c r="AM445" s="461"/>
      <c r="AN445" s="459">
        <f t="shared" si="92"/>
        <v>-658.62</v>
      </c>
      <c r="AO445" s="466">
        <f t="shared" si="93"/>
        <v>-1.0437717908082409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631.05999999999995</v>
      </c>
      <c r="AG446" s="458"/>
      <c r="AH446" s="459">
        <f t="shared" si="88"/>
        <v>-521.41926073472223</v>
      </c>
      <c r="AI446" s="479">
        <f t="shared" si="96"/>
        <v>-0.4524326627815497</v>
      </c>
      <c r="AJ446" s="465"/>
      <c r="AK446" s="456"/>
      <c r="AL446" s="457">
        <f t="shared" si="97"/>
        <v>441.21999999999997</v>
      </c>
      <c r="AM446" s="461"/>
      <c r="AN446" s="459">
        <f t="shared" si="92"/>
        <v>189.83999999999997</v>
      </c>
      <c r="AO446" s="466">
        <f t="shared" si="93"/>
        <v>0.43026154752731061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2402.5699999999997</v>
      </c>
      <c r="AG447" s="458"/>
      <c r="AH447" s="459">
        <f t="shared" si="88"/>
        <v>-5241.8085104434322</v>
      </c>
      <c r="AI447" s="460">
        <f t="shared" si="96"/>
        <v>-0.68570760896811844</v>
      </c>
      <c r="AJ447" s="465"/>
      <c r="AK447" s="456"/>
      <c r="AL447" s="457">
        <f t="shared" si="97"/>
        <v>11935.449999999999</v>
      </c>
      <c r="AM447" s="461"/>
      <c r="AN447" s="459">
        <f t="shared" si="92"/>
        <v>-9532.8799999999992</v>
      </c>
      <c r="AO447" s="466">
        <f t="shared" si="93"/>
        <v>-0.79870302334641763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6">
        <f>Z448/Z406</f>
        <v>1.2013914258187893E-3</v>
      </c>
      <c r="Z448" s="457">
        <f t="shared" si="94"/>
        <v>7780.2762857487296</v>
      </c>
      <c r="AA448" s="456"/>
      <c r="AB448" s="464"/>
      <c r="AC448" s="457"/>
      <c r="AD448" s="465"/>
      <c r="AE448" s="464"/>
      <c r="AF448" s="960">
        <f t="shared" si="95"/>
        <v>9504.61</v>
      </c>
      <c r="AG448" s="458"/>
      <c r="AH448" s="964">
        <f t="shared" si="88"/>
        <v>1724.333714251271</v>
      </c>
      <c r="AI448" s="460">
        <f t="shared" si="96"/>
        <v>0.22162885364492307</v>
      </c>
      <c r="AJ448" s="465"/>
      <c r="AK448" s="456"/>
      <c r="AL448" s="457">
        <f t="shared" si="97"/>
        <v>6723.6</v>
      </c>
      <c r="AM448" s="461"/>
      <c r="AN448" s="459">
        <f t="shared" si="92"/>
        <v>2781.01</v>
      </c>
      <c r="AO448" s="466">
        <f t="shared" si="93"/>
        <v>0.41361919209947051</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0.13309957088013172</v>
      </c>
      <c r="Y452" s="472"/>
      <c r="Z452" s="474">
        <f>+SUM(Z434:Z451)</f>
        <v>127192.82537174747</v>
      </c>
      <c r="AA452" s="473"/>
      <c r="AB452" s="472"/>
      <c r="AC452" s="474"/>
      <c r="AD452" s="475">
        <f>AF452/AF407</f>
        <v>0.17683113817265173</v>
      </c>
      <c r="AE452" s="472"/>
      <c r="AF452" s="474">
        <f>+SUM(AF434:AF451)</f>
        <v>128359.00000000001</v>
      </c>
      <c r="AG452" s="481"/>
      <c r="AH452" s="494">
        <f>+SUM(AH434:AH451)</f>
        <v>1166.1746282525246</v>
      </c>
      <c r="AI452" s="473">
        <f>AH452/Z452</f>
        <v>9.1685566764016513E-3</v>
      </c>
      <c r="AJ452" s="475">
        <f>IF($AL$407=0,0,AL452/$AL$407)</f>
        <v>0.22102593018463038</v>
      </c>
      <c r="AK452" s="473"/>
      <c r="AL452" s="474">
        <f>+SUM(AL434:AL451)</f>
        <v>125843.58000000002</v>
      </c>
      <c r="AM452" s="482"/>
      <c r="AN452" s="477">
        <f>+SUM(AN434:AN451)</f>
        <v>2515.4200000000037</v>
      </c>
      <c r="AO452" s="495">
        <f t="shared" si="93"/>
        <v>1.9988465045257003E-2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187">
        <f>SUMIFS(BV_Data_An_Cour!$O:$O,BV_Data_An_Cour!$V:$V,$V458)</f>
        <v>8641.99</v>
      </c>
      <c r="AG458" s="458"/>
      <c r="AH458" s="459">
        <f t="shared" si="98"/>
        <v>5190.74</v>
      </c>
      <c r="AI458" s="460">
        <f t="shared" si="99"/>
        <v>1.5040173850054326</v>
      </c>
      <c r="AJ458" s="465"/>
      <c r="AK458" s="456"/>
      <c r="AL458" s="457">
        <f>+INDEX('Réel 2023'!$A$2:$AO$501,MATCH($A458,'Réel 2023'!$A$2:$A$501,0),MATCH(F$2,'Réel 2023'!$A$2:$AO$2,0))</f>
        <v>1478.46999999999</v>
      </c>
      <c r="AM458" s="461"/>
      <c r="AN458" s="459">
        <f t="shared" si="100"/>
        <v>7163.5200000000095</v>
      </c>
      <c r="AO458" s="466">
        <f t="shared" si="93"/>
        <v>4.8452251313858641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2023'!$A$2:$AO$501,MATCH($A459,'Réel 2023'!$A$2:$A$501,0),MATCH(F$2,'Réel 2023'!$A$2:$AO$2,0))</f>
        <v>6550.12</v>
      </c>
      <c r="AM459" s="461"/>
      <c r="AN459" s="459">
        <f t="shared" si="100"/>
        <v>-126.79000000000087</v>
      </c>
      <c r="AO459" s="466">
        <f t="shared" si="93"/>
        <v>-1.9356897278217936E-2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254.6</v>
      </c>
      <c r="AG460" s="442"/>
      <c r="AH460" s="443">
        <f t="shared" si="98"/>
        <v>-1692.3211566305552</v>
      </c>
      <c r="AI460" s="470">
        <f t="shared" si="99"/>
        <v>-0.86922942455429264</v>
      </c>
      <c r="AJ460" s="469"/>
      <c r="AK460" s="440"/>
      <c r="AL460" s="441">
        <f>+INDEX('Réel 2023'!$A$2:$AO$501,MATCH($A460,'Réel 2023'!$A$2:$A$501,0),MATCH(F$2,'Réel 2023'!$A$2:$AO$2,0))</f>
        <v>1935.3</v>
      </c>
      <c r="AM460" s="445"/>
      <c r="AN460" s="443">
        <f t="shared" si="100"/>
        <v>-1680.7</v>
      </c>
      <c r="AO460" s="446">
        <f t="shared" si="93"/>
        <v>-0.8684441688627087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830.07</v>
      </c>
      <c r="AG461" s="458"/>
      <c r="AH461" s="459">
        <f t="shared" si="98"/>
        <v>-169.92999999999995</v>
      </c>
      <c r="AI461" s="498">
        <f t="shared" si="99"/>
        <v>-0.16992999999999994</v>
      </c>
      <c r="AJ461" s="456"/>
      <c r="AK461" s="456"/>
      <c r="AL461" s="457">
        <f>+INDEX('Réel 2023'!$A$2:$AO$501,MATCH($A461,'Réel 2023'!$A$2:$A$501,0),MATCH(F$2,'Réel 2023'!$A$2:$AO$2,0))</f>
        <v>548.94000000000005</v>
      </c>
      <c r="AM461" s="461"/>
      <c r="AN461" s="459">
        <f t="shared" si="100"/>
        <v>281.13</v>
      </c>
      <c r="AO461" s="466">
        <f t="shared" si="93"/>
        <v>0.51213247349437097</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6.4562232847467302E-2</v>
      </c>
      <c r="Y466" s="472"/>
      <c r="Z466" s="474">
        <f>SUM(Z453:Z465)</f>
        <v>61697.064489963894</v>
      </c>
      <c r="AA466" s="473"/>
      <c r="AB466" s="472"/>
      <c r="AC466" s="474"/>
      <c r="AD466" s="475">
        <f>AF466/AF407</f>
        <v>8.9084504616849566E-2</v>
      </c>
      <c r="AE466" s="472"/>
      <c r="AF466" s="474">
        <f>SUM(AF453:AF465)</f>
        <v>64665.07</v>
      </c>
      <c r="AG466" s="481"/>
      <c r="AH466" s="494">
        <f>SUM(AH453:AH465)</f>
        <v>2968.0055100361101</v>
      </c>
      <c r="AI466" s="473">
        <f>IF(Z466=0,0,AH466/Z466)</f>
        <v>4.8106105769730879E-2</v>
      </c>
      <c r="AJ466" s="475">
        <f>IF($AL$407=0,0,AL466/$AL$407)</f>
        <v>8.6050530738696757E-2</v>
      </c>
      <c r="AK466" s="473"/>
      <c r="AL466" s="474">
        <f>SUM(AL453:AL465)</f>
        <v>48993.829999999987</v>
      </c>
      <c r="AM466" s="482"/>
      <c r="AN466" s="477">
        <f>SUM(AN453:AN465)</f>
        <v>15671.240000000018</v>
      </c>
      <c r="AO466" s="495">
        <f t="shared" ref="AO466:AO483" si="101">IF(AL466=0,0,AN466/AL466)</f>
        <v>0.31986150092777033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0.76867927328020491</v>
      </c>
      <c r="Y468" s="472"/>
      <c r="Z468" s="474">
        <f>Z419+Z433+Z452+Z466</f>
        <v>734566.51983695792</v>
      </c>
      <c r="AA468" s="473"/>
      <c r="AB468" s="472"/>
      <c r="AC468" s="474"/>
      <c r="AD468" s="475">
        <f>AF468/AF407</f>
        <v>0.93313540471860135</v>
      </c>
      <c r="AE468" s="472"/>
      <c r="AF468" s="474">
        <f>AF419+AF433+AF452+AF466</f>
        <v>677348.62</v>
      </c>
      <c r="AG468" s="481"/>
      <c r="AH468" s="494">
        <f t="shared" si="102"/>
        <v>-57217.89983695792</v>
      </c>
      <c r="AI468" s="473">
        <f>AH468/Z468</f>
        <v>-7.7893421891400416E-2</v>
      </c>
      <c r="AJ468" s="475">
        <f>IF($AL$407=0,0,AL468/$AL$407)</f>
        <v>1.0090147174773927</v>
      </c>
      <c r="AK468" s="473"/>
      <c r="AL468" s="474">
        <f>AL419+AL433+AL452+AL466</f>
        <v>574493.78999999992</v>
      </c>
      <c r="AM468" s="482"/>
      <c r="AN468" s="477">
        <f t="shared" si="103"/>
        <v>102854.83000000007</v>
      </c>
      <c r="AO468" s="454">
        <f t="shared" si="101"/>
        <v>0.17903558191638605</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39288.01</v>
      </c>
      <c r="AG469" s="505"/>
      <c r="AH469" s="459">
        <f t="shared" si="102"/>
        <v>39288.01</v>
      </c>
      <c r="AI469" s="498" t="e">
        <f>IF(AH469=0,0,AH469/Z469)</f>
        <v>#DIV/0!</v>
      </c>
      <c r="AJ469" s="504"/>
      <c r="AK469" s="502"/>
      <c r="AL469" s="506">
        <f>+INDEX('Réel 2023'!$A$2:$AO$501,MATCH($A469,'Réel 2023'!$A$2:$A$501,0),MATCH(F$2,'Réel 2023'!$A$2:$AO$2,0))</f>
        <v>130416.22</v>
      </c>
      <c r="AM469" s="507"/>
      <c r="AN469" s="459">
        <f t="shared" si="103"/>
        <v>-91128.209999999992</v>
      </c>
      <c r="AO469" s="466">
        <f t="shared" si="101"/>
        <v>-0.69874905130665488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93286.91203174906</v>
      </c>
      <c r="AA470" s="496"/>
      <c r="AB470" s="459"/>
      <c r="AC470" s="457"/>
      <c r="AD470" s="508"/>
      <c r="AE470" s="509"/>
      <c r="AF470" s="457">
        <f t="shared" ref="AF470:AF476" si="105">+SUMIF($C:$C,$V470,L:L)</f>
        <v>106078.85</v>
      </c>
      <c r="AG470" s="510"/>
      <c r="AH470" s="459">
        <f t="shared" si="102"/>
        <v>12791.937968250946</v>
      </c>
      <c r="AI470" s="479">
        <f>IF(Z470=0,0,AH470/Z470)</f>
        <v>0.13712468008263975</v>
      </c>
      <c r="AJ470" s="511"/>
      <c r="AK470" s="496"/>
      <c r="AL470" s="512">
        <f t="shared" ref="AL470:AL479" si="106">+SUMIF($C:$C,$V470,Q:Q)</f>
        <v>39086.080000000002</v>
      </c>
      <c r="AM470" s="508"/>
      <c r="AN470" s="459">
        <f t="shared" si="103"/>
        <v>66992.77</v>
      </c>
      <c r="AO470" s="466">
        <f t="shared" si="101"/>
        <v>1.7139802712372283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695</v>
      </c>
      <c r="AG471" s="510"/>
      <c r="AH471" s="459">
        <f t="shared" si="102"/>
        <v>695</v>
      </c>
      <c r="AI471" s="479" t="e">
        <f t="shared" ref="AI471:AI480" si="107">IF(AH471=0,0,AH471/Z471)</f>
        <v>#DIV/0!</v>
      </c>
      <c r="AJ471" s="511"/>
      <c r="AK471" s="496"/>
      <c r="AL471" s="512">
        <f t="shared" si="106"/>
        <v>0</v>
      </c>
      <c r="AM471" s="508"/>
      <c r="AN471" s="459">
        <f t="shared" si="103"/>
        <v>695</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51787.592249999994</v>
      </c>
      <c r="AA480" s="496"/>
      <c r="AB480" s="497"/>
      <c r="AC480" s="457"/>
      <c r="AD480" s="513">
        <f>AF480/499</f>
        <v>85.102204408817641</v>
      </c>
      <c r="AE480" s="496">
        <f>(AF480/399)/(J13+J15+J97)</f>
        <v>1.1086570593149541</v>
      </c>
      <c r="AF480" s="457">
        <f>+SUMIF($C:$C,$V480,L:L)</f>
        <v>42466</v>
      </c>
      <c r="AG480" s="510"/>
      <c r="AH480" s="459">
        <f t="shared" si="102"/>
        <v>-9321.5922499999942</v>
      </c>
      <c r="AI480" s="479">
        <f t="shared" si="107"/>
        <v>-0.17999663326691917</v>
      </c>
      <c r="AJ480" s="511"/>
      <c r="AK480" s="496"/>
      <c r="AL480" s="512">
        <f>+INDEX('Réel 2023'!$A$2:$AO$501,MATCH($A480,'Réel 2023'!$A$2:$A$501,0),MATCH(F$2,'Réel 2023'!$A$2:$AO$2,0))</f>
        <v>20244</v>
      </c>
      <c r="AM480" s="508"/>
      <c r="AN480" s="459">
        <f t="shared" si="103"/>
        <v>22222</v>
      </c>
      <c r="AO480" s="466">
        <f t="shared" si="101"/>
        <v>1.0977079628531912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0.15181166240401553</v>
      </c>
      <c r="Y481" s="493"/>
      <c r="Z481" s="474">
        <f>SUM(Z469:Z480)</f>
        <v>145074.50428174905</v>
      </c>
      <c r="AA481" s="473"/>
      <c r="AB481" s="493"/>
      <c r="AC481" s="474"/>
      <c r="AD481" s="473">
        <f>AF481/+AF407</f>
        <v>0.25972153149412458</v>
      </c>
      <c r="AE481" s="493"/>
      <c r="AF481" s="474">
        <f>SUM(AF469:AF480)</f>
        <v>188527.86000000002</v>
      </c>
      <c r="AG481" s="481"/>
      <c r="AH481" s="477">
        <f t="shared" si="102"/>
        <v>43453.355718250968</v>
      </c>
      <c r="AI481" s="473">
        <f>AH481/Z481</f>
        <v>0.29952441287588516</v>
      </c>
      <c r="AJ481" s="514"/>
      <c r="AK481" s="515"/>
      <c r="AL481" s="474">
        <f>SUM(AL469:AL480)</f>
        <v>189746.3</v>
      </c>
      <c r="AM481" s="516"/>
      <c r="AN481" s="477">
        <f t="shared" si="103"/>
        <v>-1218.4399999999732</v>
      </c>
      <c r="AO481" s="495">
        <f t="shared" si="101"/>
        <v>-6.4214163859847243E-3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5.6535903320137151E-2</v>
      </c>
      <c r="Z483" s="534">
        <f>Z407-Z468+Z481</f>
        <v>366129.58811093809</v>
      </c>
      <c r="AA483" s="532"/>
      <c r="AB483" s="533"/>
      <c r="AC483" s="534"/>
      <c r="AD483" s="532" t="s">
        <v>219</v>
      </c>
      <c r="AE483" s="533">
        <f>AF483/AF406</f>
        <v>4.0254102204977063E-2</v>
      </c>
      <c r="AF483" s="535">
        <f>AF407-AF468+AF481</f>
        <v>237063.84</v>
      </c>
      <c r="AG483" s="536"/>
      <c r="AH483" s="536">
        <f>AF483-Z483</f>
        <v>-129065.74811093809</v>
      </c>
      <c r="AI483" s="537">
        <f>AH483/Z483</f>
        <v>-0.35251384291790938</v>
      </c>
      <c r="AJ483" s="538" t="s">
        <v>219</v>
      </c>
      <c r="AK483" s="533">
        <f>IF($AL$406=0,0,AL483/$AL$406)</f>
        <v>5.8078109455533052E-2</v>
      </c>
      <c r="AL483" s="535">
        <f>AL407-AL468+AL481</f>
        <v>184613.6699999994</v>
      </c>
      <c r="AM483" s="539"/>
      <c r="AN483" s="535">
        <f t="shared" si="103"/>
        <v>52450.170000000595</v>
      </c>
      <c r="AO483" s="540">
        <f t="shared" si="101"/>
        <v>0.28410772615051078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3" t="str">
        <f>C1</f>
        <v>Volks</v>
      </c>
      <c r="W485" s="983"/>
      <c r="X485" s="983"/>
      <c r="Y485" s="983"/>
      <c r="Z485" s="983"/>
      <c r="AA485" s="983"/>
      <c r="AB485" s="983"/>
      <c r="AC485" s="983"/>
      <c r="AD485" s="983"/>
      <c r="AE485" s="984" t="s">
        <v>220</v>
      </c>
      <c r="AF485" s="983"/>
      <c r="AG485" s="983"/>
      <c r="AH485" s="983"/>
      <c r="AI485" s="983"/>
      <c r="AJ485" s="985"/>
      <c r="AK485" s="986"/>
      <c r="AL485" s="983"/>
      <c r="AM485" s="983"/>
      <c r="AN485" s="983"/>
      <c r="AO485" s="987" t="str">
        <f>$S$1</f>
        <v>Réalisé, Avril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3" customHeigh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5.6535903320137151E-2</v>
      </c>
      <c r="Z489" s="534">
        <f>Z483</f>
        <v>366129.58811093809</v>
      </c>
      <c r="AA489" s="532"/>
      <c r="AB489" s="533"/>
      <c r="AC489" s="534"/>
      <c r="AD489" s="532" t="s">
        <v>219</v>
      </c>
      <c r="AE489" s="533">
        <f>AF489/AF406</f>
        <v>4.0254102204977063E-2</v>
      </c>
      <c r="AF489" s="534">
        <f>AF483</f>
        <v>237063.84</v>
      </c>
      <c r="AG489" s="535"/>
      <c r="AH489" s="536">
        <f>AF489-Z489</f>
        <v>-129065.74811093809</v>
      </c>
      <c r="AI489" s="537">
        <f>AH489/Z489</f>
        <v>-0.35251384291790938</v>
      </c>
      <c r="AJ489" s="532" t="s">
        <v>219</v>
      </c>
      <c r="AK489" s="533">
        <f>IF($AL$406=0,0,AL489/$AL$406)</f>
        <v>5.8078109455533052E-2</v>
      </c>
      <c r="AL489" s="543">
        <f>AL483</f>
        <v>184613.6699999994</v>
      </c>
      <c r="AM489" s="544"/>
      <c r="AN489" s="545">
        <f>AF489-AL489</f>
        <v>52450.170000000595</v>
      </c>
      <c r="AO489" s="546">
        <f>IF(AL489=0,0,AN489/AL489)</f>
        <v>0.28410772615051078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6315</v>
      </c>
      <c r="AA491" s="456"/>
      <c r="AB491" s="464"/>
      <c r="AC491" s="457"/>
      <c r="AD491" s="456"/>
      <c r="AE491" s="464"/>
      <c r="AF491" s="457">
        <f>SUMIFS(BV_Data_An_Cour!$O:$O,BV_Data_An_Cour!$V:$V,$V491)</f>
        <v>6315</v>
      </c>
      <c r="AG491" s="456"/>
      <c r="AH491" s="459">
        <f t="shared" ref="AH491:AH498" si="108">AF491-Z491</f>
        <v>0</v>
      </c>
      <c r="AI491" s="479">
        <f t="shared" ref="AI491:AI497" si="109">IF(Z491=0,0,AH491/Z491)</f>
        <v>0</v>
      </c>
      <c r="AJ491" s="456"/>
      <c r="AK491" s="456"/>
      <c r="AL491" s="457">
        <f>+INDEX('Réel 2023'!$A$2:$AO$501,MATCH($A491,'Réel 2023'!$A$2:$A$501,0),MATCH(F$2,'Réel 2023'!$A$2:$AO$2,0))</f>
        <v>4314.5</v>
      </c>
      <c r="AM491" s="461"/>
      <c r="AN491" s="459">
        <f t="shared" ref="AN491:AN498" si="110">AF491-AL491</f>
        <v>2000.5</v>
      </c>
      <c r="AO491" s="466">
        <f t="shared" ref="AO491:AO498" si="111">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08"/>
        <v>0</v>
      </c>
      <c r="AI492" s="479">
        <f t="shared" si="109"/>
        <v>0</v>
      </c>
      <c r="AJ492" s="38"/>
      <c r="AK492" s="38"/>
      <c r="AL492" s="457">
        <f>+INDEX('Réel 2023'!$A$2:$AO$501,MATCH($A492,'Réel 2023'!$A$2:$A$501,0),MATCH(F$2,'Réel 2023'!$A$2:$AO$2,0))</f>
        <v>0</v>
      </c>
      <c r="AM492" s="551"/>
      <c r="AN492" s="459">
        <f t="shared" si="110"/>
        <v>0</v>
      </c>
      <c r="AO492" s="466">
        <f t="shared" si="111"/>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-917.02</v>
      </c>
      <c r="AG493" s="38"/>
      <c r="AH493" s="459">
        <f t="shared" si="108"/>
        <v>-917.02</v>
      </c>
      <c r="AI493" s="479">
        <f t="shared" si="109"/>
        <v>0</v>
      </c>
      <c r="AJ493" s="38"/>
      <c r="AK493" s="38"/>
      <c r="AL493" s="457">
        <f>+INDEX('Réel 2023'!$A$2:$AO$501,MATCH($A493,'Réel 2023'!$A$2:$A$501,0),MATCH(F$2,'Réel 2023'!$A$2:$AO$2,0))</f>
        <v>0</v>
      </c>
      <c r="AM493" s="551"/>
      <c r="AN493" s="459">
        <f t="shared" si="110"/>
        <v>-917.02</v>
      </c>
      <c r="AO493" s="466">
        <f t="shared" si="111"/>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08"/>
        <v>0</v>
      </c>
      <c r="AI494" s="479">
        <f t="shared" si="109"/>
        <v>0</v>
      </c>
      <c r="AJ494" s="38"/>
      <c r="AK494" s="38"/>
      <c r="AL494" s="457">
        <f>+INDEX('Réel 2023'!$A$2:$AO$501,MATCH($A494,'Réel 2023'!$A$2:$A$501,0),MATCH(F$2,'Réel 2023'!$A$2:$AO$2,0))</f>
        <v>0</v>
      </c>
      <c r="AM494" s="551"/>
      <c r="AN494" s="459">
        <f t="shared" si="110"/>
        <v>0</v>
      </c>
      <c r="AO494" s="466">
        <f t="shared" si="111"/>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08"/>
        <v>0</v>
      </c>
      <c r="AI495" s="460">
        <f t="shared" si="109"/>
        <v>0</v>
      </c>
      <c r="AJ495" s="465"/>
      <c r="AK495" s="456"/>
      <c r="AL495" s="457">
        <f>+INDEX('Réel 2023'!$A$2:$AO$501,MATCH($A495,'Réel 2023'!$A$2:$A$501,0),MATCH(F$2,'Réel 2023'!$A$2:$AO$2,0))</f>
        <v>0</v>
      </c>
      <c r="AM495" s="551"/>
      <c r="AN495" s="459">
        <f t="shared" si="110"/>
        <v>0</v>
      </c>
      <c r="AO495" s="466">
        <f t="shared" si="111"/>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
        <v>3869</v>
      </c>
      <c r="B496" s="3"/>
      <c r="C496" s="433" t="s">
        <v>598</v>
      </c>
      <c r="D496" s="38"/>
      <c r="E496" s="38"/>
      <c r="F496" s="94"/>
      <c r="G496" s="38"/>
      <c r="H496" s="38"/>
      <c r="I496" s="94"/>
      <c r="J496" s="38"/>
      <c r="K496" s="38"/>
      <c r="L496" s="38"/>
      <c r="M496" s="94"/>
      <c r="N496" s="38"/>
      <c r="O496" s="38"/>
      <c r="P496" s="38"/>
      <c r="Q496" s="94"/>
      <c r="R496" s="94"/>
      <c r="S496" s="94"/>
      <c r="T496" s="38"/>
      <c r="U496" s="38"/>
      <c r="V496" s="312" t="s">
        <v>3869</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-4354.1000000000004</v>
      </c>
      <c r="AG496" s="458"/>
      <c r="AH496" s="459">
        <f t="shared" si="108"/>
        <v>312.56666666666661</v>
      </c>
      <c r="AI496" s="460">
        <f t="shared" si="109"/>
        <v>-6.6978571428571415E-2</v>
      </c>
      <c r="AJ496" s="465"/>
      <c r="AK496" s="456"/>
      <c r="AL496" s="457">
        <f>+INDEX('Réel 2023'!$A$2:$AO$501,MATCH($A496,'Réel 2023'!$A$2:$A$501,0),MATCH(F$2,'Réel 2023'!$A$2:$AO$2,0))</f>
        <v>0</v>
      </c>
      <c r="AM496" s="551"/>
      <c r="AN496" s="459">
        <f t="shared" si="110"/>
        <v>-4354.1000000000004</v>
      </c>
      <c r="AO496" s="466">
        <f t="shared" si="111"/>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08"/>
        <v>0</v>
      </c>
      <c r="AI497" s="460">
        <f t="shared" si="109"/>
        <v>0</v>
      </c>
      <c r="AJ497" s="465"/>
      <c r="AK497" s="456"/>
      <c r="AL497" s="457">
        <f>+INDEX('Réel 2023'!$A$2:$AO$501,MATCH($A497,'Réel 2023'!$A$2:$A$501,0),MATCH(F$2,'Réel 2023'!$A$2:$AO$2,0))</f>
        <v>0</v>
      </c>
      <c r="AM497" s="551"/>
      <c r="AN497" s="459">
        <f t="shared" si="110"/>
        <v>0</v>
      </c>
      <c r="AO497" s="466">
        <f t="shared" si="111"/>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5.6281375915090456E-2</v>
      </c>
      <c r="Z498" s="534">
        <f>Z489-Z491-Z492-Z493-Z497-Z496</f>
        <v>364481.25477760477</v>
      </c>
      <c r="AA498" s="532"/>
      <c r="AB498" s="533"/>
      <c r="AC498" s="534"/>
      <c r="AD498" s="532" t="s">
        <v>219</v>
      </c>
      <c r="AE498" s="533">
        <f>AF498/AF406</f>
        <v>4.007684846518389E-2</v>
      </c>
      <c r="AF498" s="535">
        <f>AF489-AF491-AF492-AF493-AF497-AF496</f>
        <v>236019.96</v>
      </c>
      <c r="AG498" s="536"/>
      <c r="AH498" s="536">
        <f t="shared" si="108"/>
        <v>-128461.29477760478</v>
      </c>
      <c r="AI498" s="537">
        <f>AH498/Z498</f>
        <v>-0.35244966124797805</v>
      </c>
      <c r="AJ498" s="538" t="s">
        <v>219</v>
      </c>
      <c r="AK498" s="533">
        <f>IF($AL$406=0,0,AL498/$AL$406)</f>
        <v>5.672079933193333E-2</v>
      </c>
      <c r="AL498" s="535">
        <f>AL489-AL491-AL492-AL493-AL497-AL496</f>
        <v>180299.1699999994</v>
      </c>
      <c r="AM498" s="539"/>
      <c r="AN498" s="535">
        <f t="shared" si="110"/>
        <v>55720.79000000059</v>
      </c>
      <c r="AO498" s="553">
        <f t="shared" si="111"/>
        <v>0.3090462923373456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
        <v>599</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3320</v>
      </c>
      <c r="AF500" s="964">
        <v>160386</v>
      </c>
      <c r="AG500" s="38"/>
      <c r="AH500" s="38"/>
      <c r="AI500" s="38"/>
      <c r="AJ500" s="556"/>
      <c r="AK500" s="1010"/>
      <c r="AL500" s="96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7"/>
      <c r="AG501" s="38"/>
      <c r="AH501" s="38"/>
      <c r="AI501" s="38"/>
      <c r="AJ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7"/>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7"/>
      <c r="AG503" s="38"/>
      <c r="AH503" s="38"/>
      <c r="AI503" s="38"/>
      <c r="AJ503" s="1009"/>
      <c r="AK503" s="1010"/>
      <c r="AL503" s="96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7"/>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7"/>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7"/>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7"/>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7"/>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28" sqref="J28"/>
    </sheetView>
  </sheetViews>
  <sheetFormatPr defaultColWidth="11" defaultRowHeight="13.8"/>
  <cols>
    <col min="1" max="1" width="2.5" style="1173" customWidth="1"/>
    <col min="2" max="2" width="11" style="1178"/>
    <col min="3" max="3" width="22.09765625" style="1179" bestFit="1" customWidth="1"/>
    <col min="4" max="4" width="11.59765625" style="1179" customWidth="1"/>
    <col min="5" max="5" width="16" style="1179" customWidth="1"/>
    <col min="6" max="6" width="18.09765625" style="1179" bestFit="1" customWidth="1"/>
    <col min="7" max="7" width="10.8984375" style="1180" bestFit="1" customWidth="1"/>
    <col min="8" max="8" width="12.09765625" style="1179" customWidth="1"/>
    <col min="9" max="9" width="16.8984375" style="1179" customWidth="1"/>
    <col min="10" max="10" width="25.5" style="1181" customWidth="1"/>
    <col min="11" max="16384" width="11" style="1173"/>
  </cols>
  <sheetData>
    <row r="1" spans="2:10" ht="21">
      <c r="B1" s="1217" t="s">
        <v>3928</v>
      </c>
      <c r="C1" s="1218"/>
      <c r="D1" s="1218"/>
      <c r="E1" s="1218"/>
      <c r="F1" s="1218"/>
      <c r="G1" s="1218"/>
      <c r="H1" s="1218"/>
      <c r="I1" s="1218"/>
      <c r="J1" s="1219"/>
    </row>
    <row r="2" spans="2:10" ht="14.4">
      <c r="B2" s="1174" t="s">
        <v>3929</v>
      </c>
      <c r="C2" s="1175" t="s">
        <v>257</v>
      </c>
      <c r="D2" s="1175" t="s">
        <v>9</v>
      </c>
      <c r="E2" s="1175" t="s">
        <v>253</v>
      </c>
      <c r="F2" s="1175" t="s">
        <v>254</v>
      </c>
      <c r="G2" s="1176" t="s">
        <v>3930</v>
      </c>
      <c r="H2" s="1175" t="s">
        <v>3931</v>
      </c>
      <c r="I2" s="1175" t="s">
        <v>3932</v>
      </c>
      <c r="J2" s="1177" t="s">
        <v>3933</v>
      </c>
    </row>
    <row r="3" spans="2:10">
      <c r="B3" s="1178">
        <v>240253</v>
      </c>
      <c r="C3" s="1194" t="s">
        <v>3734</v>
      </c>
      <c r="D3" s="1179">
        <v>2024</v>
      </c>
      <c r="E3" s="1194" t="s">
        <v>267</v>
      </c>
      <c r="F3" s="1194" t="s">
        <v>260</v>
      </c>
      <c r="G3" s="1180">
        <v>44703</v>
      </c>
      <c r="H3" s="1194" t="s">
        <v>3953</v>
      </c>
      <c r="I3" s="1194" t="s">
        <v>3952</v>
      </c>
      <c r="J3" s="1195" t="s">
        <v>3947</v>
      </c>
    </row>
    <row r="4" spans="2:10">
      <c r="B4" s="1178">
        <v>240268</v>
      </c>
      <c r="C4" s="1196" t="s">
        <v>3744</v>
      </c>
      <c r="D4" s="1179">
        <v>2024</v>
      </c>
      <c r="E4" s="1194" t="s">
        <v>267</v>
      </c>
      <c r="F4" s="1196" t="s">
        <v>260</v>
      </c>
      <c r="G4" s="1180">
        <v>44786</v>
      </c>
      <c r="H4" s="1194" t="s">
        <v>3951</v>
      </c>
      <c r="I4" s="1194" t="s">
        <v>3940</v>
      </c>
      <c r="J4" s="1195" t="s">
        <v>3947</v>
      </c>
    </row>
    <row r="5" spans="2:10">
      <c r="B5" s="1178">
        <v>240418</v>
      </c>
      <c r="C5" s="1194" t="s">
        <v>3954</v>
      </c>
      <c r="D5" s="1179">
        <v>2024</v>
      </c>
      <c r="E5" s="1194" t="s">
        <v>267</v>
      </c>
      <c r="F5" s="1194" t="s">
        <v>262</v>
      </c>
      <c r="G5" s="1180">
        <v>57745</v>
      </c>
      <c r="H5" s="1194" t="s">
        <v>3944</v>
      </c>
      <c r="I5" s="1194" t="s">
        <v>3941</v>
      </c>
      <c r="J5" s="1195" t="s">
        <v>3950</v>
      </c>
    </row>
    <row r="6" spans="2:10">
      <c r="B6" s="1178">
        <v>240052</v>
      </c>
      <c r="C6" s="1194" t="s">
        <v>3498</v>
      </c>
      <c r="D6" s="1179">
        <v>2024</v>
      </c>
      <c r="E6" s="1194" t="s">
        <v>267</v>
      </c>
      <c r="F6" s="1194" t="s">
        <v>3462</v>
      </c>
      <c r="G6" s="1180">
        <v>55473</v>
      </c>
      <c r="H6" s="1194" t="s">
        <v>3943</v>
      </c>
      <c r="I6" s="1194" t="s">
        <v>3942</v>
      </c>
      <c r="J6" s="1195" t="s">
        <v>3948</v>
      </c>
    </row>
    <row r="7" spans="2:10">
      <c r="B7" s="1178">
        <v>240042</v>
      </c>
      <c r="C7" s="1196" t="s">
        <v>3494</v>
      </c>
      <c r="D7" s="1179">
        <v>2024</v>
      </c>
      <c r="E7" s="1194" t="s">
        <v>267</v>
      </c>
      <c r="F7" s="1194" t="s">
        <v>3462</v>
      </c>
      <c r="G7" s="1180">
        <v>57912.25</v>
      </c>
      <c r="H7" s="1194" t="s">
        <v>3945</v>
      </c>
      <c r="I7" s="1194" t="s">
        <v>3946</v>
      </c>
      <c r="J7" s="1195" t="s">
        <v>3949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workbookViewId="0">
      <selection activeCell="S13" sqref="S13"/>
    </sheetView>
  </sheetViews>
  <sheetFormatPr defaultColWidth="11" defaultRowHeight="13.8"/>
  <cols>
    <col min="1" max="1" width="4.69921875" style="1084" customWidth="1"/>
    <col min="2" max="2" width="5.5" style="1084" customWidth="1"/>
    <col min="3" max="3" width="20" style="1084" customWidth="1"/>
    <col min="4" max="4" width="1.69921875" style="1084" customWidth="1"/>
    <col min="5" max="7" width="11.09765625" style="1087" customWidth="1"/>
    <col min="8" max="8" width="8" style="1087" customWidth="1"/>
    <col min="9" max="9" width="1.69921875" style="1087" customWidth="1"/>
    <col min="10" max="12" width="11.09765625" style="1087" customWidth="1"/>
    <col min="13" max="13" width="8" style="1087" customWidth="1"/>
    <col min="14" max="14" width="11" style="1084"/>
    <col min="15" max="15" width="10" style="1084" customWidth="1"/>
    <col min="16" max="16" width="11" style="1084"/>
    <col min="17" max="17" width="6.3984375" style="1084" customWidth="1"/>
    <col min="18" max="16384" width="11" style="1084"/>
  </cols>
  <sheetData>
    <row r="1" spans="1:17" ht="30.75" customHeight="1">
      <c r="C1" s="1222" t="str">
        <f>"Analyse Wholesale "&amp;Parametres!B1</f>
        <v>Analyse Wholesale Volks</v>
      </c>
      <c r="D1" s="1222"/>
      <c r="E1" s="1222"/>
      <c r="F1" s="1222"/>
      <c r="G1" s="1222"/>
      <c r="H1" s="1222"/>
      <c r="I1" s="1222"/>
      <c r="J1" s="1222"/>
      <c r="K1" s="1222"/>
      <c r="L1" s="1085"/>
      <c r="M1" s="1085"/>
      <c r="N1" s="1086"/>
      <c r="O1" s="1086"/>
      <c r="P1" s="1086"/>
      <c r="Q1" s="1086"/>
    </row>
    <row r="2" spans="1:17" ht="14.25" hidden="1" customHeight="1">
      <c r="D2" s="1084" t="s">
        <v>303</v>
      </c>
      <c r="F2" s="1087" t="s">
        <v>338</v>
      </c>
      <c r="G2" s="1087" t="s">
        <v>340</v>
      </c>
      <c r="L2" s="1087" t="s">
        <v>303</v>
      </c>
      <c r="N2" s="1084" t="s">
        <v>338</v>
      </c>
      <c r="O2" s="1084" t="s">
        <v>340</v>
      </c>
    </row>
    <row r="4" spans="1:17" ht="15" customHeight="1">
      <c r="A4" s="1088"/>
      <c r="B4" s="1088"/>
      <c r="E4" s="1223" t="str">
        <f>CONCATENATE("Pièces Wholesale ",Parametres!B3," ",Parametres!B4)</f>
        <v>Pièces Wholesale Avril 2024</v>
      </c>
      <c r="F4" s="1224"/>
      <c r="G4" s="1224"/>
      <c r="H4" s="1225"/>
      <c r="J4" s="1226" t="str">
        <f>CONCATENATE("Pièces Wholesale AAD ",Parametres!B4)</f>
        <v>Pièces Wholesale AAD 2024</v>
      </c>
      <c r="K4" s="1227"/>
      <c r="L4" s="1227"/>
      <c r="M4" s="1228"/>
    </row>
    <row r="5" spans="1:17">
      <c r="A5" s="1088"/>
      <c r="B5" s="1088"/>
      <c r="C5" s="1091"/>
      <c r="D5" s="1092"/>
      <c r="E5" s="1089" t="s">
        <v>656</v>
      </c>
      <c r="F5" s="1090" t="s">
        <v>3874</v>
      </c>
      <c r="G5" s="1089" t="s">
        <v>3875</v>
      </c>
      <c r="H5" s="1090" t="s">
        <v>3876</v>
      </c>
      <c r="J5" s="1089" t="s">
        <v>656</v>
      </c>
      <c r="K5" s="1090" t="s">
        <v>3874</v>
      </c>
      <c r="L5" s="1089" t="s">
        <v>3875</v>
      </c>
      <c r="M5" s="1090" t="s">
        <v>3876</v>
      </c>
    </row>
    <row r="6" spans="1:17">
      <c r="A6" s="1088"/>
      <c r="B6" s="1088"/>
      <c r="C6" s="1093" t="s">
        <v>3877</v>
      </c>
      <c r="D6" s="1094"/>
      <c r="E6" s="1095">
        <f>SUMIF(A37:A48,"X",E37:E48)</f>
        <v>469</v>
      </c>
      <c r="F6" s="1096">
        <f>SUMIF(A37:A48,"X",F37:F48)</f>
        <v>365.36471094335428</v>
      </c>
      <c r="G6" s="1095">
        <f>E6-F6</f>
        <v>103.63528905664572</v>
      </c>
      <c r="H6" s="1097">
        <f>G6/F6</f>
        <v>0.28364887454254772</v>
      </c>
      <c r="J6" s="1095">
        <f>SUMIF($B$37:$B$48,"X",$E$37:$E$48)</f>
        <v>1864</v>
      </c>
      <c r="K6" s="1096">
        <f>SUMIF($B$37:$B$48,"X",$F$37:$F$48)</f>
        <v>1514.9105320411807</v>
      </c>
      <c r="L6" s="1095">
        <f>J6-K6</f>
        <v>349.08946795881934</v>
      </c>
      <c r="M6" s="1097">
        <f>L6/K6</f>
        <v>0.23043569938645714</v>
      </c>
    </row>
    <row r="7" spans="1:17">
      <c r="A7" s="1098" t="str">
        <f>B7&amp;C7</f>
        <v>piècesVentes de Gros</v>
      </c>
      <c r="B7" s="1098" t="s">
        <v>3878</v>
      </c>
      <c r="C7" s="1099" t="s">
        <v>187</v>
      </c>
      <c r="D7" s="1100"/>
      <c r="E7" s="1101">
        <f>-SUMIFS(BV_Data_An_Cour!$O:$O,BV_Data_An_Cour!$X:$X,"Oui",BV_Data_An_Cour!$U:$U,$B7,BV_Data_An_Cour!$V:$V,$C7)</f>
        <v>169839.65</v>
      </c>
      <c r="F7" s="1102">
        <f>+INDEX('Budget original'!$A$2:$AO$501,MATCH($A7,'Budget original'!$A$2:$A$501,0),MATCH(F$2,'Budget original'!$A$2:$AO$2,0))</f>
        <v>114574.82119492393</v>
      </c>
      <c r="G7" s="1103">
        <f>E7-F7</f>
        <v>55264.82880507606</v>
      </c>
      <c r="H7" s="1104">
        <f>G7/F7</f>
        <v>0.48234706568780128</v>
      </c>
      <c r="J7" s="1101">
        <f>-SUMIFS(BV_Data_An_Cour!$P:$P,BV_Data_An_Cour!$X:$X,"Oui",BV_Data_An_Cour!$U:$U,$B7,BV_Data_An_Cour!$V:$V,$C7)</f>
        <v>604610.61</v>
      </c>
      <c r="K7" s="1102" cm="1">
        <f t="array" ref="K7">+SUMPRODUCT(('Budget original'!$A$8:$A$501=$A7)*('Budget original'!$C$3:$AO$3=N$2),'Budget original'!$C$8:$AO$501)</f>
        <v>475061.2145512749</v>
      </c>
      <c r="L7" s="1103">
        <f t="shared" ref="L7:L10" si="0">J7-K7</f>
        <v>129549.39544872509</v>
      </c>
      <c r="M7" s="1104">
        <f>L7/K7</f>
        <v>0.27270042571480524</v>
      </c>
    </row>
    <row r="8" spans="1:17">
      <c r="A8" s="1098"/>
      <c r="B8" s="1098"/>
      <c r="C8" s="1105" t="s">
        <v>3879</v>
      </c>
      <c r="D8" s="1100"/>
      <c r="E8" s="1106">
        <f>E7-E9</f>
        <v>141859.39000000001</v>
      </c>
      <c r="F8" s="1107">
        <f>F7-F9</f>
        <v>94782.242382089404</v>
      </c>
      <c r="G8" s="1101">
        <f t="shared" ref="G8:G15" si="1">E8-F8</f>
        <v>47077.14761791061</v>
      </c>
      <c r="H8" s="1108">
        <f t="shared" ref="H8:H9" si="2">G8/F8</f>
        <v>0.49668742197648807</v>
      </c>
      <c r="J8" s="1106">
        <f>J7-J9</f>
        <v>499164.38</v>
      </c>
      <c r="K8" s="1107">
        <f>K7-K9</f>
        <v>391162.90734175732</v>
      </c>
      <c r="L8" s="1101">
        <f t="shared" si="0"/>
        <v>108001.47265824268</v>
      </c>
      <c r="M8" s="1108">
        <f t="shared" ref="M8:M9" si="3">L8/K8</f>
        <v>0.27610356358222449</v>
      </c>
    </row>
    <row r="9" spans="1:17">
      <c r="C9" s="1109" t="s">
        <v>202</v>
      </c>
      <c r="D9" s="1100"/>
      <c r="E9" s="1110">
        <f>E12+E11</f>
        <v>27980.25999999998</v>
      </c>
      <c r="F9" s="1111">
        <f>F12+F11</f>
        <v>19792.578812834534</v>
      </c>
      <c r="G9" s="1110">
        <f t="shared" si="1"/>
        <v>8187.6811871654463</v>
      </c>
      <c r="H9" s="1108">
        <f t="shared" si="2"/>
        <v>0.41367430007938782</v>
      </c>
      <c r="J9" s="1110">
        <f>J12+J11</f>
        <v>105446.22999999998</v>
      </c>
      <c r="K9" s="1111">
        <f>K12+K11</f>
        <v>83898.307209517603</v>
      </c>
      <c r="L9" s="1110">
        <f t="shared" si="0"/>
        <v>21547.922790482378</v>
      </c>
      <c r="M9" s="1108">
        <f t="shared" si="3"/>
        <v>0.25683382069522775</v>
      </c>
    </row>
    <row r="10" spans="1:17">
      <c r="A10" s="1098"/>
      <c r="B10" s="1098"/>
      <c r="C10" s="1105" t="s">
        <v>3880</v>
      </c>
      <c r="D10" s="1100"/>
      <c r="E10" s="1112">
        <f>E9/E7</f>
        <v>0.1647451581535877</v>
      </c>
      <c r="F10" s="1113">
        <f>F9/F7</f>
        <v>0.172748066341398</v>
      </c>
      <c r="G10" s="1112">
        <f t="shared" si="1"/>
        <v>-8.0029081878102981E-3</v>
      </c>
      <c r="H10" s="1108"/>
      <c r="J10" s="1112">
        <f>J9/J7</f>
        <v>0.174403538833035</v>
      </c>
      <c r="K10" s="1113">
        <f>K9/K7</f>
        <v>0.17660525557483117</v>
      </c>
      <c r="L10" s="1112">
        <f t="shared" si="0"/>
        <v>-2.2017167417961725E-3</v>
      </c>
      <c r="M10" s="1108"/>
    </row>
    <row r="11" spans="1:17">
      <c r="A11" s="1098"/>
      <c r="B11" s="1098"/>
      <c r="C11" s="1114" t="s">
        <v>3881</v>
      </c>
      <c r="D11" s="1100"/>
      <c r="E11" s="1103">
        <f>SUMIFS(BV_Data_An_Cour!$O:$O,BV_Data_An_Cour!$W:$W,$D$2,BV_Data_An_Cour!L:L,C31)</f>
        <v>4602.76</v>
      </c>
      <c r="F11" s="1115">
        <f>SUMIF($A$37:$A$48,"X",$G$37:$G$48)</f>
        <v>3179.2297395705646</v>
      </c>
      <c r="G11" s="1103">
        <f t="shared" si="1"/>
        <v>1423.5302604294357</v>
      </c>
      <c r="H11" s="1104">
        <f t="shared" ref="H11:H12" si="4">G11/F11</f>
        <v>0.44775948171072388</v>
      </c>
      <c r="J11" s="1103">
        <f>SUMIFS(BV_Data_An_Cour!$P:$P,BV_Data_An_Cour!$W:$W,$L$2,BV_Data_An_Cour!T:T,C31)</f>
        <v>18277.86</v>
      </c>
      <c r="K11" s="1115">
        <f>SUMIF($B$37:$B$48,"X",$G$37:$G$48)</f>
        <v>15014.431099582755</v>
      </c>
      <c r="L11" s="1103">
        <f>J11-K11</f>
        <v>3263.428900417246</v>
      </c>
      <c r="M11" s="1104">
        <f t="shared" ref="M11:M12" si="5">L11/K11</f>
        <v>0.21735281735103074</v>
      </c>
    </row>
    <row r="12" spans="1:17">
      <c r="A12" s="1116" t="s">
        <v>187</v>
      </c>
      <c r="B12" s="1098" t="s">
        <v>3878</v>
      </c>
      <c r="C12" s="1109" t="s">
        <v>3882</v>
      </c>
      <c r="D12" s="1100"/>
      <c r="E12" s="1110">
        <f>-SUMIFS(BV_Data_An_Cour!$O:$O,BV_Data_An_Cour!$U:$U,$B12,BV_Data_An_Cour!$V:$V,$A12,BV_Data_An_Cour!$W:$W,$D$2)</f>
        <v>23377.499999999978</v>
      </c>
      <c r="F12" s="1111">
        <f>+INDEX('Budget original'!$A$2:$AO$501,MATCH(B12&amp;$A12,'Budget original'!$A$2:$A$501,0),MATCH(G$2,'Budget original'!$A$2:$AO$2,0))</f>
        <v>16613.349073263969</v>
      </c>
      <c r="G12" s="1110">
        <f t="shared" si="1"/>
        <v>6764.1509267360088</v>
      </c>
      <c r="H12" s="1108">
        <f t="shared" si="4"/>
        <v>0.40715155607135378</v>
      </c>
      <c r="J12" s="1110">
        <f>-SUMIFS(BV_Data_An_Cour!$P:$P,BV_Data_An_Cour!$U:$U,$B12,BV_Data_An_Cour!$V:$V,$A12,BV_Data_An_Cour!$W:$W,$D$2)</f>
        <v>87168.369999999981</v>
      </c>
      <c r="K12" s="1111" cm="1">
        <f t="array" ref="K12">+SUMPRODUCT(('Budget original'!$A$8:$A$501=B12&amp;$A12)*('Budget original'!$C$3:$AO$3=O$2),'Budget original'!$C$8:$AO$501)</f>
        <v>68883.876109934849</v>
      </c>
      <c r="L12" s="1110">
        <f t="shared" ref="L12:L16" si="6">J12-K12</f>
        <v>18284.493890065132</v>
      </c>
      <c r="M12" s="1108">
        <f t="shared" si="5"/>
        <v>0.26543938759898023</v>
      </c>
    </row>
    <row r="13" spans="1:17">
      <c r="A13" s="1088"/>
      <c r="B13" s="1088"/>
      <c r="C13" s="1105" t="s">
        <v>119</v>
      </c>
      <c r="D13" s="1100"/>
      <c r="E13" s="1112">
        <f>(E12)/E7</f>
        <v>0.13764453706775762</v>
      </c>
      <c r="F13" s="1113">
        <f>(F12)/F7</f>
        <v>0.14499999999999999</v>
      </c>
      <c r="G13" s="1117">
        <f t="shared" si="1"/>
        <v>-7.3554629322423737E-3</v>
      </c>
      <c r="H13" s="1118"/>
      <c r="J13" s="1112">
        <f>(J12)/J7</f>
        <v>0.14417274285014611</v>
      </c>
      <c r="K13" s="1113">
        <f>(K12)/K7</f>
        <v>0.14499999999999996</v>
      </c>
      <c r="L13" s="1117">
        <f t="shared" si="6"/>
        <v>-8.2725714985384946E-4</v>
      </c>
      <c r="M13" s="1118"/>
    </row>
    <row r="14" spans="1:17">
      <c r="A14" s="1088"/>
      <c r="B14" s="1088"/>
      <c r="C14" s="1114" t="s">
        <v>3883</v>
      </c>
      <c r="D14" s="1100"/>
      <c r="E14" s="1103">
        <f>SUMIFS(BV_Data_An_Cour!$O:$O,BV_Data_An_Cour!$W:$W,$D$2,BV_Data_An_Cour!L:L,C33)</f>
        <v>9380</v>
      </c>
      <c r="F14" s="1119">
        <f>SUMIF(A37:A48,"X",F37:F48)*$G$33</f>
        <v>9134.1177735838573</v>
      </c>
      <c r="G14" s="1101">
        <f>E14-F14</f>
        <v>245.88222641614266</v>
      </c>
      <c r="H14" s="1108">
        <f t="shared" ref="H14:H15" si="7">G14/F14</f>
        <v>2.6919099634038161E-2</v>
      </c>
      <c r="J14" s="1103">
        <f>SUMIFS(BV_Data_An_Cour!$P:$P,BV_Data_An_Cour!$W:$W,$L$2,BV_Data_An_Cour!T:T,C33)</f>
        <v>42760</v>
      </c>
      <c r="K14" s="1119">
        <f>SUMIF(B37:B48,"X",F37:F48)*$G$33</f>
        <v>37872.763301029518</v>
      </c>
      <c r="L14" s="1101">
        <f t="shared" si="6"/>
        <v>4887.2366989704824</v>
      </c>
      <c r="M14" s="1108">
        <f t="shared" ref="M14:M15" si="8">L14/K14</f>
        <v>0.1290435730850838</v>
      </c>
    </row>
    <row r="15" spans="1:17">
      <c r="C15" s="1109" t="s">
        <v>3884</v>
      </c>
      <c r="D15" s="1100"/>
      <c r="E15" s="1110">
        <f>E12-E14</f>
        <v>13997.499999999978</v>
      </c>
      <c r="F15" s="1111">
        <f t="shared" ref="F15" si="9">F12-F14</f>
        <v>7479.231299680112</v>
      </c>
      <c r="G15" s="1110">
        <f t="shared" si="1"/>
        <v>6518.2687003198662</v>
      </c>
      <c r="H15" s="1108">
        <f t="shared" si="7"/>
        <v>0.87151586027278682</v>
      </c>
      <c r="J15" s="1110">
        <f t="shared" ref="J15:K15" si="10">J12-J14</f>
        <v>44408.369999999981</v>
      </c>
      <c r="K15" s="1111">
        <f t="shared" si="10"/>
        <v>31011.112808905331</v>
      </c>
      <c r="L15" s="1110">
        <f t="shared" si="6"/>
        <v>13397.25719109465</v>
      </c>
      <c r="M15" s="1108">
        <f t="shared" si="8"/>
        <v>0.43201471916375139</v>
      </c>
    </row>
    <row r="16" spans="1:17">
      <c r="C16" s="1120" t="s">
        <v>3885</v>
      </c>
      <c r="D16" s="1121"/>
      <c r="E16" s="1117">
        <f>E15/E7</f>
        <v>8.2415972948601687E-2</v>
      </c>
      <c r="F16" s="1122">
        <f>F15/F7</f>
        <v>6.5278140709081625E-2</v>
      </c>
      <c r="G16" s="1117">
        <f>E16-F16</f>
        <v>1.7137832239520062E-2</v>
      </c>
      <c r="H16" s="1122"/>
      <c r="J16" s="1117">
        <f>J15/J7</f>
        <v>7.3449538042344276E-2</v>
      </c>
      <c r="K16" s="1122">
        <f>K15/K7</f>
        <v>6.5278140709081611E-2</v>
      </c>
      <c r="L16" s="1117">
        <f t="shared" si="6"/>
        <v>8.1713973332626644E-3</v>
      </c>
      <c r="M16" s="1123"/>
    </row>
    <row r="17" spans="3:13">
      <c r="C17" s="1124"/>
      <c r="G17" s="1125"/>
      <c r="K17" s="1125"/>
    </row>
    <row r="18" spans="3:13">
      <c r="E18" s="1223" t="str">
        <f>CONCATENATE("Pièces Wholesale $ / livraison ",Parametres!B3," ",Parametres!B4)</f>
        <v>Pièces Wholesale $ / livraison Avril 2024</v>
      </c>
      <c r="F18" s="1224"/>
      <c r="G18" s="1224"/>
      <c r="H18" s="1225"/>
      <c r="J18" s="1226" t="str">
        <f>CONCATENATE("Pièces Wholesale AAD $ / livraison ",Parametres!B4)</f>
        <v>Pièces Wholesale AAD $ / livraison 2024</v>
      </c>
      <c r="K18" s="1227"/>
      <c r="L18" s="1227"/>
      <c r="M18" s="1228"/>
    </row>
    <row r="19" spans="3:13">
      <c r="C19" s="1091"/>
      <c r="D19" s="1092"/>
      <c r="E19" s="1089" t="s">
        <v>656</v>
      </c>
      <c r="F19" s="1090" t="s">
        <v>3874</v>
      </c>
      <c r="G19" s="1089" t="s">
        <v>3875</v>
      </c>
      <c r="H19" s="1090" t="s">
        <v>3876</v>
      </c>
      <c r="J19" s="1089" t="s">
        <v>656</v>
      </c>
      <c r="K19" s="1090" t="s">
        <v>3874</v>
      </c>
      <c r="L19" s="1089" t="s">
        <v>3875</v>
      </c>
      <c r="M19" s="1090" t="s">
        <v>3876</v>
      </c>
    </row>
    <row r="20" spans="3:13">
      <c r="C20" s="1099" t="s">
        <v>187</v>
      </c>
      <c r="D20" s="1100"/>
      <c r="E20" s="1101">
        <f>E7/E$6</f>
        <v>362.1314498933902</v>
      </c>
      <c r="F20" s="1102">
        <f>F7/F$6</f>
        <v>313.59027777777771</v>
      </c>
      <c r="G20" s="1103">
        <f t="shared" ref="G20:G25" si="11">E20-F20</f>
        <v>48.541172115612483</v>
      </c>
      <c r="H20" s="1104">
        <f t="shared" ref="H20:H26" si="12">G20/F20</f>
        <v>0.15479169972868434</v>
      </c>
      <c r="J20" s="1101">
        <f>J7/J$6</f>
        <v>324.36191523605152</v>
      </c>
      <c r="K20" s="1102">
        <f>K7/K$6</f>
        <v>313.59027777777771</v>
      </c>
      <c r="L20" s="1103">
        <f t="shared" ref="L20:L25" si="13">J20-K20</f>
        <v>10.771637458273801</v>
      </c>
      <c r="M20" s="1104">
        <f t="shared" ref="M20:M26" si="14">L20/K20</f>
        <v>3.4349398631251582E-2</v>
      </c>
    </row>
    <row r="21" spans="3:13">
      <c r="C21" s="1105" t="s">
        <v>3879</v>
      </c>
      <c r="D21" s="1100"/>
      <c r="E21" s="1106">
        <f t="shared" ref="E21:F22" si="15">E8/E$6</f>
        <v>302.47204690831558</v>
      </c>
      <c r="F21" s="1107">
        <f>F8/F$6</f>
        <v>259.41816366820478</v>
      </c>
      <c r="G21" s="1101">
        <f t="shared" si="11"/>
        <v>43.053883240110792</v>
      </c>
      <c r="H21" s="1108">
        <f t="shared" si="12"/>
        <v>0.16596325650958121</v>
      </c>
      <c r="J21" s="1106">
        <f t="shared" ref="J21:K22" si="16">J8/J$6</f>
        <v>267.79204935622317</v>
      </c>
      <c r="K21" s="1107">
        <f t="shared" si="16"/>
        <v>258.208586625051</v>
      </c>
      <c r="L21" s="1101">
        <f t="shared" si="13"/>
        <v>9.5834627311721761</v>
      </c>
      <c r="M21" s="1108">
        <f t="shared" si="14"/>
        <v>3.7115197664160111E-2</v>
      </c>
    </row>
    <row r="22" spans="3:13">
      <c r="C22" s="1109" t="s">
        <v>202</v>
      </c>
      <c r="D22" s="1100"/>
      <c r="E22" s="1110">
        <f>E9/E$6</f>
        <v>59.659402985074586</v>
      </c>
      <c r="F22" s="1111">
        <f t="shared" si="15"/>
        <v>54.172114109572973</v>
      </c>
      <c r="G22" s="1110">
        <f t="shared" si="11"/>
        <v>5.487288875501612</v>
      </c>
      <c r="H22" s="1108">
        <f t="shared" si="12"/>
        <v>0.10129360771120303</v>
      </c>
      <c r="J22" s="1110">
        <f t="shared" si="16"/>
        <v>56.569865879828313</v>
      </c>
      <c r="K22" s="1111">
        <f t="shared" si="16"/>
        <v>55.381691152726731</v>
      </c>
      <c r="L22" s="1110">
        <f t="shared" si="13"/>
        <v>1.1881747271015826</v>
      </c>
      <c r="M22" s="1108">
        <f t="shared" si="14"/>
        <v>2.1454287551908435E-2</v>
      </c>
    </row>
    <row r="23" spans="3:13">
      <c r="C23" s="1114" t="s">
        <v>3881</v>
      </c>
      <c r="D23" s="1100"/>
      <c r="E23" s="1103">
        <f>E11/E$6</f>
        <v>9.8139872068230289</v>
      </c>
      <c r="F23" s="1115">
        <f>F11/F$6</f>
        <v>8.7015238317952068</v>
      </c>
      <c r="G23" s="1103">
        <f t="shared" si="11"/>
        <v>1.1124633750278221</v>
      </c>
      <c r="H23" s="1104">
        <f t="shared" si="12"/>
        <v>0.12784696066255677</v>
      </c>
      <c r="J23" s="1103">
        <f t="shared" ref="J23:K23" si="17">J11/J$6</f>
        <v>9.8057188841201715</v>
      </c>
      <c r="K23" s="1115">
        <f t="shared" si="17"/>
        <v>9.9111008749489695</v>
      </c>
      <c r="L23" s="1103">
        <f t="shared" si="13"/>
        <v>-0.10538199082879807</v>
      </c>
      <c r="M23" s="1104">
        <f t="shared" si="14"/>
        <v>-1.0632723060579349E-2</v>
      </c>
    </row>
    <row r="24" spans="3:13">
      <c r="C24" s="1109" t="s">
        <v>3882</v>
      </c>
      <c r="D24" s="1100"/>
      <c r="E24" s="1110">
        <f>E12/E$6</f>
        <v>49.845415778251549</v>
      </c>
      <c r="F24" s="1111">
        <f>F12/F$6</f>
        <v>45.470590277777767</v>
      </c>
      <c r="G24" s="1126">
        <f t="shared" si="11"/>
        <v>4.3748255004737828</v>
      </c>
      <c r="H24" s="1118">
        <f t="shared" si="12"/>
        <v>9.6212199440301363E-2</v>
      </c>
      <c r="J24" s="1110">
        <f>J12/J$6</f>
        <v>46.764146995708145</v>
      </c>
      <c r="K24" s="1111">
        <f>K12/K$6</f>
        <v>45.470590277777767</v>
      </c>
      <c r="L24" s="1126">
        <f t="shared" si="13"/>
        <v>1.2935567179303789</v>
      </c>
      <c r="M24" s="1118">
        <f t="shared" si="14"/>
        <v>2.844820597287389E-2</v>
      </c>
    </row>
    <row r="25" spans="3:13">
      <c r="C25" s="1114" t="s">
        <v>3883</v>
      </c>
      <c r="D25" s="1100"/>
      <c r="E25" s="1127">
        <f>E14/E$6</f>
        <v>20</v>
      </c>
      <c r="F25" s="1119">
        <f>F14/F$6</f>
        <v>25</v>
      </c>
      <c r="G25" s="1101">
        <f t="shared" si="11"/>
        <v>-5</v>
      </c>
      <c r="H25" s="1108">
        <f t="shared" si="12"/>
        <v>-0.2</v>
      </c>
      <c r="J25" s="1103">
        <f t="shared" ref="J25:K25" si="18">J14/J$6</f>
        <v>22.93991416309013</v>
      </c>
      <c r="K25" s="1119">
        <f t="shared" si="18"/>
        <v>25</v>
      </c>
      <c r="L25" s="1101">
        <f t="shared" si="13"/>
        <v>-2.0600858369098702</v>
      </c>
      <c r="M25" s="1108">
        <f t="shared" si="14"/>
        <v>-8.2403433476394811E-2</v>
      </c>
    </row>
    <row r="26" spans="3:13">
      <c r="C26" s="1128" t="s">
        <v>3884</v>
      </c>
      <c r="D26" s="1100"/>
      <c r="E26" s="1126">
        <f>E15/E$6</f>
        <v>29.845415778251553</v>
      </c>
      <c r="F26" s="1129">
        <f>F15/F$6</f>
        <v>20.470590277777767</v>
      </c>
      <c r="G26" s="1126">
        <f>E26-F26</f>
        <v>9.3748255004737864</v>
      </c>
      <c r="H26" s="1118">
        <f t="shared" si="12"/>
        <v>0.45796556783469033</v>
      </c>
      <c r="J26" s="1126">
        <f>J15/J$6</f>
        <v>23.824232832618016</v>
      </c>
      <c r="K26" s="1129">
        <f>K15/K$6</f>
        <v>20.470590277777763</v>
      </c>
      <c r="L26" s="1126">
        <f>J26-K26</f>
        <v>3.3536425548402526</v>
      </c>
      <c r="M26" s="1118">
        <f t="shared" si="14"/>
        <v>0.16382734983860542</v>
      </c>
    </row>
    <row r="27" spans="3:13">
      <c r="C27" s="1124"/>
      <c r="G27" s="1125"/>
      <c r="K27" s="1125"/>
    </row>
    <row r="29" spans="3:13">
      <c r="C29" s="1130" t="s">
        <v>3886</v>
      </c>
    </row>
    <row r="30" spans="3:13">
      <c r="C30" s="1131" t="s">
        <v>3887</v>
      </c>
      <c r="E30" s="1132" t="s">
        <v>3888</v>
      </c>
      <c r="F30" s="1133"/>
      <c r="G30" s="1134">
        <f>SUMIF(A37:A48,"X",E37:E48)*$G$33-E14</f>
        <v>2345</v>
      </c>
      <c r="H30" s="1135" t="s">
        <v>3889</v>
      </c>
    </row>
    <row r="31" spans="3:13" ht="14.4">
      <c r="C31" s="1136">
        <v>5773</v>
      </c>
      <c r="E31" s="1132" t="s">
        <v>3890</v>
      </c>
      <c r="F31" s="1133"/>
      <c r="G31" s="1134">
        <f>SUMIF(B37:B48,"X",E37:E48)*$G$33-J14</f>
        <v>3840</v>
      </c>
      <c r="H31" s="1135" t="s">
        <v>3889</v>
      </c>
    </row>
    <row r="32" spans="3:13">
      <c r="C32" s="1131" t="s">
        <v>3891</v>
      </c>
    </row>
    <row r="33" spans="1:41" ht="14.4">
      <c r="C33" s="1136">
        <v>6758</v>
      </c>
      <c r="E33" s="1229" t="s">
        <v>3892</v>
      </c>
      <c r="F33" s="1229"/>
      <c r="G33" s="1137">
        <v>25</v>
      </c>
    </row>
    <row r="35" spans="1:41">
      <c r="E35" s="1220" t="s">
        <v>3893</v>
      </c>
      <c r="F35" s="1221"/>
    </row>
    <row r="36" spans="1:41" ht="46.5" customHeight="1">
      <c r="A36" s="1138" t="s">
        <v>3</v>
      </c>
      <c r="B36" s="1138" t="s">
        <v>4</v>
      </c>
      <c r="C36" s="1139" t="s">
        <v>3</v>
      </c>
      <c r="D36" s="1133"/>
      <c r="E36" s="1140" t="s">
        <v>656</v>
      </c>
      <c r="F36" s="1140" t="s">
        <v>3894</v>
      </c>
      <c r="G36" s="1141" t="s">
        <v>3895</v>
      </c>
      <c r="H36" s="1084" t="str">
        <f>+IF(Parametres!$B$3=H$38,"X","")</f>
        <v/>
      </c>
      <c r="I36" s="1087" t="str">
        <f>+IF(Parametres!$B$3=I$38,"X","")</f>
        <v/>
      </c>
      <c r="J36" s="1087" t="str">
        <f>+IF(Parametres!$B$3=J$38,"X","")</f>
        <v/>
      </c>
      <c r="K36" s="1087" t="str">
        <f>+IF(Parametres!$B$3=K$38,"X","")</f>
        <v/>
      </c>
      <c r="L36" s="1087" t="str">
        <f>+IF(Parametres!$B$3=L$38,"X","")</f>
        <v/>
      </c>
      <c r="M36" s="1087" t="str">
        <f>+IF(Parametres!$B$3=M$38,"X","")</f>
        <v/>
      </c>
      <c r="N36" s="1087" t="str">
        <f>+IF(Parametres!$B$3=N$38,"X","")</f>
        <v/>
      </c>
      <c r="O36" s="1087" t="str">
        <f>+IF(Parametres!$B$3=O$38,"X","")</f>
        <v/>
      </c>
      <c r="P36" s="1087" t="str">
        <f>+IF(Parametres!$B$3=P$38,"X","")</f>
        <v/>
      </c>
      <c r="Q36" s="1087" t="str">
        <f>+IF(Parametres!$B$3=Q$38,"X","")</f>
        <v/>
      </c>
      <c r="R36" s="1084" t="str">
        <f>+IF(Parametres!$B$3=R$38,"X","")</f>
        <v/>
      </c>
      <c r="S36" s="1084" t="str">
        <f>+IF(Parametres!$B$3=S$38,"X","")</f>
        <v/>
      </c>
      <c r="U36" s="1084" t="str">
        <f>+IF(Parametres!$B$3=N$7,"X","")</f>
        <v/>
      </c>
      <c r="V36" s="1084" t="str">
        <f>+IF(Parametres!$B$3=N$7,"O","")</f>
        <v/>
      </c>
      <c r="W36" s="1084" t="str">
        <f>+IF(Parametres!$B$3=N$7,"U","")</f>
        <v/>
      </c>
      <c r="X36" s="1084" t="str">
        <f>+IF(Parametres!$B$3=Q$7,"X","")</f>
        <v/>
      </c>
      <c r="Y36" s="1084" t="str">
        <f>+IF(Parametres!$B$3=Q$7,"O","")</f>
        <v/>
      </c>
      <c r="Z36" s="1084" t="str">
        <f>+IF(Parametres!$B$3=Q$7,"U","")</f>
        <v/>
      </c>
      <c r="AA36" s="1084" t="str">
        <f>+IF(Parametres!$B$3=T$7,"X","")</f>
        <v/>
      </c>
      <c r="AB36" s="1084" t="str">
        <f>+IF(Parametres!$B$3=T$7,"O","")</f>
        <v/>
      </c>
      <c r="AC36" s="1084" t="str">
        <f>+IF(Parametres!$B$3=T$7,"U","")</f>
        <v/>
      </c>
      <c r="AD36" s="1084" t="str">
        <f>+IF(Parametres!$B$3=W$7,"X","")</f>
        <v/>
      </c>
      <c r="AE36" s="1084" t="str">
        <f>+IF(Parametres!$B$3=W$7,"O","")</f>
        <v/>
      </c>
      <c r="AF36" s="1084" t="str">
        <f>+IF(Parametres!$B$3=W$7,"U","")</f>
        <v/>
      </c>
      <c r="AG36" s="1084" t="str">
        <f>+IF(Parametres!$B$3=Z$7,"X","")</f>
        <v/>
      </c>
      <c r="AH36" s="1084" t="str">
        <f>+IF(Parametres!$B$3=Z$7,"O","")</f>
        <v/>
      </c>
      <c r="AI36" s="1084" t="str">
        <f>+IF(Parametres!$B$3=Z$7,"U","")</f>
        <v/>
      </c>
      <c r="AJ36" s="1084" t="str">
        <f>+IF(Parametres!$B$3=AC$7,"X","")</f>
        <v/>
      </c>
      <c r="AK36" s="1084" t="str">
        <f>+IF(Parametres!$B$3=AC$7,"O","")</f>
        <v/>
      </c>
      <c r="AL36" s="1084" t="str">
        <f>+IF(Parametres!$B$3=AC$7,"U","")</f>
        <v/>
      </c>
      <c r="AM36" s="1084" t="str">
        <f>+IF(Parametres!$B$3=AF$7,"X","")</f>
        <v/>
      </c>
      <c r="AN36" s="1084" t="str">
        <f>+IF(Parametres!$B$3=AF$7,"O","")</f>
        <v/>
      </c>
      <c r="AO36" s="1084" t="str">
        <f>+IF(Parametres!$B$3=AF$7,"U","")</f>
        <v/>
      </c>
    </row>
    <row r="37" spans="1:41">
      <c r="A37" s="1142" t="str">
        <f>+IF(Parametres!$B$3=$C37,"X","")</f>
        <v/>
      </c>
      <c r="B37" s="1142" t="str">
        <f>+IF(VLOOKUP($C37,Parametres!$K$3:$N$14,4,0)="X","X","")</f>
        <v>X</v>
      </c>
      <c r="C37" s="1143" t="s">
        <v>8</v>
      </c>
      <c r="E37" s="1144">
        <v>533</v>
      </c>
      <c r="F37" s="1144">
        <v>418.92206904918402</v>
      </c>
      <c r="G37" s="1144">
        <v>4014.4</v>
      </c>
      <c r="H37" s="1084"/>
      <c r="I37" s="1084"/>
      <c r="J37" s="1158"/>
      <c r="K37" s="1158"/>
      <c r="L37" s="1084"/>
      <c r="M37" s="1084"/>
    </row>
    <row r="38" spans="1:41">
      <c r="A38" s="1142" t="str">
        <f>+IF(Parametres!$B$3=$C38,"X","")</f>
        <v/>
      </c>
      <c r="B38" s="1142" t="str">
        <f>+IF(VLOOKUP($C38,Parametres!$K$3:$N$14,4,0)="X","X","")</f>
        <v>X</v>
      </c>
      <c r="C38" s="1145" t="s">
        <v>10</v>
      </c>
      <c r="E38" s="1144">
        <v>433</v>
      </c>
      <c r="F38" s="1144">
        <v>311.9435150172892</v>
      </c>
      <c r="G38" s="1144">
        <v>3551.28</v>
      </c>
      <c r="H38" s="1084"/>
      <c r="I38" s="1084"/>
      <c r="J38" s="1084"/>
      <c r="K38" s="1084"/>
      <c r="L38" s="1084"/>
      <c r="M38" s="1084"/>
    </row>
    <row r="39" spans="1:41">
      <c r="A39" s="1084" t="str">
        <f>+IF(Parametres!$B$3=$C39,"X","")</f>
        <v/>
      </c>
      <c r="B39" s="1084" t="str">
        <f>+IF(VLOOKUP($C39,Parametres!$K$3:$N$14,4,0)="X","X","")</f>
        <v>X</v>
      </c>
      <c r="C39" s="1145" t="s">
        <v>11</v>
      </c>
      <c r="E39" s="1144">
        <v>429</v>
      </c>
      <c r="F39" s="1144">
        <v>418.68023703135316</v>
      </c>
      <c r="G39" s="1144">
        <v>4269.5213600121897</v>
      </c>
      <c r="H39" s="1084"/>
      <c r="I39" s="1084"/>
      <c r="J39" s="1084"/>
      <c r="K39" s="1084"/>
      <c r="L39" s="1084"/>
      <c r="M39" s="1084"/>
    </row>
    <row r="40" spans="1:41">
      <c r="A40" s="1084" t="str">
        <f>+IF(Parametres!$B$3=$C40,"X","")</f>
        <v>X</v>
      </c>
      <c r="B40" s="1084" t="str">
        <f>+IF(VLOOKUP($C40,Parametres!$K$3:$N$14,4,0)="X","X","")</f>
        <v>X</v>
      </c>
      <c r="C40" s="1145" t="s">
        <v>12</v>
      </c>
      <c r="E40" s="1144">
        <v>469</v>
      </c>
      <c r="F40" s="1144">
        <v>365.36471094335428</v>
      </c>
      <c r="G40" s="1144">
        <v>3179.2297395705646</v>
      </c>
      <c r="H40" s="1084"/>
      <c r="I40" s="1084"/>
      <c r="J40" s="1084"/>
      <c r="K40" s="1084"/>
      <c r="L40" s="1084"/>
      <c r="M40" s="1084"/>
    </row>
    <row r="41" spans="1:41">
      <c r="A41" s="1084" t="str">
        <f>+IF(Parametres!$B$3=$C41,"X","")</f>
        <v/>
      </c>
      <c r="B41" s="1084" t="str">
        <f>+IF(VLOOKUP($C41,Parametres!$K$3:$N$14,4,0)="X","X","")</f>
        <v/>
      </c>
      <c r="C41" s="1145" t="s">
        <v>13</v>
      </c>
      <c r="E41" s="1144"/>
      <c r="F41" s="1144">
        <v>375.8793196965787</v>
      </c>
      <c r="G41" s="1144">
        <v>4267.0566844986533</v>
      </c>
      <c r="H41" s="1084"/>
      <c r="I41" s="1084"/>
      <c r="J41" s="1084"/>
      <c r="K41" s="1084"/>
      <c r="L41" s="1084"/>
      <c r="M41" s="1084"/>
    </row>
    <row r="42" spans="1:41">
      <c r="A42" s="1084" t="str">
        <f>+IF(Parametres!$B$3=$C42,"X","")</f>
        <v/>
      </c>
      <c r="B42" s="1084" t="str">
        <f>+IF(VLOOKUP($C42,Parametres!$K$3:$N$14,4,0)="X","X","")</f>
        <v/>
      </c>
      <c r="C42" s="1145" t="s">
        <v>14</v>
      </c>
      <c r="E42" s="1144"/>
      <c r="F42" s="1144">
        <v>427.89426555292169</v>
      </c>
      <c r="G42" s="1144">
        <v>3723.6816888350295</v>
      </c>
      <c r="N42" s="1087"/>
      <c r="O42" s="1087"/>
      <c r="P42" s="1087"/>
      <c r="Q42" s="1087"/>
      <c r="R42" s="1133"/>
      <c r="S42" s="1133"/>
    </row>
    <row r="43" spans="1:41">
      <c r="A43" s="1084" t="str">
        <f>+IF(Parametres!$B$3=$C43,"X","")</f>
        <v/>
      </c>
      <c r="B43" s="1084" t="str">
        <f>+IF(VLOOKUP($C43,Parametres!$K$3:$N$14,4,0)="X","X","")</f>
        <v/>
      </c>
      <c r="C43" s="1145" t="s">
        <v>16</v>
      </c>
      <c r="E43" s="1144"/>
      <c r="F43" s="1144">
        <v>456.46099473794209</v>
      </c>
      <c r="G43" s="1144">
        <v>3830.8432589235963</v>
      </c>
      <c r="N43" s="1087"/>
      <c r="O43" s="1087"/>
      <c r="P43" s="1087"/>
      <c r="Q43" s="1087"/>
      <c r="R43" s="1133"/>
      <c r="S43" s="1133"/>
    </row>
    <row r="44" spans="1:41">
      <c r="A44" s="1084" t="str">
        <f>+IF(Parametres!$B$3=$C44,"X","")</f>
        <v/>
      </c>
      <c r="B44" s="1084" t="str">
        <f>+IF(VLOOKUP($C44,Parametres!$K$3:$N$14,4,0)="X","X","")</f>
        <v/>
      </c>
      <c r="C44" s="1145" t="s">
        <v>18</v>
      </c>
      <c r="E44" s="1144"/>
      <c r="F44" s="1144">
        <v>398.12415969308483</v>
      </c>
      <c r="G44" s="1144">
        <v>4360.9631518134156</v>
      </c>
      <c r="H44" s="1133"/>
      <c r="I44" s="1134"/>
      <c r="N44" s="1087"/>
      <c r="O44" s="1087"/>
      <c r="P44" s="1087"/>
      <c r="Q44" s="1087"/>
      <c r="R44" s="1133"/>
      <c r="S44" s="1133"/>
    </row>
    <row r="45" spans="1:41">
      <c r="A45" s="1084" t="str">
        <f>+IF(Parametres!$B$3=$C45,"X","")</f>
        <v/>
      </c>
      <c r="B45" s="1084" t="str">
        <f>+IF(VLOOKUP($C45,Parametres!$K$3:$N$14,4,0)="X","X","")</f>
        <v/>
      </c>
      <c r="C45" s="1145" t="s">
        <v>20</v>
      </c>
      <c r="E45" s="1144"/>
      <c r="F45" s="1144">
        <v>476.56079414871488</v>
      </c>
      <c r="G45" s="1144">
        <v>4652.1062293742398</v>
      </c>
      <c r="H45" s="1133"/>
      <c r="I45" s="1134"/>
      <c r="N45" s="1087"/>
      <c r="O45" s="1087"/>
      <c r="P45" s="1087"/>
      <c r="Q45" s="1087"/>
      <c r="R45" s="1133"/>
      <c r="S45" s="1133"/>
    </row>
    <row r="46" spans="1:41" ht="18" customHeight="1">
      <c r="A46" s="1084" t="str">
        <f>+IF(Parametres!$B$3=$C46,"X","")</f>
        <v/>
      </c>
      <c r="B46" s="1084" t="str">
        <f>+IF(VLOOKUP($C46,Parametres!$K$3:$N$14,4,0)="X","X","")</f>
        <v/>
      </c>
      <c r="C46" s="1145" t="s">
        <v>22</v>
      </c>
      <c r="E46" s="1144"/>
      <c r="F46" s="1144">
        <v>479.32101018309692</v>
      </c>
      <c r="G46" s="1144">
        <v>4057.5556394164596</v>
      </c>
      <c r="H46" s="1133"/>
      <c r="I46" s="1134"/>
      <c r="N46" s="1087"/>
      <c r="O46" s="1087"/>
      <c r="P46" s="1087"/>
      <c r="Q46" s="1087"/>
      <c r="R46" s="1133"/>
      <c r="S46" s="1133"/>
    </row>
    <row r="47" spans="1:41">
      <c r="A47" s="1084" t="str">
        <f>+IF(Parametres!$B$3=$C47,"X","")</f>
        <v/>
      </c>
      <c r="B47" s="1084" t="str">
        <f>+IF(VLOOKUP($C47,Parametres!$K$3:$N$14,4,0)="X","X","")</f>
        <v/>
      </c>
      <c r="C47" s="1146" t="s">
        <v>23</v>
      </c>
      <c r="E47" s="1144"/>
      <c r="F47" s="1144">
        <v>449.1117835802815</v>
      </c>
      <c r="G47" s="1144">
        <v>4856.9570339905476</v>
      </c>
    </row>
    <row r="48" spans="1:41">
      <c r="A48" s="1084" t="str">
        <f>+IF(Parametres!$B$3=$C48,"X","")</f>
        <v/>
      </c>
      <c r="B48" s="1084" t="str">
        <f>+IF(VLOOKUP($C48,Parametres!$K$3:$N$14,4,0)="X","X","")</f>
        <v/>
      </c>
      <c r="C48" s="1147" t="s">
        <v>6</v>
      </c>
      <c r="E48" s="1148"/>
      <c r="F48" s="1148">
        <v>461.73714036619947</v>
      </c>
      <c r="G48" s="1148">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0" t="s">
        <v>644</v>
      </c>
      <c r="C1" s="1231"/>
      <c r="D1" s="1231"/>
      <c r="E1" s="1231"/>
      <c r="F1" s="1231"/>
      <c r="G1" s="1231"/>
      <c r="H1" s="1231"/>
      <c r="I1" s="1231"/>
      <c r="J1" s="1231"/>
      <c r="K1" s="1231"/>
      <c r="L1" s="1231"/>
      <c r="M1" s="1231"/>
      <c r="N1" s="1231"/>
      <c r="O1" s="1231"/>
      <c r="P1" s="1231"/>
      <c r="Q1" s="1231"/>
      <c r="R1" s="1231"/>
      <c r="S1" s="1231"/>
      <c r="T1" s="123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Print_Mois!J27</f>
        <v>73</v>
      </c>
      <c r="D5" s="562">
        <f>Print_Mois!L27/Print_Mois!J27</f>
        <v>3556.2293150684936</v>
      </c>
      <c r="E5" s="563">
        <f t="shared" ref="E5:E6" si="0">+C5*D5</f>
        <v>259604.74000000005</v>
      </c>
      <c r="F5" s="3"/>
      <c r="G5" s="231" t="s">
        <v>656</v>
      </c>
      <c r="H5" s="561">
        <f>Print_Mois!J108</f>
        <v>54</v>
      </c>
      <c r="I5" s="562">
        <f>Print_Mois!L108/Print_Mois!J108</f>
        <v>1157.6933333333322</v>
      </c>
      <c r="J5" s="563">
        <f t="shared" ref="J5:J6" si="1">+H5*I5</f>
        <v>62515.439999999944</v>
      </c>
      <c r="K5" s="3"/>
      <c r="L5" s="231" t="s">
        <v>656</v>
      </c>
      <c r="M5" s="562">
        <f>Print_Mois!K194</f>
        <v>367237.81</v>
      </c>
      <c r="N5" s="564">
        <f t="shared" ref="N5:N6" si="2">O5/M5</f>
        <v>0.70900155950717603</v>
      </c>
      <c r="O5" s="562">
        <f>Print_Mois!L194</f>
        <v>260372.18</v>
      </c>
      <c r="P5" s="3"/>
      <c r="Q5" s="231" t="s">
        <v>656</v>
      </c>
      <c r="R5" s="565">
        <f>Print_Mois!J185</f>
        <v>1055</v>
      </c>
      <c r="S5" s="562">
        <f>Print_Mois!K185/Print_Mois!J185</f>
        <v>319.10621800947865</v>
      </c>
      <c r="T5" s="563">
        <f t="shared" ref="T5:T6" si="3">+R5*S5</f>
        <v>336657.06</v>
      </c>
      <c r="U5" s="3"/>
      <c r="V5" s="3"/>
      <c r="W5" s="3"/>
      <c r="X5" s="3"/>
      <c r="Y5" s="3"/>
      <c r="Z5" s="3"/>
    </row>
    <row r="6" spans="1:26" ht="14.4">
      <c r="A6" s="3"/>
      <c r="B6" s="133" t="s">
        <v>286</v>
      </c>
      <c r="C6" s="566">
        <f>Print_Mois!G27</f>
        <v>0</v>
      </c>
      <c r="D6" s="567" t="e">
        <f>Print_Mois!I27/Print_Mois!G27</f>
        <v>#DIV/0!</v>
      </c>
      <c r="E6" s="568" t="e">
        <f t="shared" si="0"/>
        <v>#DIV/0!</v>
      </c>
      <c r="F6" s="3"/>
      <c r="G6" s="133" t="s">
        <v>286</v>
      </c>
      <c r="H6" s="566">
        <f>Print_Mois!G108</f>
        <v>0</v>
      </c>
      <c r="I6" s="567" t="e">
        <f>Print_Mois!I108/Print_Mois!G108</f>
        <v>#DIV/0!</v>
      </c>
      <c r="J6" s="568" t="e">
        <f t="shared" si="1"/>
        <v>#DIV/0!</v>
      </c>
      <c r="K6" s="3"/>
      <c r="L6" s="133" t="s">
        <v>286</v>
      </c>
      <c r="M6" s="567">
        <f>Print_Mois!H194</f>
        <v>0</v>
      </c>
      <c r="N6" s="569" t="e">
        <f t="shared" si="2"/>
        <v>#DIV/0!</v>
      </c>
      <c r="O6" s="567">
        <f>Print_Mois!I194</f>
        <v>0</v>
      </c>
      <c r="P6" s="3"/>
      <c r="Q6" s="133" t="s">
        <v>286</v>
      </c>
      <c r="R6" s="570">
        <f>Print_Mois!G185</f>
        <v>0</v>
      </c>
      <c r="S6" s="567" t="e">
        <f>Print_Mois!H185/Print_Mois!G185</f>
        <v>#DIV/0!</v>
      </c>
      <c r="T6" s="568" t="e">
        <f t="shared" si="3"/>
        <v>#DIV/0!</v>
      </c>
      <c r="U6" s="3"/>
      <c r="V6" s="3"/>
      <c r="W6" s="3"/>
      <c r="X6" s="3"/>
      <c r="Y6" s="3"/>
      <c r="Z6" s="3"/>
    </row>
    <row r="7" spans="1:26" ht="14.4">
      <c r="A7" s="3"/>
      <c r="B7" s="133" t="s">
        <v>655</v>
      </c>
      <c r="C7" s="571">
        <f t="shared" ref="C7:E7" si="4">+C5-C6</f>
        <v>73</v>
      </c>
      <c r="D7" s="572" t="e">
        <f t="shared" si="4"/>
        <v>#DIV/0!</v>
      </c>
      <c r="E7" s="573" t="e">
        <f t="shared" si="4"/>
        <v>#DIV/0!</v>
      </c>
      <c r="F7" s="3"/>
      <c r="G7" s="133" t="s">
        <v>655</v>
      </c>
      <c r="H7" s="571">
        <f t="shared" ref="H7:J7" si="5">+H5-H6</f>
        <v>54</v>
      </c>
      <c r="I7" s="572" t="e">
        <f t="shared" si="5"/>
        <v>#DIV/0!</v>
      </c>
      <c r="J7" s="573" t="e">
        <f t="shared" si="5"/>
        <v>#DIV/0!</v>
      </c>
      <c r="K7" s="3"/>
      <c r="L7" s="133" t="s">
        <v>655</v>
      </c>
      <c r="M7" s="572">
        <f t="shared" ref="M7:O7" si="6">+M5-M6</f>
        <v>367237.81</v>
      </c>
      <c r="N7" s="574" t="e">
        <f t="shared" si="6"/>
        <v>#DIV/0!</v>
      </c>
      <c r="O7" s="573">
        <f t="shared" si="6"/>
        <v>260372.18</v>
      </c>
      <c r="P7" s="3"/>
      <c r="Q7" s="133" t="s">
        <v>655</v>
      </c>
      <c r="R7" s="575">
        <f t="shared" ref="R7:T7" si="7">+R5-R6</f>
        <v>1055</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659</v>
      </c>
      <c r="C10" s="579">
        <f t="shared" ref="C10:D10" si="12">+C5</f>
        <v>73</v>
      </c>
      <c r="D10" s="563">
        <f t="shared" si="12"/>
        <v>3556.2293150684936</v>
      </c>
      <c r="E10" s="568">
        <f>+C10*D10</f>
        <v>259604.74000000005</v>
      </c>
      <c r="F10" s="3"/>
      <c r="G10" s="133" t="s">
        <v>660</v>
      </c>
      <c r="H10" s="579">
        <f t="shared" ref="H10:I10" si="13">+H5</f>
        <v>54</v>
      </c>
      <c r="I10" s="563">
        <f t="shared" si="13"/>
        <v>1157.6933333333322</v>
      </c>
      <c r="J10" s="568">
        <f>+H10*I10</f>
        <v>62515.439999999944</v>
      </c>
      <c r="K10" s="3"/>
      <c r="L10" s="133" t="s">
        <v>661</v>
      </c>
      <c r="M10" s="563">
        <f t="shared" ref="M10:N10" si="14">+M5</f>
        <v>367237.81</v>
      </c>
      <c r="N10" s="564">
        <f t="shared" si="14"/>
        <v>0.70900155950717603</v>
      </c>
      <c r="O10" s="568">
        <f>+M10*N10</f>
        <v>260372.18</v>
      </c>
      <c r="P10" s="3"/>
      <c r="Q10" s="133" t="s">
        <v>662</v>
      </c>
      <c r="R10" s="580">
        <f t="shared" ref="R10:S10" si="15">+R5</f>
        <v>1055</v>
      </c>
      <c r="S10" s="563">
        <f t="shared" si="15"/>
        <v>319.10621800947865</v>
      </c>
      <c r="T10" s="568">
        <f>+R10*S10</f>
        <v>336657.06</v>
      </c>
      <c r="U10" s="3"/>
      <c r="V10" s="3"/>
      <c r="W10" s="3"/>
      <c r="X10" s="3"/>
      <c r="Y10" s="3"/>
      <c r="Z10" s="3"/>
    </row>
    <row r="11" spans="1:26" ht="14.4">
      <c r="A11" s="3"/>
      <c r="B11" s="133" t="s">
        <v>663</v>
      </c>
      <c r="C11" s="579">
        <f>+C5</f>
        <v>73</v>
      </c>
      <c r="D11" s="568" t="e">
        <f>+D6</f>
        <v>#DIV/0!</v>
      </c>
      <c r="E11" s="568" t="e">
        <f>C11*D11</f>
        <v>#DIV/0!</v>
      </c>
      <c r="F11" s="3"/>
      <c r="G11" s="133" t="s">
        <v>663</v>
      </c>
      <c r="H11" s="579">
        <f>+H5</f>
        <v>54</v>
      </c>
      <c r="I11" s="568" t="e">
        <f>+I6</f>
        <v>#DIV/0!</v>
      </c>
      <c r="J11" s="568" t="e">
        <f>H11*I11</f>
        <v>#DIV/0!</v>
      </c>
      <c r="K11" s="3"/>
      <c r="L11" s="133" t="s">
        <v>663</v>
      </c>
      <c r="M11" s="563">
        <f>+M5</f>
        <v>367237.81</v>
      </c>
      <c r="N11" s="569" t="e">
        <f>+N6</f>
        <v>#DIV/0!</v>
      </c>
      <c r="O11" s="568" t="e">
        <f>M11*N11</f>
        <v>#DIV/0!</v>
      </c>
      <c r="P11" s="3"/>
      <c r="Q11" s="133" t="s">
        <v>664</v>
      </c>
      <c r="R11" s="580">
        <f>+R5</f>
        <v>1055</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666</v>
      </c>
      <c r="C15" s="579">
        <f t="shared" ref="C15:C16" si="20">+C5</f>
        <v>73</v>
      </c>
      <c r="D15" s="568" t="e">
        <f>+D6</f>
        <v>#DIV/0!</v>
      </c>
      <c r="E15" s="568" t="e">
        <f>+C15*D15</f>
        <v>#DIV/0!</v>
      </c>
      <c r="F15" s="3"/>
      <c r="G15" s="133" t="s">
        <v>667</v>
      </c>
      <c r="H15" s="579">
        <f t="shared" ref="H15:H16" si="21">+H5</f>
        <v>54</v>
      </c>
      <c r="I15" s="568" t="e">
        <f>+I6</f>
        <v>#DIV/0!</v>
      </c>
      <c r="J15" s="568" t="e">
        <f>+H15*I15</f>
        <v>#DIV/0!</v>
      </c>
      <c r="K15" s="3"/>
      <c r="L15" s="133" t="s">
        <v>668</v>
      </c>
      <c r="M15" s="563">
        <f t="shared" ref="M15:M16" si="22">+M5</f>
        <v>367237.81</v>
      </c>
      <c r="N15" s="569" t="e">
        <f>+N6</f>
        <v>#DIV/0!</v>
      </c>
      <c r="O15" s="568" t="e">
        <f>+M15*N15</f>
        <v>#DIV/0!</v>
      </c>
      <c r="P15" s="3"/>
      <c r="Q15" s="133" t="s">
        <v>669</v>
      </c>
      <c r="R15" s="580">
        <f t="shared" ref="R15:R16" si="23">+R5</f>
        <v>1055</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73</v>
      </c>
      <c r="D17" s="572" t="e">
        <f t="shared" si="24"/>
        <v>#DIV/0!</v>
      </c>
      <c r="E17" s="573" t="e">
        <f t="shared" si="24"/>
        <v>#DIV/0!</v>
      </c>
      <c r="F17" s="3"/>
      <c r="G17" s="133" t="s">
        <v>665</v>
      </c>
      <c r="H17" s="571">
        <f t="shared" ref="H17:J17" si="25">+H15-H16</f>
        <v>54</v>
      </c>
      <c r="I17" s="572" t="e">
        <f t="shared" si="25"/>
        <v>#DIV/0!</v>
      </c>
      <c r="J17" s="573" t="e">
        <f t="shared" si="25"/>
        <v>#DIV/0!</v>
      </c>
      <c r="K17" s="3"/>
      <c r="L17" s="133" t="s">
        <v>665</v>
      </c>
      <c r="M17" s="572">
        <f t="shared" ref="M17:O17" si="26">+M15-M16</f>
        <v>367237.81</v>
      </c>
      <c r="N17" s="574" t="e">
        <f t="shared" si="26"/>
        <v>#DIV/0!</v>
      </c>
      <c r="O17" s="573" t="e">
        <f t="shared" si="26"/>
        <v>#DIV/0!</v>
      </c>
      <c r="P17" s="3"/>
      <c r="Q17" s="133" t="s">
        <v>665</v>
      </c>
      <c r="R17" s="575">
        <f t="shared" ref="R17:T17" si="27">+R15-R16</f>
        <v>1055</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73</v>
      </c>
      <c r="D20" s="568" t="e">
        <f t="shared" si="28"/>
        <v>#DIV/0!</v>
      </c>
      <c r="E20" s="568" t="e">
        <f>+C20*D20</f>
        <v>#DIV/0!</v>
      </c>
      <c r="F20" s="3"/>
      <c r="G20" s="133" t="s">
        <v>672</v>
      </c>
      <c r="H20" s="581">
        <f t="shared" ref="H20:I20" si="29">MAX(H5:H6)</f>
        <v>54</v>
      </c>
      <c r="I20" s="568" t="e">
        <f t="shared" si="29"/>
        <v>#DIV/0!</v>
      </c>
      <c r="J20" s="568" t="e">
        <f>+H20*I20</f>
        <v>#DIV/0!</v>
      </c>
      <c r="K20" s="3"/>
      <c r="L20" s="133" t="s">
        <v>672</v>
      </c>
      <c r="M20" s="568">
        <f t="shared" ref="M20:N20" si="30">MAX(M5:M6)</f>
        <v>367237.81</v>
      </c>
      <c r="N20" s="569" t="e">
        <f t="shared" si="30"/>
        <v>#DIV/0!</v>
      </c>
      <c r="O20" s="568" t="e">
        <f>+M20*N20</f>
        <v>#DIV/0!</v>
      </c>
      <c r="P20" s="3"/>
      <c r="Q20" s="133" t="s">
        <v>672</v>
      </c>
      <c r="R20" s="582">
        <f t="shared" ref="R20:S20" si="31">MAX(R5:R6)</f>
        <v>1055</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73</v>
      </c>
      <c r="D23" s="572" t="e">
        <f t="shared" si="36"/>
        <v>#DIV/0!</v>
      </c>
      <c r="E23" s="572" t="e">
        <f t="shared" si="36"/>
        <v>#DIV/0!</v>
      </c>
      <c r="F23" s="3"/>
      <c r="G23" s="133" t="s">
        <v>674</v>
      </c>
      <c r="H23" s="571">
        <f t="shared" ref="H23:J23" si="37">+H20-H22</f>
        <v>54</v>
      </c>
      <c r="I23" s="572" t="e">
        <f t="shared" si="37"/>
        <v>#DIV/0!</v>
      </c>
      <c r="J23" s="572" t="e">
        <f t="shared" si="37"/>
        <v>#DIV/0!</v>
      </c>
      <c r="K23" s="3"/>
      <c r="L23" s="133" t="s">
        <v>674</v>
      </c>
      <c r="M23" s="572">
        <f t="shared" ref="M23:O23" si="38">+M20-M22</f>
        <v>367237.81</v>
      </c>
      <c r="N23" s="574" t="e">
        <f t="shared" si="38"/>
        <v>#DIV/0!</v>
      </c>
      <c r="O23" s="572" t="e">
        <f t="shared" si="38"/>
        <v>#DIV/0!</v>
      </c>
      <c r="P23" s="3"/>
      <c r="Q23" s="133" t="s">
        <v>674</v>
      </c>
      <c r="R23" s="575">
        <f t="shared" ref="R23:T23" si="39">+R20-R22</f>
        <v>1055</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73</v>
      </c>
      <c r="D32" s="568">
        <f t="shared" ref="D32:D33" si="40">+E32/C32</f>
        <v>175.23202696234173</v>
      </c>
      <c r="E32" s="568">
        <f>+Print_Mois!N78</f>
        <v>12791.937968250946</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73</v>
      </c>
      <c r="D33" s="568">
        <f t="shared" si="40"/>
        <v>58.584246575342483</v>
      </c>
      <c r="E33" s="568">
        <f>+Print_Mois!N82</f>
        <v>4276.6500000000015</v>
      </c>
      <c r="F33" s="3"/>
      <c r="G33" s="133" t="s">
        <v>681</v>
      </c>
      <c r="H33" s="590">
        <f>+H17</f>
        <v>54</v>
      </c>
      <c r="I33" s="568">
        <f>+J33/H33</f>
        <v>-251.81930092592586</v>
      </c>
      <c r="J33" s="568">
        <f>+Print_Mois!N159</f>
        <v>-13598.242249999996</v>
      </c>
      <c r="K33" s="3"/>
      <c r="L33" s="3"/>
      <c r="M33" s="3"/>
      <c r="N33" s="3"/>
      <c r="O33" s="3"/>
      <c r="P33" s="3"/>
      <c r="Q33" s="3"/>
      <c r="R33" s="3"/>
      <c r="S33" s="3"/>
      <c r="T33" s="3"/>
      <c r="U33" s="3"/>
      <c r="V33" s="3"/>
      <c r="W33" s="3"/>
      <c r="X33" s="3"/>
      <c r="Y33" s="3"/>
      <c r="Z33" s="3"/>
    </row>
    <row r="34" spans="1:26" ht="15.75" customHeight="1">
      <c r="A34" s="3"/>
      <c r="B34" s="3"/>
      <c r="C34" s="3"/>
      <c r="D34" s="3"/>
      <c r="E34" s="572">
        <f>SUM(E32:E33)</f>
        <v>17068.587968250948</v>
      </c>
      <c r="F34" s="3"/>
      <c r="G34" s="3"/>
      <c r="H34" s="3"/>
      <c r="I34" s="3"/>
      <c r="J34" s="572">
        <f>SUM(J32:J33)</f>
        <v>-13598.242249999996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8"/>
      <c r="I35" s="568"/>
      <c r="J35" s="56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abSelected="1" topLeftCell="V489" zoomScale="80" zoomScaleNormal="80" workbookViewId="0">
      <selection activeCell="AJ521" sqref="AJ521"/>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9" t="str">
        <f>Parametres!B1</f>
        <v>Volks</v>
      </c>
      <c r="D1" s="232"/>
      <c r="E1" s="232"/>
      <c r="F1" s="232"/>
      <c r="G1" s="232"/>
      <c r="H1" s="36"/>
      <c r="I1" s="232"/>
      <c r="J1" s="36"/>
      <c r="K1" s="9" t="s">
        <v>92</v>
      </c>
      <c r="L1" s="232"/>
      <c r="M1" s="232"/>
      <c r="N1" s="234"/>
      <c r="O1" s="959"/>
      <c r="P1" s="958"/>
      <c r="Q1" s="959"/>
      <c r="R1" s="958"/>
      <c r="S1" s="961" t="str">
        <f>CONCATENATE("Réalisé AAJ,"," ",Parametres!B3," ",Parametres!B4)</f>
        <v>Réalisé AAJ, Avril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06" t="s">
        <v>343</v>
      </c>
      <c r="E3" s="1207"/>
      <c r="F3" s="1208"/>
      <c r="G3" s="1211"/>
      <c r="H3" s="1207"/>
      <c r="I3" s="1208"/>
      <c r="J3" s="1211" t="s">
        <v>344</v>
      </c>
      <c r="K3" s="1207"/>
      <c r="L3" s="1208"/>
      <c r="M3" s="1211" t="s">
        <v>3312</v>
      </c>
      <c r="N3" s="1208"/>
      <c r="O3" s="1206" t="s">
        <v>345</v>
      </c>
      <c r="P3" s="1207"/>
      <c r="Q3" s="1208"/>
      <c r="R3" s="1209" t="s">
        <v>3314</v>
      </c>
      <c r="S3" s="1210"/>
      <c r="T3" s="41"/>
      <c r="U3" s="41"/>
      <c r="V3" s="5" t="s">
        <v>347</v>
      </c>
      <c r="W3" s="601">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5" t="s">
        <v>349</v>
      </c>
      <c r="W4" s="601">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8756133.6967092715</v>
      </c>
      <c r="G5" s="246"/>
      <c r="H5" s="247"/>
      <c r="I5" s="249"/>
      <c r="J5" s="246"/>
      <c r="K5" s="250"/>
      <c r="L5" s="248">
        <f>-SUMIFS(BV_Data_An_Cour!$P:$P,BV_Data_An_Cour!$X:$X,"Oui",BV_Data_An_Cour!$U:$U,$B5)</f>
        <v>13868001.100000003</v>
      </c>
      <c r="M5" s="251"/>
      <c r="N5" s="252"/>
      <c r="O5" s="246"/>
      <c r="P5" s="250"/>
      <c r="Q5" s="248" cm="1">
        <f t="array" ref="Q5">+SUMPRODUCT(('Réel 2023'!$A$8:$A$501=$A5)*('Réel 2023'!$C$3:$AO$3=Q$2),'Réel 2023'!$C$8:$AO$501)</f>
        <v>7385845.2399999695</v>
      </c>
      <c r="R5" s="251"/>
      <c r="S5" s="252"/>
      <c r="T5" s="41"/>
      <c r="U5" s="41"/>
      <c r="V5" s="602" t="s">
        <v>351</v>
      </c>
      <c r="W5" s="603">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32.4</v>
      </c>
      <c r="E6" s="254">
        <f t="shared" ref="E6:E12" si="2">IF(D6=0,0,F6/D6)</f>
        <v>2198.1219285498491</v>
      </c>
      <c r="F6" s="254" cm="1">
        <f t="array" ref="F6">+SUMPRODUCT(('Budget original'!$A$8:$A$501=$A6)*('Budget original'!$C$3:$AO$3=F$2),'Budget original'!$C$8:$AO$501)</f>
        <v>71219.15048501511</v>
      </c>
      <c r="G6" s="255"/>
      <c r="H6" s="254"/>
      <c r="I6" s="254"/>
      <c r="J6" s="255">
        <f>-SUMIFS(BV_Data_An_Cour!$P:$P,BV_Data_An_Cour!$U:$U,$B6,BV_Data_An_Cour!$V:$V,$C6,BV_Data_An_Cour!$W:$W,J$2)</f>
        <v>66</v>
      </c>
      <c r="K6" s="254">
        <f t="shared" ref="K6:K12" si="3">IF(J6=0,0,L6/J6)</f>
        <v>2198.3616666666653</v>
      </c>
      <c r="L6" s="256">
        <f>-SUMIFS(BV_Data_An_Cour!$P:$P,BV_Data_An_Cour!$U:$U,$B6,BV_Data_An_Cour!$V:$V,$C6,BV_Data_An_Cour!$W:$W,L$2)</f>
        <v>145091.86999999991</v>
      </c>
      <c r="M6" s="255">
        <f t="shared" ref="M6:M12" si="4">J6-D6</f>
        <v>33.6</v>
      </c>
      <c r="N6" s="256">
        <f t="shared" ref="N6:N12" si="5">L6-F6</f>
        <v>73872.719514984798</v>
      </c>
      <c r="O6" s="255" cm="1">
        <f t="array" ref="O6">+SUMPRODUCT(('Réel 2023'!$A$8:$A$501=$A6)*('Réel 2023'!$C$3:$AO$3=O$2),'Réel 2023'!$C$8:$AO$501)</f>
        <v>38</v>
      </c>
      <c r="P6" s="254">
        <f t="shared" ref="P6:P12" si="6">IF(O6=0,0,Q6/O6)</f>
        <v>2121.8226315789393</v>
      </c>
      <c r="Q6" s="256" cm="1">
        <f t="array" ref="Q6">+SUMPRODUCT(('Réel 2023'!$A$8:$A$501=$A6)*('Réel 2023'!$C$3:$AO$3=Q$2),'Réel 2023'!$C$8:$AO$501)</f>
        <v>80629.259999999689</v>
      </c>
      <c r="R6" s="255">
        <f t="shared" ref="R6:R12" si="7">J6-O6</f>
        <v>28</v>
      </c>
      <c r="S6" s="256">
        <f t="shared" ref="S6:S12" si="8">L6-Q6</f>
        <v>64462.610000000219</v>
      </c>
      <c r="T6" s="41"/>
      <c r="U6" s="41"/>
      <c r="V6" s="602" t="s">
        <v>353</v>
      </c>
      <c r="W6" s="603">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135</v>
      </c>
      <c r="E7" s="254">
        <f t="shared" si="2"/>
        <v>2850.2586963355789</v>
      </c>
      <c r="F7" s="254" cm="1">
        <f t="array" ref="F7">+SUMPRODUCT(('Budget original'!$A$8:$A$501=$A7)*('Budget original'!$C$3:$AO$3=F$2),'Budget original'!$C$8:$AO$501)</f>
        <v>384784.92400530312</v>
      </c>
      <c r="G7" s="255"/>
      <c r="H7" s="254"/>
      <c r="I7" s="254"/>
      <c r="J7" s="255">
        <f>-SUMIFS(BV_Data_An_Cour!$P:$P,BV_Data_An_Cour!$U:$U,$B7,BV_Data_An_Cour!$V:$V,$C7,BV_Data_An_Cour!$W:$W,J$2)</f>
        <v>188</v>
      </c>
      <c r="K7" s="254">
        <f t="shared" si="3"/>
        <v>2682.0884042553248</v>
      </c>
      <c r="L7" s="256">
        <f>-SUMIFS(BV_Data_An_Cour!$P:$P,BV_Data_An_Cour!$U:$U,$B7,BV_Data_An_Cour!$V:$V,$C7,BV_Data_An_Cour!$W:$W,L$2)</f>
        <v>504232.62000000104</v>
      </c>
      <c r="M7" s="255">
        <f t="shared" si="4"/>
        <v>53</v>
      </c>
      <c r="N7" s="256">
        <f t="shared" si="5"/>
        <v>119447.69599469792</v>
      </c>
      <c r="O7" s="255" cm="1">
        <f t="array" ref="O7">+SUMPRODUCT(('Réel 2023'!$A$8:$A$501=$A7)*('Réel 2023'!$C$3:$AO$3=O$2),'Réel 2023'!$C$8:$AO$501)</f>
        <v>92</v>
      </c>
      <c r="P7" s="254">
        <f t="shared" si="6"/>
        <v>2483.4470652173891</v>
      </c>
      <c r="Q7" s="256" cm="1">
        <f t="array" ref="Q7">+SUMPRODUCT(('Réel 2023'!$A$8:$A$501=$A7)*('Réel 2023'!$C$3:$AO$3=Q$2),'Réel 2023'!$C$8:$AO$501)</f>
        <v>228477.1299999998</v>
      </c>
      <c r="R7" s="255">
        <f t="shared" si="7"/>
        <v>96</v>
      </c>
      <c r="S7" s="256">
        <f t="shared" si="8"/>
        <v>275755.49000000127</v>
      </c>
      <c r="T7" s="41"/>
      <c r="U7" s="41"/>
      <c r="V7" s="5" t="s">
        <v>355</v>
      </c>
      <c r="W7" s="601">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601">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167.4</v>
      </c>
      <c r="E13" s="260">
        <f>IF(D13&lt;=0,0,F13/D13)</f>
        <v>2724.0386767641471</v>
      </c>
      <c r="F13" s="261">
        <f t="shared" ref="F13" si="9">+SUM(F6:F12)</f>
        <v>456004.07449031825</v>
      </c>
      <c r="G13" s="262"/>
      <c r="H13" s="260"/>
      <c r="I13" s="261"/>
      <c r="J13" s="262">
        <f t="shared" ref="J13" si="10">+SUM(J6:J12)</f>
        <v>254</v>
      </c>
      <c r="K13" s="260">
        <f>IF(J13&lt;=0,0,L13/J13)</f>
        <v>2556.3956299212637</v>
      </c>
      <c r="L13" s="261">
        <f t="shared" ref="L13" si="11">+SUM(L6:L12)</f>
        <v>649324.49000000092</v>
      </c>
      <c r="M13" s="262">
        <f>+SUM(M6:M12)</f>
        <v>86.6</v>
      </c>
      <c r="N13" s="261">
        <f t="shared" ref="N13" si="12">+SUM(N6:N12)</f>
        <v>193320.41550968273</v>
      </c>
      <c r="O13" s="262">
        <f>+SUM(O6:O12)</f>
        <v>130</v>
      </c>
      <c r="P13" s="260">
        <f>IF(O13&lt;=0,0,Q13/O13)</f>
        <v>2377.7414615384578</v>
      </c>
      <c r="Q13" s="261">
        <f t="shared" ref="Q13" si="13">+SUM(Q6:Q12)</f>
        <v>309106.38999999949</v>
      </c>
      <c r="R13" s="262">
        <f t="shared" ref="R13:S13" si="14">+SUM(R6:R12)</f>
        <v>124</v>
      </c>
      <c r="S13" s="261">
        <f t="shared" si="14"/>
        <v>340218.10000000149</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0.51732377538829144</v>
      </c>
      <c r="N14" s="265">
        <f>IF(F13=0,0,N13/F13)</f>
        <v>0.42394449156130787</v>
      </c>
      <c r="O14" s="253"/>
      <c r="P14" s="254"/>
      <c r="Q14" s="263"/>
      <c r="R14" s="264">
        <f>R13/O13</f>
        <v>0.9538461538461539</v>
      </c>
      <c r="S14" s="265">
        <f>IF(Q13=0,0,(S13/Q13))</f>
        <v>1.1006504912434909</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13.33</v>
      </c>
      <c r="E15" s="250">
        <f>IF(D15=0,0,F15/D15)</f>
        <v>2516.1034211712754</v>
      </c>
      <c r="F15" s="248" cm="1">
        <f t="array" ref="F15">+SUMPRODUCT(('Budget original'!$A$8:$A$501=$A15)*('Budget original'!$C$3:$AO$3=F$2),'Budget original'!$C$8:$AO$501)</f>
        <v>33539.658604213102</v>
      </c>
      <c r="G15" s="267"/>
      <c r="H15" s="250"/>
      <c r="I15" s="248"/>
      <c r="J15" s="268">
        <f>-SUMIFS(BV_Data_An_Cour!$P:$P,BV_Data_An_Cour!$U:$U,$B15,BV_Data_An_Cour!$V:$V,$C15,BV_Data_An_Cour!$W:$W,J$2)</f>
        <v>12</v>
      </c>
      <c r="K15" s="269">
        <f>IF(J15=0,0,L15/J15)</f>
        <v>1721.1733333333395</v>
      </c>
      <c r="L15" s="269">
        <f>-SUMIFS(BV_Data_An_Cour!$P:$P,BV_Data_An_Cour!$U:$U,$B15,BV_Data_An_Cour!$V:$V,$C15,BV_Data_An_Cour!$W:$W,L$2)</f>
        <v>20654.080000000075</v>
      </c>
      <c r="M15" s="267">
        <f>J15-D15</f>
        <v>-1.33</v>
      </c>
      <c r="N15" s="248">
        <f>L15-F15</f>
        <v>-12885.578604213028</v>
      </c>
      <c r="O15" s="268" cm="1">
        <f t="array" ref="O15">+SUMPRODUCT(('Réel 2023'!$A$8:$A$501=$A15)*('Réel 2023'!$C$3:$AO$3=O$2),'Réel 2023'!$C$8:$AO$501)</f>
        <v>19</v>
      </c>
      <c r="P15" s="269">
        <f>IF(O15=0,0,Q15/O15)</f>
        <v>3387.3684210526267</v>
      </c>
      <c r="Q15" s="269" cm="1">
        <f t="array" ref="Q15">+SUMPRODUCT(('Réel 2023'!$A$8:$A$501=$A15)*('Réel 2023'!$C$3:$AO$3=Q$2),'Réel 2023'!$C$8:$AO$501)</f>
        <v>64359.999999999905</v>
      </c>
      <c r="R15" s="267">
        <f>J15-O15</f>
        <v>-7</v>
      </c>
      <c r="S15" s="248">
        <f>L15-Q15</f>
        <v>-43705.919999999831</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12.15</v>
      </c>
      <c r="E17" s="254">
        <f>IF(D17=0,0,F17/D17)</f>
        <v>2664.4640678584242</v>
      </c>
      <c r="F17" s="254" cm="1">
        <f t="array" ref="F17">+SUMPRODUCT(('Budget original'!$A$8:$A$501=$A17)*('Budget original'!$C$3:$AO$3=F$2),'Budget original'!$C$8:$AO$501)</f>
        <v>32373.238424479852</v>
      </c>
      <c r="G17" s="255"/>
      <c r="H17" s="254"/>
      <c r="I17" s="254"/>
      <c r="J17" s="267">
        <f>-SUMIFS(BV_Data_An_Cour!$P:$P,BV_Data_An_Cour!$U:$U,$B17,BV_Data_An_Cour!$V:$V,$C17,BV_Data_An_Cour!$W:$W,J$2)</f>
        <v>2</v>
      </c>
      <c r="K17" s="254">
        <f>IF(J17=0,0,L17/J17)</f>
        <v>1747.2799999999988</v>
      </c>
      <c r="L17" s="256">
        <f>-SUMIFS(BV_Data_An_Cour!$P:$P,BV_Data_An_Cour!$U:$U,$B17,BV_Data_An_Cour!$V:$V,$C17,BV_Data_An_Cour!$W:$W,L$2)</f>
        <v>3494.5599999999977</v>
      </c>
      <c r="M17" s="267">
        <f>J17-D17</f>
        <v>-10.15</v>
      </c>
      <c r="N17" s="256">
        <f>L17-F17</f>
        <v>-28878.678424479855</v>
      </c>
      <c r="O17" s="267" cm="1">
        <f t="array" ref="O17">+SUMPRODUCT(('Réel 2023'!$A$8:$A$501=$A17)*('Réel 2023'!$C$3:$AO$3=O$2),'Réel 2023'!$C$8:$AO$501)</f>
        <v>5</v>
      </c>
      <c r="P17" s="254">
        <f>IF(O17=0,0,Q17/O17)</f>
        <v>2950.1839999999997</v>
      </c>
      <c r="Q17" s="256" cm="1">
        <f t="array" ref="Q17">+SUMPRODUCT(('Réel 2023'!$A$8:$A$501=$A17)*('Réel 2023'!$C$3:$AO$3=Q$2),'Réel 2023'!$C$8:$AO$501)</f>
        <v>14750.919999999998</v>
      </c>
      <c r="R17" s="255">
        <f>J17-O17</f>
        <v>-3</v>
      </c>
      <c r="S17" s="256">
        <f>L17-Q17</f>
        <v>-11256.36</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1107457.9000000013</v>
      </c>
      <c r="Y18" s="459">
        <f t="shared" ref="Y18:Y19" si="15">+X18-W18</f>
        <v>1107457.9000000013</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22950</v>
      </c>
      <c r="G19" s="255"/>
      <c r="H19" s="254"/>
      <c r="I19" s="254"/>
      <c r="J19" s="267"/>
      <c r="K19" s="254"/>
      <c r="L19" s="256">
        <f>-SUMIFS(BV_Data_An_Cour!$P:$P,BV_Data_An_Cour!$U:$U,$B19,BV_Data_An_Cour!$V:$V,$C19,BV_Data_An_Cour!$W:$W,L$2)</f>
        <v>22530.369999999995</v>
      </c>
      <c r="M19" s="255"/>
      <c r="N19" s="256">
        <f>L19-F19</f>
        <v>-419.63000000000466</v>
      </c>
      <c r="O19" s="267" cm="1">
        <f t="array" ref="O19">+SUMPRODUCT(('Réel 2023'!$A$8:$A$501=$A19)*('Réel 2023'!$C$3:$AO$3=O$2),'Réel 2023'!$C$8:$AO$501)</f>
        <v>0</v>
      </c>
      <c r="P19" s="254">
        <f>IF(O19=0,0,Q19/O19)</f>
        <v>0</v>
      </c>
      <c r="Q19" s="256" cm="1">
        <f t="array" ref="Q19">+SUMPRODUCT(('Réel 2023'!$A$8:$A$501=$A19)*('Réel 2023'!$C$3:$AO$3=Q$2),'Réel 2023'!$C$8:$AO$501)</f>
        <v>30526.209999999883</v>
      </c>
      <c r="R19" s="255">
        <f>O19-K19</f>
        <v>0</v>
      </c>
      <c r="S19" s="256">
        <f>L19-Q19</f>
        <v>-7995.8399999998874</v>
      </c>
      <c r="T19" s="41"/>
      <c r="U19" s="41"/>
      <c r="V19" s="41" t="s">
        <v>693</v>
      </c>
      <c r="W19" s="459">
        <f>+I194+I250+I314</f>
        <v>0</v>
      </c>
      <c r="X19" s="459">
        <f>+L194+L250+L314</f>
        <v>1205181.6000000001</v>
      </c>
      <c r="Y19" s="459">
        <f t="shared" si="15"/>
        <v>1205181.6000000001</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36146</v>
      </c>
      <c r="G21" s="253"/>
      <c r="H21" s="254"/>
      <c r="I21" s="254"/>
      <c r="J21" s="255"/>
      <c r="K21" s="254">
        <f>IF(J13=0,0,L21/(J13+J15))</f>
        <v>32.812481203007522</v>
      </c>
      <c r="L21" s="256">
        <f>-SUMIFS(BV_Data_An_Cour!$P:$P,BV_Data_An_Cour!$U:$U,$B21,BV_Data_An_Cour!$V:$V,$C21,BV_Data_An_Cour!$W:$W,L$2)</f>
        <v>8728.1200000000008</v>
      </c>
      <c r="M21" s="255"/>
      <c r="N21" s="256">
        <f>L21-F21</f>
        <v>-27417.879999999997</v>
      </c>
      <c r="O21" s="255"/>
      <c r="P21" s="254"/>
      <c r="Q21" s="256" cm="1">
        <f t="array" ref="Q21">+SUMPRODUCT(('Réel 2023'!$A$8:$A$501=$A21)*('Réel 2023'!$C$3:$AO$3=Q$2),'Réel 2023'!$C$8:$AO$501)</f>
        <v>36280.019999999997</v>
      </c>
      <c r="R21" s="255">
        <f t="shared" ref="R21:R23" si="16">O21-K21</f>
        <v>-32.812481203007522</v>
      </c>
      <c r="S21" s="256">
        <f t="shared" ref="S21:S24" si="17">L21-Q21</f>
        <v>-27551.899999999994</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195188.40000000002</v>
      </c>
      <c r="G22" s="253"/>
      <c r="H22" s="254"/>
      <c r="I22" s="254"/>
      <c r="J22" s="255"/>
      <c r="K22" s="254">
        <f>IF(J13=0,0,L22/(J13+J15))</f>
        <v>867.45823308270678</v>
      </c>
      <c r="L22" s="256">
        <f>-SUMIFS(BV_Data_An_Cour!$P:$P,BV_Data_An_Cour!$U:$U,$B22,BV_Data_An_Cour!$V:$V,$C22,BV_Data_An_Cour!$W:$W,L$2)</f>
        <v>230743.89</v>
      </c>
      <c r="M22" s="255"/>
      <c r="N22" s="256">
        <f>L22-F22</f>
        <v>35555.489999999991</v>
      </c>
      <c r="O22" s="255"/>
      <c r="P22" s="254"/>
      <c r="Q22" s="256" cm="1">
        <f t="array" ref="Q22">+SUMPRODUCT(('Réel 2023'!$A$8:$A$501=$A22)*('Réel 2023'!$C$3:$AO$3=Q$2),'Réel 2023'!$C$8:$AO$501)</f>
        <v>130100.18</v>
      </c>
      <c r="R22" s="255">
        <f t="shared" si="16"/>
        <v>-867.45823308270678</v>
      </c>
      <c r="S22" s="256">
        <f t="shared" si="17"/>
        <v>100643.71000000002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3614.6000000000004</v>
      </c>
      <c r="G23" s="253"/>
      <c r="H23" s="254"/>
      <c r="I23" s="254"/>
      <c r="J23" s="255"/>
      <c r="K23" s="254">
        <f>IF(J13=0,0,L23/(J13+J15))</f>
        <v>5.1061278195488722</v>
      </c>
      <c r="L23" s="256">
        <f>-SUMIFS(BV_Data_An_Cour!$P:$P,BV_Data_An_Cour!$U:$U,$B23,BV_Data_An_Cour!$V:$V,$C23,BV_Data_An_Cour!$W:$W,L$2)</f>
        <v>1358.23</v>
      </c>
      <c r="M23" s="267"/>
      <c r="N23" s="256">
        <f>L23-F23</f>
        <v>-2256.3700000000003</v>
      </c>
      <c r="O23" s="255"/>
      <c r="P23" s="254"/>
      <c r="Q23" s="256" cm="1">
        <f t="array" ref="Q23">+SUMPRODUCT(('Réel 2023'!$A$8:$A$501=$A23)*('Réel 2023'!$C$3:$AO$3=Q$2),'Réel 2023'!$C$8:$AO$501)</f>
        <v>616.07000000000005</v>
      </c>
      <c r="R23" s="255">
        <f t="shared" si="16"/>
        <v>-5.1061278195488722</v>
      </c>
      <c r="S23" s="256">
        <f t="shared" si="17"/>
        <v>742.16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180.73000000000002</v>
      </c>
      <c r="E24" s="260">
        <f>IF(D24&lt;=0,0,F24/D24)</f>
        <v>1300</v>
      </c>
      <c r="F24" s="261">
        <f>F21+F22+F23</f>
        <v>234949.00000000003</v>
      </c>
      <c r="G24" s="262"/>
      <c r="H24" s="260"/>
      <c r="I24" s="261"/>
      <c r="J24" s="262">
        <f>+J15+J13</f>
        <v>266</v>
      </c>
      <c r="K24" s="260">
        <f>IF(J24&lt;=0,0,L24/J24)</f>
        <v>905.37684210526322</v>
      </c>
      <c r="L24" s="261">
        <f>L21+L22+L23</f>
        <v>240830.24000000002</v>
      </c>
      <c r="M24" s="275">
        <f>J24-D24</f>
        <v>85.269999999999982</v>
      </c>
      <c r="N24" s="261">
        <f>L24-F24</f>
        <v>5881.2399999999907</v>
      </c>
      <c r="O24" s="262">
        <f>+O15+O13</f>
        <v>149</v>
      </c>
      <c r="P24" s="260">
        <f>IF(O24&lt;=0,0,Q24/O24)</f>
        <v>1120.7803355704698</v>
      </c>
      <c r="Q24" s="261">
        <f>Q21+Q22+Q23</f>
        <v>166996.26999999999</v>
      </c>
      <c r="R24" s="273"/>
      <c r="S24" s="261">
        <f t="shared" si="17"/>
        <v>73833.97000000003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2.5031985664974058E-2</v>
      </c>
      <c r="O25" s="253"/>
      <c r="P25" s="41"/>
      <c r="Q25" s="276"/>
      <c r="R25" s="277"/>
      <c r="S25" s="265">
        <f>IF(Q24=0,0,(S24/Q24))</f>
        <v>0.44212945594533359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192.88000000000002</v>
      </c>
      <c r="E27" s="280">
        <f>IF(D27&lt;=0,0,F27/D27)</f>
        <v>4043.0110510110494</v>
      </c>
      <c r="F27" s="281">
        <f>F13+F17+F24+F19+F15</f>
        <v>779815.97151901131</v>
      </c>
      <c r="G27" s="282"/>
      <c r="H27" s="280"/>
      <c r="I27" s="281"/>
      <c r="J27" s="282">
        <f>+J13+J15+J17</f>
        <v>268</v>
      </c>
      <c r="K27" s="280">
        <f>IF(J27&lt;=0,0,L27/J27)</f>
        <v>3495.6482835820934</v>
      </c>
      <c r="L27" s="281">
        <f>L13+L17+L24+L19+L15</f>
        <v>936833.74000000104</v>
      </c>
      <c r="M27" s="282">
        <f>J27-D27</f>
        <v>75.119999999999976</v>
      </c>
      <c r="N27" s="281">
        <f>L27-F27</f>
        <v>157017.76848098973</v>
      </c>
      <c r="O27" s="282">
        <f>+O13+O15+O17</f>
        <v>154</v>
      </c>
      <c r="P27" s="280">
        <f>IF(O27&lt;=0,0,Q27/O27)</f>
        <v>3803.5051298701255</v>
      </c>
      <c r="Q27" s="281">
        <f>Q13+Q17+Q24+Q19+Q15</f>
        <v>585739.78999999934</v>
      </c>
      <c r="R27" s="282">
        <f>J27-O27</f>
        <v>114</v>
      </c>
      <c r="S27" s="281">
        <f>L27-Q27</f>
        <v>351093.9500000017</v>
      </c>
      <c r="T27" s="41"/>
      <c r="U27" s="41">
        <f>+S27/R27</f>
        <v>3079.7714912280849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4"/>
      <c r="K28" s="284"/>
      <c r="L28" s="287">
        <f>+L27/F27</f>
        <v>1.2013523372381476</v>
      </c>
      <c r="M28" s="286">
        <f>M27/D27</f>
        <v>0.38946495230194922</v>
      </c>
      <c r="N28" s="287">
        <f>N27/F27</f>
        <v>0.20135233723814769</v>
      </c>
      <c r="O28" s="283"/>
      <c r="P28" s="284"/>
      <c r="Q28" s="285"/>
      <c r="R28" s="286">
        <f>R27/O27</f>
        <v>0.74025974025974028</v>
      </c>
      <c r="S28" s="287">
        <f>IF(Q27=0,0,S27/Q27)</f>
        <v>0.59940259479384539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920.95871881890469</v>
      </c>
      <c r="F31" s="254" cm="1">
        <f t="array" ref="F31">+SUMPRODUCT(('Budget original'!$A$8:$A$501=$A31)*('Budget original'!$C$3:$AO$3=F$2),'Budget original'!$C$8:$AO$501)</f>
        <v>166444.86925214066</v>
      </c>
      <c r="G31" s="298"/>
      <c r="H31" s="291"/>
      <c r="I31" s="254"/>
      <c r="J31" s="292">
        <f>L31/(L13+L15+L17)</f>
        <v>0.28655269438886105</v>
      </c>
      <c r="K31" s="291">
        <f t="shared" ref="K31:K40" si="19">IF(L31=0,0,L31/J$24)</f>
        <v>725.50954887218052</v>
      </c>
      <c r="L31" s="254">
        <f>SUMIFS(BV_Data_An_Cour!$P:$P,BV_Data_An_Cour!$U:$U,$B31,BV_Data_An_Cour!$V:$V,$C31,BV_Data_An_Cour!$W:$W,L$2)</f>
        <v>192985.54</v>
      </c>
      <c r="M31" s="253"/>
      <c r="N31" s="276">
        <f t="shared" ref="N31:N53" si="20">L31-F31</f>
        <v>26540.670747859345</v>
      </c>
      <c r="O31" s="253"/>
      <c r="P31" s="291">
        <f t="shared" ref="P31:P40" si="21">Q31/O$24</f>
        <v>828.02751677852348</v>
      </c>
      <c r="Q31" s="256" cm="1">
        <f t="array" ref="Q31">+SUMPRODUCT(('Réel 2023'!$A$8:$A$501=$A31)*('Réel 2023'!$C$3:$AO$3=Q$2),'Réel 2023'!$C$8:$AO$501)</f>
        <v>123376.1</v>
      </c>
      <c r="R31" s="253"/>
      <c r="S31" s="276">
        <f t="shared" ref="S31:S41" si="22">L31-Q31</f>
        <v>69609.440000000002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389.99999999999994</v>
      </c>
      <c r="F32" s="248" cm="1">
        <f t="array" ref="F32">+SUMPRODUCT(('Budget original'!$A$8:$A$501=$A32)*('Budget original'!$C$3:$AO$3=F$2),'Budget original'!$C$8:$AO$501)</f>
        <v>70484.7</v>
      </c>
      <c r="G32" s="300"/>
      <c r="H32" s="294"/>
      <c r="I32" s="248"/>
      <c r="J32" s="295">
        <f>L32/L24</f>
        <v>0.29840492622521153</v>
      </c>
      <c r="K32" s="294">
        <f t="shared" si="19"/>
        <v>270.16890977443609</v>
      </c>
      <c r="L32" s="248">
        <f>SUMIFS(BV_Data_An_Cour!$P:$P,BV_Data_An_Cour!$U:$U,$B32,BV_Data_An_Cour!$V:$V,$C32,BV_Data_An_Cour!$W:$W,L$2)</f>
        <v>71864.929999999993</v>
      </c>
      <c r="M32" s="246"/>
      <c r="N32" s="296">
        <f t="shared" si="20"/>
        <v>1380.2299999999959</v>
      </c>
      <c r="O32" s="246"/>
      <c r="P32" s="294">
        <f t="shared" si="21"/>
        <v>363.92892617449667</v>
      </c>
      <c r="Q32" s="248" cm="1">
        <f t="array" ref="Q32">+SUMPRODUCT(('Réel 2023'!$A$8:$A$501=$A32)*('Réel 2023'!$C$3:$AO$3=Q$2),'Réel 2023'!$C$8:$AO$501)</f>
        <v>54225.41</v>
      </c>
      <c r="R32" s="246"/>
      <c r="S32" s="296">
        <f t="shared" si="22"/>
        <v>17639.51999999999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114.99999999999999</v>
      </c>
      <c r="F33" s="254" cm="1">
        <f t="array" ref="F33">+SUMPRODUCT(('Budget original'!$A$8:$A$501=$A33)*('Budget original'!$C$3:$AO$3=F$2),'Budget original'!$C$8:$AO$501)</f>
        <v>20783.95</v>
      </c>
      <c r="G33" s="298"/>
      <c r="H33" s="291"/>
      <c r="I33" s="254"/>
      <c r="J33" s="253"/>
      <c r="K33" s="291">
        <f t="shared" si="19"/>
        <v>106.91962406015037</v>
      </c>
      <c r="L33" s="254">
        <f>SUMIFS(BV_Data_An_Cour!$P:$P,BV_Data_An_Cour!$U:$U,$B33,BV_Data_An_Cour!$V:$V,$C33,BV_Data_An_Cour!$W:$W,L$2)</f>
        <v>28440.62</v>
      </c>
      <c r="M33" s="253"/>
      <c r="N33" s="276">
        <f t="shared" si="20"/>
        <v>7656.6699999999983</v>
      </c>
      <c r="O33" s="253"/>
      <c r="P33" s="291">
        <f t="shared" si="21"/>
        <v>99.94731543624161</v>
      </c>
      <c r="Q33" s="256" cm="1">
        <f t="array" ref="Q33">+SUMPRODUCT(('Réel 2023'!$A$8:$A$501=$A33)*('Réel 2023'!$C$3:$AO$3=Q$2),'Réel 2023'!$C$8:$AO$501)</f>
        <v>14892.15</v>
      </c>
      <c r="R33" s="253"/>
      <c r="S33" s="276">
        <f t="shared" si="22"/>
        <v>13548.47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542.19000000000005</v>
      </c>
      <c r="G34" s="298"/>
      <c r="H34" s="291"/>
      <c r="I34" s="254"/>
      <c r="J34" s="253"/>
      <c r="K34" s="291">
        <f t="shared" si="19"/>
        <v>7.9077067669172925</v>
      </c>
      <c r="L34" s="254">
        <f>SUMIFS(BV_Data_An_Cour!$P:$P,BV_Data_An_Cour!$U:$U,$B34,BV_Data_An_Cour!$V:$V,$C34,BV_Data_An_Cour!$W:$W,L$2)</f>
        <v>2103.4499999999998</v>
      </c>
      <c r="M34" s="253"/>
      <c r="N34" s="276">
        <f t="shared" si="20"/>
        <v>1561.2599999999998</v>
      </c>
      <c r="O34" s="253"/>
      <c r="P34" s="291">
        <f t="shared" si="21"/>
        <v>1.9453020134228189</v>
      </c>
      <c r="Q34" s="256" cm="1">
        <f t="array" ref="Q34">+SUMPRODUCT(('Réel 2023'!$A$8:$A$501=$A34)*('Réel 2023'!$C$3:$AO$3=Q$2),'Réel 2023'!$C$8:$AO$501)</f>
        <v>289.85000000000002</v>
      </c>
      <c r="R34" s="253"/>
      <c r="S34" s="276">
        <f t="shared" si="22"/>
        <v>1813.6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15371.086500000001</v>
      </c>
      <c r="G35" s="300"/>
      <c r="H35" s="294"/>
      <c r="I35" s="248"/>
      <c r="J35" s="246"/>
      <c r="K35" s="294">
        <f t="shared" si="19"/>
        <v>115.93402255639099</v>
      </c>
      <c r="L35" s="248">
        <f>SUMIFS(BV_Data_An_Cour!$P:$P,BV_Data_An_Cour!$U:$U,$B35,BV_Data_An_Cour!$V:$V,$C35,BV_Data_An_Cour!$W:$W,L$2)</f>
        <v>30838.45</v>
      </c>
      <c r="M35" s="246"/>
      <c r="N35" s="296">
        <f t="shared" si="20"/>
        <v>15467.363499999999</v>
      </c>
      <c r="O35" s="246"/>
      <c r="P35" s="294">
        <f t="shared" si="21"/>
        <v>73.376107382550344</v>
      </c>
      <c r="Q35" s="256" cm="1">
        <f t="array" ref="Q35">+SUMPRODUCT(('Réel 2023'!$A$8:$A$501=$A35)*('Réel 2023'!$C$3:$AO$3=Q$2),'Réel 2023'!$C$8:$AO$501)</f>
        <v>10933.04</v>
      </c>
      <c r="R35" s="246"/>
      <c r="S35" s="296">
        <f t="shared" si="22"/>
        <v>19905.41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165.27969899850603</v>
      </c>
      <c r="F36" s="254" cm="1">
        <f t="array" ref="F36">+SUMPRODUCT(('Budget original'!$A$8:$A$501=$A36)*('Budget original'!$C$3:$AO$3=F$2),'Budget original'!$C$8:$AO$501)</f>
        <v>29871</v>
      </c>
      <c r="G36" s="298"/>
      <c r="H36" s="291"/>
      <c r="I36" s="254"/>
      <c r="J36" s="253"/>
      <c r="K36" s="291">
        <f t="shared" si="19"/>
        <v>98.851203007518791</v>
      </c>
      <c r="L36" s="301">
        <f>SUMIFS(BV_Data_An_Cour!$P:$P,BV_Data_An_Cour!$U:$U,$B36,BV_Data_An_Cour!$V:$V,$C36,BV_Data_An_Cour!$W:$W,L$2)</f>
        <v>26294.42</v>
      </c>
      <c r="M36" s="41"/>
      <c r="N36" s="276">
        <f t="shared" si="20"/>
        <v>-3576.5800000000017</v>
      </c>
      <c r="O36" s="253"/>
      <c r="P36" s="291">
        <f t="shared" si="21"/>
        <v>113.92181208053685</v>
      </c>
      <c r="Q36" s="272" cm="1">
        <f t="array" ref="Q36">+SUMPRODUCT(('Réel 2023'!$A$8:$A$501=$A36)*('Réel 2023'!$C$3:$AO$3=Q$2),'Réel 2023'!$C$8:$AO$501)</f>
        <v>16974.349999999991</v>
      </c>
      <c r="R36" s="253"/>
      <c r="S36" s="276">
        <f t="shared" si="22"/>
        <v>9320.070000000007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379.57498674064885</v>
      </c>
      <c r="F37" s="254" cm="1">
        <f t="array" ref="F37">+SUMPRODUCT(('Budget original'!$A$8:$A$501=$A37)*('Budget original'!$C$3:$AO$3=F$2),'Budget original'!$C$8:$AO$501)</f>
        <v>68600.587353637471</v>
      </c>
      <c r="G37" s="298"/>
      <c r="H37" s="291"/>
      <c r="I37" s="254"/>
      <c r="J37" s="253"/>
      <c r="K37" s="291">
        <f t="shared" si="19"/>
        <v>461.55913533834587</v>
      </c>
      <c r="L37" s="953">
        <f>SUMIFS(BV_Data_An_Cour!$P:$P,BV_Data_An_Cour!$U:$U,$B37,BV_Data_An_Cour!$V:$V,$C37,BV_Data_An_Cour!$W:$W,L$2)</f>
        <v>122774.73</v>
      </c>
      <c r="M37" s="988"/>
      <c r="N37" s="963">
        <f t="shared" si="20"/>
        <v>54174.142646362525</v>
      </c>
      <c r="O37" s="253"/>
      <c r="P37" s="291">
        <f t="shared" si="21"/>
        <v>115.55778523489931</v>
      </c>
      <c r="Q37" s="256" cm="1">
        <f t="array" ref="Q37">+SUMPRODUCT(('Réel 2023'!$A$8:$A$501=$A37)*('Réel 2023'!$C$3:$AO$3=Q$2),'Réel 2023'!$C$8:$AO$501)</f>
        <v>17218.109999999997</v>
      </c>
      <c r="R37" s="253"/>
      <c r="S37" s="276">
        <f t="shared" si="22"/>
        <v>105556.62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0.47716178777534396</v>
      </c>
      <c r="F41" s="307">
        <f>SUM(F31:F40)</f>
        <v>372098.38310577814</v>
      </c>
      <c r="G41" s="308"/>
      <c r="H41" s="306"/>
      <c r="I41" s="307"/>
      <c r="J41" s="308" t="s">
        <v>119</v>
      </c>
      <c r="K41" s="306">
        <f>L41/L$27</f>
        <v>0.50734951113097126</v>
      </c>
      <c r="L41" s="307">
        <f>SUM(L31:L40)</f>
        <v>475302.13999999996</v>
      </c>
      <c r="M41" s="309"/>
      <c r="N41" s="307">
        <f t="shared" si="20"/>
        <v>103203.75689422182</v>
      </c>
      <c r="O41" s="308" t="s">
        <v>119</v>
      </c>
      <c r="P41" s="306">
        <f>Q41/Q$27</f>
        <v>0.40616842847572343</v>
      </c>
      <c r="Q41" s="310">
        <f>SUM(Q31:Q40)</f>
        <v>237909.01</v>
      </c>
      <c r="R41" s="311"/>
      <c r="S41" s="307">
        <f t="shared" si="22"/>
        <v>237393.12999999995</v>
      </c>
      <c r="T41" s="41"/>
      <c r="U41" s="60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75724.829166666677</v>
      </c>
      <c r="G42" s="253"/>
      <c r="H42" s="41"/>
      <c r="I42" s="254"/>
      <c r="J42" s="253"/>
      <c r="K42" s="41"/>
      <c r="L42" s="256">
        <f>SUMIFS(BV_Data_An_Cour!$P:$P,BV_Data_An_Cour!$U:$U,$B42,BV_Data_An_Cour!$V:$V,$C42,BV_Data_An_Cour!$W:$W,L$2)</f>
        <v>68762.23</v>
      </c>
      <c r="M42" s="253"/>
      <c r="N42" s="276">
        <f t="shared" si="20"/>
        <v>-6962.5991666666814</v>
      </c>
      <c r="O42" s="253"/>
      <c r="P42" s="41"/>
      <c r="Q42" s="256" cm="1">
        <f t="array" ref="Q42">+SUMPRODUCT(('Réel 2023'!$A$8:$A$501=$A42)*('Réel 2023'!$C$3:$AO$3=Q$2),'Réel 2023'!$C$8:$AO$501)</f>
        <v>49614.609999999993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47756.922076923074</v>
      </c>
      <c r="G43" s="298"/>
      <c r="H43" s="41"/>
      <c r="I43" s="248"/>
      <c r="J43" s="253"/>
      <c r="K43" s="606"/>
      <c r="L43" s="256">
        <f>SUMIFS(BV_Data_An_Cour!$P:$P,BV_Data_An_Cour!$U:$U,$B43,BV_Data_An_Cour!$V:$V,$C43,BV_Data_An_Cour!$W:$W,L$2)</f>
        <v>38590.339999999997</v>
      </c>
      <c r="M43" s="253"/>
      <c r="N43" s="276">
        <f t="shared" si="20"/>
        <v>-9166.5820769230777</v>
      </c>
      <c r="O43" s="253"/>
      <c r="P43" s="41"/>
      <c r="Q43" s="256" cm="1">
        <f t="array" ref="Q43">+SUMPRODUCT(('Réel 2023'!$A$8:$A$501=$A43)*('Réel 2023'!$C$3:$AO$3=Q$2),'Réel 2023'!$C$8:$AO$501)</f>
        <v>48546.63</v>
      </c>
      <c r="R43" s="253"/>
      <c r="S43" s="276">
        <f t="shared" ref="S43:S53" si="23">L43-Q43</f>
        <v>-9956.2900000000009</v>
      </c>
      <c r="T43" s="41"/>
      <c r="U43" s="60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11323.503846153848</v>
      </c>
      <c r="G44" s="316"/>
      <c r="H44" s="315"/>
      <c r="I44" s="254"/>
      <c r="J44" s="241"/>
      <c r="K44" s="315"/>
      <c r="L44" s="272">
        <f>SUMIFS(BV_Data_An_Cour!$P:$P,BV_Data_An_Cour!$U:$U,$B44,BV_Data_An_Cour!$V:$V,$C44,BV_Data_An_Cour!$W:$W,L$2)</f>
        <v>14776.56</v>
      </c>
      <c r="M44" s="241"/>
      <c r="N44" s="317">
        <f t="shared" si="20"/>
        <v>3453.0561538461516</v>
      </c>
      <c r="O44" s="241"/>
      <c r="P44" s="315"/>
      <c r="Q44" s="272" cm="1">
        <f t="array" ref="Q44">+SUMPRODUCT(('Réel 2023'!$A$8:$A$501=$A44)*('Réel 2023'!$C$3:$AO$3=Q$2),'Réel 2023'!$C$8:$AO$501)</f>
        <v>46075.140000000007</v>
      </c>
      <c r="R44" s="241"/>
      <c r="S44" s="317">
        <f t="shared" si="23"/>
        <v>-31298.580000000009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44374.780598634999</v>
      </c>
      <c r="G49" s="298"/>
      <c r="H49" s="41"/>
      <c r="I49" s="248"/>
      <c r="J49" s="253"/>
      <c r="K49" s="41"/>
      <c r="L49" s="248">
        <f>SUMIFS(BV_Data_An_Cour!$P:$P,BV_Data_An_Cour!$U:$U,$B49,BV_Data_An_Cour!$V:$V,$C49,BV_Data_An_Cour!$W:$W,L$2)</f>
        <v>41548.75</v>
      </c>
      <c r="M49" s="253"/>
      <c r="N49" s="276">
        <f t="shared" si="20"/>
        <v>-2826.0305986349995</v>
      </c>
      <c r="O49" s="253"/>
      <c r="P49" s="41"/>
      <c r="Q49" s="248" cm="1">
        <f t="array" ref="Q49">+SUMPRODUCT(('Réel 2023'!$A$8:$A$501=$A49)*('Réel 2023'!$C$3:$AO$3=Q$2),'Réel 2023'!$C$8:$AO$501)</f>
        <v>45940.369999999995</v>
      </c>
      <c r="R49" s="253"/>
      <c r="S49" s="276">
        <f t="shared" si="23"/>
        <v>-4391.6199999999953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53953.477732261061</v>
      </c>
      <c r="G50" s="316"/>
      <c r="H50" s="315"/>
      <c r="I50" s="254"/>
      <c r="J50" s="241"/>
      <c r="K50" s="315"/>
      <c r="L50" s="256">
        <f>SUMIFS(BV_Data_An_Cour!$P:$P,BV_Data_An_Cour!$U:$U,$B50,BV_Data_An_Cour!$V:$V,$C50,BV_Data_An_Cour!$W:$W,L$2)</f>
        <v>68368.55</v>
      </c>
      <c r="M50" s="241"/>
      <c r="N50" s="317">
        <f t="shared" si="20"/>
        <v>14415.072267738942</v>
      </c>
      <c r="O50" s="241"/>
      <c r="P50" s="315"/>
      <c r="Q50" s="256" cm="1">
        <f t="array" ref="Q50">+SUMPRODUCT(('Réel 2023'!$A$8:$A$501=$A50)*('Réel 2023'!$C$3:$AO$3=Q$2),'Réel 2023'!$C$8:$AO$501)</f>
        <v>63875.81</v>
      </c>
      <c r="R50" s="241"/>
      <c r="S50" s="317">
        <f t="shared" si="23"/>
        <v>4492.7400000000052</v>
      </c>
      <c r="T50" s="41"/>
      <c r="U50" s="254">
        <f>L50-Print_Mois!L50</f>
        <v>49770.48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27797.770049012761</v>
      </c>
      <c r="G51" s="298"/>
      <c r="H51" s="41"/>
      <c r="I51" s="254"/>
      <c r="J51" s="253"/>
      <c r="K51" s="41"/>
      <c r="L51" s="256">
        <f>SUMIFS(BV_Data_An_Cour!$P:$P,BV_Data_An_Cour!$U:$U,$B51,BV_Data_An_Cour!$V:$V,$C51,BV_Data_An_Cour!$W:$W,L$2)</f>
        <v>26923.79</v>
      </c>
      <c r="M51" s="253"/>
      <c r="N51" s="276">
        <f t="shared" si="20"/>
        <v>-873.98004901275999</v>
      </c>
      <c r="O51" s="253"/>
      <c r="P51" s="41"/>
      <c r="Q51" s="256" cm="1">
        <f t="array" ref="Q51">+SUMPRODUCT(('Réel 2023'!$A$8:$A$501=$A51)*('Réel 2023'!$C$3:$AO$3=Q$2),'Réel 2023'!$C$8:$AO$501)</f>
        <v>27655.61</v>
      </c>
      <c r="R51" s="253"/>
      <c r="S51" s="276">
        <f t="shared" si="23"/>
        <v>-731.81999999999971</v>
      </c>
      <c r="T51" s="41"/>
      <c r="U51" s="254">
        <f>L51-Print_Mois!L51</f>
        <v>19648.38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12119.984128261542</v>
      </c>
      <c r="G52" s="298"/>
      <c r="H52" s="41"/>
      <c r="I52" s="254"/>
      <c r="J52" s="253"/>
      <c r="K52" s="41"/>
      <c r="L52" s="256">
        <f>SUMIFS(BV_Data_An_Cour!$P:$P,BV_Data_An_Cour!$U:$U,$B52,BV_Data_An_Cour!$V:$V,$C52,BV_Data_An_Cour!$W:$W,L$2)</f>
        <v>12396.05</v>
      </c>
      <c r="M52" s="253"/>
      <c r="N52" s="276">
        <f t="shared" si="20"/>
        <v>276.06587173845764</v>
      </c>
      <c r="O52" s="253"/>
      <c r="P52" s="41"/>
      <c r="Q52" s="256" cm="1">
        <f t="array" ref="Q52">+SUMPRODUCT(('Réel 2023'!$A$8:$A$501=$A52)*('Réel 2023'!$C$3:$AO$3=Q$2),'Réel 2023'!$C$8:$AO$501)</f>
        <v>10248.5</v>
      </c>
      <c r="R52" s="253"/>
      <c r="S52" s="276">
        <f t="shared" si="23"/>
        <v>2147.5499999999993</v>
      </c>
      <c r="T52" s="41"/>
      <c r="U52" s="254">
        <f>L52-Print_Mois!L52</f>
        <v>8690.98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0.35014833957046904</v>
      </c>
      <c r="F54" s="307">
        <f>+SUM(F42:F53)</f>
        <v>273051.26759791397</v>
      </c>
      <c r="G54" s="308"/>
      <c r="H54" s="306"/>
      <c r="I54" s="307"/>
      <c r="J54" s="308" t="s">
        <v>119</v>
      </c>
      <c r="K54" s="306">
        <f>L54/L$27</f>
        <v>0.28966321174555448</v>
      </c>
      <c r="L54" s="307">
        <f>+SUM(L42:L53)</f>
        <v>271366.27</v>
      </c>
      <c r="M54" s="311"/>
      <c r="N54" s="307">
        <f>+SUM(N42:N53)</f>
        <v>-1684.9975979139672</v>
      </c>
      <c r="O54" s="308" t="s">
        <v>119</v>
      </c>
      <c r="P54" s="306">
        <f>Q54/Q$27</f>
        <v>0.49844090325501073</v>
      </c>
      <c r="Q54" s="307">
        <f>+SUM(Q42:Q53)</f>
        <v>291956.67</v>
      </c>
      <c r="R54" s="311"/>
      <c r="S54" s="307">
        <f>+SUM(S42:S53)</f>
        <v>-39738.020000000004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36800</v>
      </c>
      <c r="G57" s="300"/>
      <c r="H57" s="318"/>
      <c r="I57" s="248"/>
      <c r="J57" s="246"/>
      <c r="K57" s="318"/>
      <c r="L57" s="248">
        <f>SUMIFS(BV_Data_An_Cour!$P:$P,BV_Data_An_Cour!$U:$U,$B57,BV_Data_An_Cour!$V:$V,$C57,BV_Data_An_Cour!$W:$W,L$2)</f>
        <v>33451.089999999997</v>
      </c>
      <c r="M57" s="246"/>
      <c r="N57" s="296">
        <f t="shared" si="24"/>
        <v>-3348.9100000000035</v>
      </c>
      <c r="O57" s="246"/>
      <c r="P57" s="318"/>
      <c r="Q57" s="248" cm="1">
        <f t="array" ref="Q57">+SUMPRODUCT(('Réel 2023'!$A$8:$A$501=$A57)*('Réel 2023'!$C$3:$AO$3=Q$2),'Réel 2023'!$C$8:$AO$501)</f>
        <v>28337.989999999998</v>
      </c>
      <c r="R57" s="246"/>
      <c r="S57" s="296">
        <f t="shared" si="25"/>
        <v>5113.0999999999985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36158.781864888886</v>
      </c>
      <c r="G58" s="298"/>
      <c r="H58" s="41"/>
      <c r="I58" s="254"/>
      <c r="J58" s="253"/>
      <c r="K58" s="41"/>
      <c r="L58" s="256">
        <f>SUMIFS(BV_Data_An_Cour!$P:$P,BV_Data_An_Cour!$U:$U,$B58,BV_Data_An_Cour!$V:$V,$C58,BV_Data_An_Cour!$W:$W,L$2)</f>
        <v>28338.43</v>
      </c>
      <c r="M58" s="253"/>
      <c r="N58" s="276">
        <f t="shared" si="24"/>
        <v>-7820.3518648888858</v>
      </c>
      <c r="O58" s="253"/>
      <c r="P58" s="41"/>
      <c r="Q58" s="256" cm="1">
        <f t="array" ref="Q58">+SUMPRODUCT(('Réel 2023'!$A$8:$A$501=$A58)*('Réel 2023'!$C$3:$AO$3=Q$2),'Réel 2023'!$C$8:$AO$501)</f>
        <v>27443.43</v>
      </c>
      <c r="R58" s="253"/>
      <c r="S58" s="276">
        <f t="shared" si="25"/>
        <v>895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4420.9035395644787</v>
      </c>
      <c r="G59" s="298"/>
      <c r="H59" s="41"/>
      <c r="I59" s="254"/>
      <c r="J59" s="253"/>
      <c r="K59" s="41"/>
      <c r="L59" s="256">
        <f>SUMIFS(BV_Data_An_Cour!$P:$P,BV_Data_An_Cour!$U:$U,$B59,BV_Data_An_Cour!$V:$V,$C59,BV_Data_An_Cour!$W:$W,L$2)</f>
        <v>5113.47</v>
      </c>
      <c r="M59" s="253"/>
      <c r="N59" s="276">
        <f t="shared" si="24"/>
        <v>692.56646043552155</v>
      </c>
      <c r="O59" s="253"/>
      <c r="P59" s="41"/>
      <c r="Q59" s="256" cm="1">
        <f t="array" ref="Q59">+SUMPRODUCT(('Réel 2023'!$A$8:$A$501=$A59)*('Réel 2023'!$C$3:$AO$3=Q$2),'Réel 2023'!$C$8:$AO$501)</f>
        <v>6089.6299999999992</v>
      </c>
      <c r="R59" s="253"/>
      <c r="S59" s="276">
        <f t="shared" si="25"/>
        <v>-976.15999999999894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26845.674568829632</v>
      </c>
      <c r="G60" s="300"/>
      <c r="H60" s="318"/>
      <c r="I60" s="248"/>
      <c r="J60" s="246"/>
      <c r="K60" s="318"/>
      <c r="L60" s="248">
        <f>SUMIFS(BV_Data_An_Cour!$P:$P,BV_Data_An_Cour!$U:$U,$B60,BV_Data_An_Cour!$V:$V,$C60,BV_Data_An_Cour!$W:$W,L$2)</f>
        <v>27682.03</v>
      </c>
      <c r="M60" s="246"/>
      <c r="N60" s="296">
        <f t="shared" si="24"/>
        <v>836.3554311703665</v>
      </c>
      <c r="O60" s="246"/>
      <c r="P60" s="318"/>
      <c r="Q60" s="248" cm="1">
        <f t="array" ref="Q60">+SUMPRODUCT(('Réel 2023'!$A$8:$A$501=$A60)*('Réel 2023'!$C$3:$AO$3=Q$2),'Réel 2023'!$C$8:$AO$501)</f>
        <v>26907.45</v>
      </c>
      <c r="R60" s="246"/>
      <c r="S60" s="296">
        <f t="shared" si="25"/>
        <v>774.57999999999811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500</v>
      </c>
      <c r="G61" s="298"/>
      <c r="H61" s="41"/>
      <c r="I61" s="254"/>
      <c r="J61" s="253"/>
      <c r="K61" s="41"/>
      <c r="L61" s="256">
        <f>SUMIFS(BV_Data_An_Cour!$P:$P,BV_Data_An_Cour!$U:$U,$B61,BV_Data_An_Cour!$V:$V,$C61,BV_Data_An_Cour!$W:$W,L$2)</f>
        <v>361.4</v>
      </c>
      <c r="M61" s="253"/>
      <c r="N61" s="276">
        <f t="shared" si="24"/>
        <v>-138.60000000000002</v>
      </c>
      <c r="O61" s="253"/>
      <c r="P61" s="41"/>
      <c r="Q61" s="256" cm="1">
        <f t="array" ref="Q61">+SUMPRODUCT(('Réel 2023'!$A$8:$A$501=$A61)*('Réel 2023'!$C$3:$AO$3=Q$2),'Réel 2023'!$C$8:$AO$501)</f>
        <v>8.23</v>
      </c>
      <c r="R61" s="253"/>
      <c r="S61" s="276">
        <f t="shared" si="25"/>
        <v>353.16999999999996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333.33333333333331</v>
      </c>
      <c r="G62" s="298"/>
      <c r="H62" s="41"/>
      <c r="I62" s="254"/>
      <c r="J62" s="253"/>
      <c r="K62" s="41"/>
      <c r="L62" s="256">
        <f>SUMIFS(BV_Data_An_Cour!$P:$P,BV_Data_An_Cour!$U:$U,$B62,BV_Data_An_Cour!$V:$V,$C62,BV_Data_An_Cour!$W:$W,L$2)</f>
        <v>0</v>
      </c>
      <c r="M62" s="253"/>
      <c r="N62" s="276">
        <f t="shared" si="24"/>
        <v>-333.33333333333331</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3027.7864078719999</v>
      </c>
      <c r="G63" s="298"/>
      <c r="H63" s="41"/>
      <c r="I63" s="254"/>
      <c r="J63" s="253"/>
      <c r="K63" s="41"/>
      <c r="L63" s="256">
        <f>SUMIFS(BV_Data_An_Cour!$P:$P,BV_Data_An_Cour!$U:$U,$B63,BV_Data_An_Cour!$V:$V,$C63,BV_Data_An_Cour!$W:$W,L$2)</f>
        <v>2689.83</v>
      </c>
      <c r="M63" s="253"/>
      <c r="N63" s="276">
        <f t="shared" si="24"/>
        <v>-337.956407872</v>
      </c>
      <c r="O63" s="253"/>
      <c r="P63" s="41"/>
      <c r="Q63" s="256" cm="1">
        <f t="array" ref="Q63">+SUMPRODUCT(('Réel 2023'!$A$8:$A$501=$A63)*('Réel 2023'!$C$3:$AO$3=Q$2),'Réel 2023'!$C$8:$AO$501)</f>
        <v>3114.8799999999997</v>
      </c>
      <c r="R63" s="253"/>
      <c r="S63" s="276">
        <f t="shared" si="25"/>
        <v>-425.04999999999973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1237.6139402115557</v>
      </c>
      <c r="G64" s="298"/>
      <c r="H64" s="41"/>
      <c r="I64" s="254"/>
      <c r="J64" s="253"/>
      <c r="K64" s="41"/>
      <c r="L64" s="256">
        <f>SUMIFS(BV_Data_An_Cour!$P:$P,BV_Data_An_Cour!$U:$U,$B64,BV_Data_An_Cour!$V:$V,$C64,BV_Data_An_Cour!$W:$W,L$2)</f>
        <v>1379.94</v>
      </c>
      <c r="M64" s="253"/>
      <c r="N64" s="276">
        <f t="shared" si="24"/>
        <v>142.32605978844435</v>
      </c>
      <c r="O64" s="253"/>
      <c r="P64" s="41"/>
      <c r="Q64" s="256" cm="1">
        <f t="array" ref="Q64">+SUMPRODUCT(('Réel 2023'!$A$8:$A$501=$A64)*('Réel 2023'!$C$3:$AO$3=Q$2),'Réel 2023'!$C$8:$AO$501)</f>
        <v>1202.3899999999999</v>
      </c>
      <c r="R64" s="253"/>
      <c r="S64" s="276">
        <f t="shared" si="25"/>
        <v>177.55000000000018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452.51523962844448</v>
      </c>
      <c r="G65" s="298"/>
      <c r="H65" s="41"/>
      <c r="I65" s="254"/>
      <c r="J65" s="253"/>
      <c r="K65" s="41"/>
      <c r="L65" s="256">
        <f>SUMIFS(BV_Data_An_Cour!$P:$P,BV_Data_An_Cour!$U:$U,$B65,BV_Data_An_Cour!$V:$V,$C65,BV_Data_An_Cour!$W:$W,L$2)</f>
        <v>670.12</v>
      </c>
      <c r="M65" s="253"/>
      <c r="N65" s="276">
        <f t="shared" si="24"/>
        <v>217.60476037155553</v>
      </c>
      <c r="O65" s="253"/>
      <c r="P65" s="41"/>
      <c r="Q65" s="256" cm="1">
        <f t="array" ref="Q65">+SUMPRODUCT(('Réel 2023'!$A$8:$A$501=$A65)*('Réel 2023'!$C$3:$AO$3=Q$2),'Réel 2023'!$C$8:$AO$501)</f>
        <v>404.84000000000003</v>
      </c>
      <c r="R65" s="253"/>
      <c r="S65" s="276">
        <f t="shared" si="25"/>
        <v>265.27999999999997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1129.8504137404445</v>
      </c>
      <c r="G66" s="298"/>
      <c r="H66" s="41"/>
      <c r="I66" s="254"/>
      <c r="J66" s="253"/>
      <c r="K66" s="41"/>
      <c r="L66" s="256">
        <f>SUMIFS(BV_Data_An_Cour!$P:$P,BV_Data_An_Cour!$U:$U,$B66,BV_Data_An_Cour!$V:$V,$C66,BV_Data_An_Cour!$W:$W,L$2)</f>
        <v>766.82</v>
      </c>
      <c r="M66" s="253"/>
      <c r="N66" s="276">
        <f t="shared" si="24"/>
        <v>-363.03041374044449</v>
      </c>
      <c r="O66" s="253"/>
      <c r="P66" s="41"/>
      <c r="Q66" s="256" cm="1">
        <f t="array" ref="Q66">+SUMPRODUCT(('Réel 2023'!$A$8:$A$501=$A66)*('Réel 2023'!$C$3:$AO$3=Q$2),'Réel 2023'!$C$8:$AO$501)</f>
        <v>1033.5899999999999</v>
      </c>
      <c r="R66" s="253"/>
      <c r="S66" s="276">
        <f t="shared" si="25"/>
        <v>-266.76999999999987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7596.43</v>
      </c>
      <c r="G67" s="298"/>
      <c r="H67" s="41"/>
      <c r="I67" s="254"/>
      <c r="J67" s="253"/>
      <c r="K67" s="41"/>
      <c r="L67" s="256">
        <f>SUMIFS(BV_Data_An_Cour!$P:$P,BV_Data_An_Cour!$U:$U,$B67,BV_Data_An_Cour!$V:$V,$C67,BV_Data_An_Cour!$W:$W,L$2)</f>
        <v>5534.14</v>
      </c>
      <c r="M67" s="253"/>
      <c r="N67" s="276">
        <f t="shared" si="24"/>
        <v>-2062.29</v>
      </c>
      <c r="O67" s="253"/>
      <c r="P67" s="41"/>
      <c r="Q67" s="256" cm="1">
        <f t="array" ref="Q67">+SUMPRODUCT(('Réel 2023'!$A$8:$A$501=$A67)*('Réel 2023'!$C$3:$AO$3=Q$2),'Réel 2023'!$C$8:$AO$501)</f>
        <v>12912.75</v>
      </c>
      <c r="R67" s="253"/>
      <c r="S67" s="276">
        <f t="shared" si="25"/>
        <v>-7378.61</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13453.183716037131</v>
      </c>
      <c r="G68" s="298"/>
      <c r="H68" s="41"/>
      <c r="I68" s="254"/>
      <c r="J68" s="253"/>
      <c r="K68" s="41"/>
      <c r="L68" s="954">
        <f>SUMIFS(BV_Data_An_Cour!$P:$P,BV_Data_An_Cour!$U:$U,$B68,BV_Data_An_Cour!$V:$V,$C68,BV_Data_An_Cour!$W:$W,L$2)</f>
        <v>13017.18</v>
      </c>
      <c r="M68" s="989"/>
      <c r="N68" s="963">
        <f t="shared" si="24"/>
        <v>-436.00371603713029</v>
      </c>
      <c r="O68" s="253"/>
      <c r="P68" s="41"/>
      <c r="Q68" s="256" cm="1">
        <f t="array" ref="Q68">+SUMPRODUCT(('Réel 2023'!$A$8:$A$501=$A68)*('Réel 2023'!$C$3:$AO$3=Q$2),'Réel 2023'!$C$8:$AO$501)</f>
        <v>9007.8499999999985</v>
      </c>
      <c r="R68" s="253"/>
      <c r="S68" s="276">
        <f t="shared" si="25"/>
        <v>4009.3300000000017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0.1692143760111342</v>
      </c>
      <c r="F72" s="307">
        <f>+SUM(F55:F71)</f>
        <v>131956.07302410589</v>
      </c>
      <c r="G72" s="308"/>
      <c r="H72" s="306"/>
      <c r="I72" s="307"/>
      <c r="J72" s="308" t="s">
        <v>119</v>
      </c>
      <c r="K72" s="306">
        <f>L72/L$27</f>
        <v>0.1270283561734229</v>
      </c>
      <c r="L72" s="307">
        <f>+SUM(L55:L71)</f>
        <v>119004.44999999998</v>
      </c>
      <c r="M72" s="311"/>
      <c r="N72" s="307">
        <f>+SUM(N55:N71)</f>
        <v>-12951.623024105907</v>
      </c>
      <c r="O72" s="308" t="s">
        <v>119</v>
      </c>
      <c r="P72" s="306">
        <f>Q72/Q$27</f>
        <v>0.19883066164926261</v>
      </c>
      <c r="Q72" s="307">
        <f>+SUM(Q55:Q71)</f>
        <v>116463.03</v>
      </c>
      <c r="R72" s="311"/>
      <c r="S72" s="307">
        <f>+SUM(S55:S71)</f>
        <v>2541.42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0.99652450335694709</v>
      </c>
      <c r="F74" s="307">
        <f>F41+F54+F72</f>
        <v>777105.72372779797</v>
      </c>
      <c r="G74" s="308"/>
      <c r="H74" s="306"/>
      <c r="I74" s="307"/>
      <c r="J74" s="308" t="s">
        <v>119</v>
      </c>
      <c r="K74" s="306">
        <f>L74/L$27</f>
        <v>0.92404107904994848</v>
      </c>
      <c r="L74" s="307">
        <f>L41+L54+L72</f>
        <v>865672.85999999987</v>
      </c>
      <c r="M74" s="311"/>
      <c r="N74" s="320">
        <f t="shared" ref="N74:N82" si="26">L74-F74</f>
        <v>88567.136272201897</v>
      </c>
      <c r="O74" s="308" t="s">
        <v>119</v>
      </c>
      <c r="P74" s="306">
        <f>Q74/Q$27</f>
        <v>1.1034399933799968</v>
      </c>
      <c r="Q74" s="307">
        <f>Q41+Q54+Q72</f>
        <v>646328.71</v>
      </c>
      <c r="R74" s="311"/>
      <c r="S74" s="320">
        <f>L74-Q74</f>
        <v>219344.14999999991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20000</v>
      </c>
      <c r="G75" s="298"/>
      <c r="H75" s="41"/>
      <c r="I75" s="254"/>
      <c r="J75" s="253"/>
      <c r="K75" s="41"/>
      <c r="L75" s="256">
        <f>-SUMIFS(BV_Data_An_Cour!$P:$P,BV_Data_An_Cour!$U:$U,$B75,BV_Data_An_Cour!$V:$V,$C75,BV_Data_An_Cour!$W:$W,L$2)</f>
        <v>695</v>
      </c>
      <c r="M75" s="253"/>
      <c r="N75" s="276">
        <f t="shared" si="26"/>
        <v>-19305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242517.91506840268</v>
      </c>
      <c r="G78" s="298"/>
      <c r="H78" s="41"/>
      <c r="I78" s="254"/>
      <c r="J78" s="253"/>
      <c r="K78" s="41"/>
      <c r="L78" s="256">
        <f>-SUMIFS(BV_Data_An_Cour!$P:$P,BV_Data_An_Cour!$U:$U,$B78,BV_Data_An_Cour!$V:$V,$C78,BV_Data_An_Cour!$W:$W,L$2)</f>
        <v>333038.7</v>
      </c>
      <c r="M78" s="253"/>
      <c r="N78" s="276">
        <f t="shared" si="26"/>
        <v>90520.784931597329</v>
      </c>
      <c r="O78" s="253"/>
      <c r="P78" s="41"/>
      <c r="Q78" s="256" cm="1">
        <f t="array" ref="Q78">+SUMPRODUCT(('Réel 2023'!$A$8:$A$501=$A78)*('Réel 2023'!$C$3:$AO$3=Q$2),'Réel 2023'!$C$8:$AO$501)</f>
        <v>154255.43</v>
      </c>
      <c r="R78" s="253"/>
      <c r="S78" s="276">
        <f t="shared" si="27"/>
        <v>178783.27000000002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85675.056500000006</v>
      </c>
      <c r="G82" s="298"/>
      <c r="H82" s="41"/>
      <c r="I82" s="254"/>
      <c r="J82" s="253"/>
      <c r="K82" s="41"/>
      <c r="L82" s="256">
        <f>-SUMIFS(BV_Data_An_Cour!$P:$P,BV_Data_An_Cour!$U:$U,$B82,BV_Data_An_Cour!$V:$V,$C82,BV_Data_An_Cour!$W:$W,L$2)</f>
        <v>125814</v>
      </c>
      <c r="M82" s="253"/>
      <c r="N82" s="276">
        <f t="shared" si="26"/>
        <v>40138.943499999994</v>
      </c>
      <c r="O82" s="253"/>
      <c r="P82" s="41"/>
      <c r="Q82" s="256" cm="1">
        <f t="array" ref="Q82">+SUMPRODUCT(('Réel 2023'!$A$8:$A$501=$A82)*('Réel 2023'!$C$3:$AO$3=Q$2),'Réel 2023'!$C$8:$AO$501)</f>
        <v>55812</v>
      </c>
      <c r="R82" s="253"/>
      <c r="S82" s="276">
        <f t="shared" si="27"/>
        <v>70002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348192.97156840266</v>
      </c>
      <c r="G83" s="308"/>
      <c r="H83" s="306"/>
      <c r="I83" s="307"/>
      <c r="J83" s="308"/>
      <c r="K83" s="306"/>
      <c r="L83" s="307">
        <f>+SUM(L75:L82)</f>
        <v>459547.7</v>
      </c>
      <c r="M83" s="311"/>
      <c r="N83" s="307">
        <f>+SUM(N75:N82)</f>
        <v>111354.72843159732</v>
      </c>
      <c r="O83" s="308"/>
      <c r="P83" s="306"/>
      <c r="Q83" s="307">
        <f>+SUM(Q75:Q82)</f>
        <v>210067.43</v>
      </c>
      <c r="R83" s="311"/>
      <c r="S83" s="307">
        <f>+SUM(S75:S82)</f>
        <v>248785.27000000002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350903.21935961599</v>
      </c>
      <c r="G85" s="336"/>
      <c r="H85" s="334"/>
      <c r="I85" s="335"/>
      <c r="J85" s="336"/>
      <c r="K85" s="333"/>
      <c r="L85" s="335">
        <f>L27-L74+L83</f>
        <v>530708.58000000124</v>
      </c>
      <c r="M85" s="336"/>
      <c r="N85" s="335">
        <f>N27-N41-N54-N72+N83</f>
        <v>179805.36064038513</v>
      </c>
      <c r="O85" s="336"/>
      <c r="P85" s="333"/>
      <c r="Q85" s="335">
        <f>Q27-Q74+Q83</f>
        <v>149478.50999999937</v>
      </c>
      <c r="R85" s="336"/>
      <c r="S85" s="335">
        <f>L85-Q85</f>
        <v>381230.07000000187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Avril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06" t="s">
        <v>343</v>
      </c>
      <c r="E91" s="1207"/>
      <c r="F91" s="1208"/>
      <c r="G91" s="1211"/>
      <c r="H91" s="1207"/>
      <c r="I91" s="1208"/>
      <c r="J91" s="1211" t="s">
        <v>344</v>
      </c>
      <c r="K91" s="1207"/>
      <c r="L91" s="1208"/>
      <c r="M91" s="1211" t="s">
        <v>3312</v>
      </c>
      <c r="N91" s="1208"/>
      <c r="O91" s="1206" t="s">
        <v>345</v>
      </c>
      <c r="P91" s="1207"/>
      <c r="Q91" s="1208"/>
      <c r="R91" s="1209" t="s">
        <v>3314</v>
      </c>
      <c r="S91" s="121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6438849.083145408</v>
      </c>
      <c r="G93" s="267"/>
      <c r="H93" s="250"/>
      <c r="I93" s="248"/>
      <c r="J93" s="246"/>
      <c r="K93" s="250"/>
      <c r="L93" s="248">
        <f>-SUMIFS(BV_Data_An_Cour!$P:$P,BV_Data_An_Cour!$X:$X,"Oui",BV_Data_An_Cour!$U:$U,$B93)</f>
        <v>5258851.3299999991</v>
      </c>
      <c r="M93" s="342"/>
      <c r="N93" s="343"/>
      <c r="O93" s="246"/>
      <c r="P93" s="250"/>
      <c r="Q93" s="248" cm="1">
        <f t="array" ref="Q93">+SUMPRODUCT(('Réel 2023'!$A$8:$A$501=$A93)*('Réel 2023'!$C$3:$AO$3=Q$2),'Réel 2023'!$C$8:$AO$501)</f>
        <v>5153431.0799999889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118.79399999999998</v>
      </c>
      <c r="E94" s="254">
        <f t="shared" ref="E94:E100" si="29">IF(D94=0,0,F94/D94)</f>
        <v>1800.0000000000005</v>
      </c>
      <c r="F94" s="254" cm="1">
        <f t="array" ref="F94">+SUMPRODUCT(('Budget original'!$A$8:$A$501=$A94)*('Budget original'!$C$3:$AO$3=F$2),'Budget original'!$C$8:$AO$501)</f>
        <v>213829.2</v>
      </c>
      <c r="G94" s="255"/>
      <c r="H94" s="254"/>
      <c r="I94" s="254"/>
      <c r="J94" s="255">
        <f>-SUMIFS(BV_Data_An_Cour!$P:$P,BV_Data_An_Cour!$U:$U,$B94,BV_Data_An_Cour!$V:$V,$C94,BV_Data_An_Cour!$W:$W,J$2)</f>
        <v>80</v>
      </c>
      <c r="K94" s="254">
        <f t="shared" ref="K94:K95" si="30">IF(J94=0,0,L94/J94)</f>
        <v>881.98437500000057</v>
      </c>
      <c r="L94" s="256">
        <f>-SUMIFS(BV_Data_An_Cour!$P:$P,BV_Data_An_Cour!$U:$U,$B94,BV_Data_An_Cour!$V:$V,$C94,BV_Data_An_Cour!$W:$W,$L2)</f>
        <v>70558.750000000044</v>
      </c>
      <c r="M94" s="255">
        <f>J94-D94</f>
        <v>-38.793999999999983</v>
      </c>
      <c r="N94" s="256">
        <f>L94-F94</f>
        <v>-143270.44999999995</v>
      </c>
      <c r="O94" s="255" cm="1">
        <f t="array" ref="O94">+SUMPRODUCT(('Réel 2023'!$A$8:$A$501=$A94)*('Réel 2023'!$C$3:$AO$3=O$2),'Réel 2023'!$C$8:$AO$501)</f>
        <v>98</v>
      </c>
      <c r="P94" s="254">
        <f t="shared" ref="P94:P100" si="31">IF(O94=0,0,Q94/O94)</f>
        <v>1552.9795918367306</v>
      </c>
      <c r="Q94" s="256" cm="1">
        <f t="array" ref="Q94">+SUMPRODUCT(('Réel 2023'!$A$8:$A$501=$A94)*('Réel 2023'!$C$3:$AO$3=Q$2),'Réel 2023'!$C$8:$AO$501)</f>
        <v>152191.99999999959</v>
      </c>
      <c r="R94" s="255">
        <f t="shared" ref="R94:R95" si="32">J94-O94</f>
        <v>-18</v>
      </c>
      <c r="S94" s="256">
        <f t="shared" ref="S94:S95" si="33">L94-Q94</f>
        <v>-81633.249999999549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6.7012</v>
      </c>
      <c r="E95" s="1081">
        <f t="shared" si="29"/>
        <v>1800</v>
      </c>
      <c r="F95" s="254" cm="1">
        <f t="array" ref="F95">+SUMPRODUCT(('Budget original'!$A$8:$A$501=$A95)*('Budget original'!$C$3:$AO$3=F$2),'Budget original'!$C$8:$AO$501)</f>
        <v>12062.16</v>
      </c>
      <c r="G95" s="255"/>
      <c r="H95" s="254"/>
      <c r="I95" s="254"/>
      <c r="J95" s="255">
        <f>-SUMIFS(BV_Data_An_Cour!$P:$P,BV_Data_An_Cour!$U:$U,$B95,BV_Data_An_Cour!$V:$V,$C95,BV_Data_An_Cour!$W:$W,J$2)</f>
        <v>4</v>
      </c>
      <c r="K95" s="254">
        <f t="shared" si="30"/>
        <v>-1935.1049999999996</v>
      </c>
      <c r="L95" s="256">
        <f>-SUMIFS(BV_Data_An_Cour!$P:$P,BV_Data_An_Cour!$U:$U,$B95,BV_Data_An_Cour!$V:$V,$C95,BV_Data_An_Cour!$W:$W,$L2)</f>
        <v>-7740.4199999999983</v>
      </c>
      <c r="M95" s="255">
        <f>J95-D95</f>
        <v>-2.7012</v>
      </c>
      <c r="N95" s="256">
        <f>L95-F95</f>
        <v>-19802.579999999998</v>
      </c>
      <c r="O95" s="255" cm="1">
        <f t="array" ref="O95">+SUMPRODUCT(('Réel 2023'!$A$8:$A$501=$A95)*('Réel 2023'!$C$3:$AO$3=O$2),'Réel 2023'!$C$8:$AO$501)</f>
        <v>9</v>
      </c>
      <c r="P95" s="254">
        <f t="shared" si="31"/>
        <v>1046.8433333333232</v>
      </c>
      <c r="Q95" s="256" cm="1">
        <f t="array" ref="Q95">+SUMPRODUCT(('Réel 2023'!$A$8:$A$501=$A95)*('Réel 2023'!$C$3:$AO$3=Q$2),'Réel 2023'!$C$8:$AO$501)</f>
        <v>9421.5899999999092</v>
      </c>
      <c r="R95" s="255">
        <f t="shared" si="32"/>
        <v>-5</v>
      </c>
      <c r="S95" s="256">
        <f t="shared" si="33"/>
        <v>-17162.009999999907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9" t="s">
        <v>3862</v>
      </c>
      <c r="D96" s="254" cm="1">
        <f t="array" ref="D96">+SUMPRODUCT(('Budget original'!$A$8:$A$501=$A96)*('Budget original'!$C$3:$AO$3=D$2),'Budget original'!$C$8:$AO$501)</f>
        <v>3.9598000000000004</v>
      </c>
      <c r="E96" s="1083">
        <f t="shared" si="29"/>
        <v>1800</v>
      </c>
      <c r="F96" s="254" cm="1">
        <f t="array" ref="F96">+SUMPRODUCT(('Budget original'!$A$8:$A$501=$A96)*('Budget original'!$C$3:$AO$3=F$2),'Budget original'!$C$8:$AO$501)</f>
        <v>7127.64</v>
      </c>
      <c r="G96" s="1082"/>
      <c r="H96" s="254"/>
      <c r="I96" s="254"/>
      <c r="J96" s="1082">
        <f>-SUMIFS(BV_Data_An_Cour!$P:$P,BV_Data_An_Cour!$U:$U,$B96,BV_Data_An_Cour!$V:$V,$C96,BV_Data_An_Cour!$W:$W,J$2)</f>
        <v>0</v>
      </c>
      <c r="K96" s="254">
        <f t="shared" ref="K96" si="34">IF(J96=0,0,L96/J96)</f>
        <v>0</v>
      </c>
      <c r="L96" s="954">
        <f>-SUMIFS(BV_Data_An_Cour!$P:$P,BV_Data_An_Cour!$U:$U,$B96,BV_Data_An_Cour!$V:$V,$C96,BV_Data_An_Cour!$W:$W,$L2)</f>
        <v>0</v>
      </c>
      <c r="M96" s="1082">
        <f>J96-D96</f>
        <v>-3.9598000000000004</v>
      </c>
      <c r="N96" s="954">
        <f>L96-F96</f>
        <v>-7127.64</v>
      </c>
      <c r="O96" s="1082" cm="1">
        <f t="array" ref="O96">+SUMPRODUCT(('Réel 2023'!$A$8:$A$501=$A96)*('Réel 2023'!$C$3:$AO$3=O$2),'Réel 2023'!$C$8:$AO$501)</f>
        <v>0</v>
      </c>
      <c r="P96" s="254">
        <f t="shared" si="31"/>
        <v>0</v>
      </c>
      <c r="Q96" s="954" cm="1">
        <f t="array" ref="Q96">+SUMPRODUCT(('Réel 2023'!$A$8:$A$501=$A96)*('Réel 2023'!$C$3:$AO$3=Q$2),'Réel 2023'!$C$8:$AO$501)</f>
        <v>0</v>
      </c>
      <c r="R96" s="1082">
        <f>J96-O96</f>
        <v>0</v>
      </c>
      <c r="S96" s="954">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129.45499999999998</v>
      </c>
      <c r="E97" s="254">
        <f t="shared" si="29"/>
        <v>1800.0000000000005</v>
      </c>
      <c r="F97" s="261">
        <f>+F94+F95+F96</f>
        <v>233019.00000000003</v>
      </c>
      <c r="G97" s="262"/>
      <c r="H97" s="260"/>
      <c r="I97" s="261"/>
      <c r="J97" s="262">
        <f>+J94+J95+J96</f>
        <v>84</v>
      </c>
      <c r="K97" s="260">
        <f>IF(J97&lt;=0,0,L97/J97)</f>
        <v>747.8372619047625</v>
      </c>
      <c r="L97" s="261">
        <f>+L94+L95+L96</f>
        <v>62818.330000000045</v>
      </c>
      <c r="M97" s="262">
        <f>J97-D97</f>
        <v>-45.454999999999984</v>
      </c>
      <c r="N97" s="261">
        <f>L97-F97</f>
        <v>-170200.66999999998</v>
      </c>
      <c r="O97" s="262">
        <f>+O95+O94+O96</f>
        <v>107</v>
      </c>
      <c r="P97" s="260">
        <f t="shared" si="31"/>
        <v>1510.4073831775654</v>
      </c>
      <c r="Q97" s="261">
        <f>+Q94+Q95+Q96</f>
        <v>161613.5899999995</v>
      </c>
      <c r="R97" s="262">
        <f>R94+R95</f>
        <v>-23</v>
      </c>
      <c r="S97" s="261">
        <f>S94+S95</f>
        <v>-98795.259999999456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-0.35112587385577992</v>
      </c>
      <c r="N98" s="265">
        <f>N97/F97</f>
        <v>-0.73041541676858956</v>
      </c>
      <c r="O98" s="253"/>
      <c r="P98" s="41">
        <f t="shared" si="31"/>
        <v>0</v>
      </c>
      <c r="Q98" s="263"/>
      <c r="R98" s="264">
        <f>R97/O97</f>
        <v>-0.21495327102803738</v>
      </c>
      <c r="S98" s="265">
        <f>IF(Q97=0,0,(S97/Q97))</f>
        <v>-0.61130539826508257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132.501</v>
      </c>
      <c r="E100" s="254">
        <f t="shared" si="29"/>
        <v>399.99999999999994</v>
      </c>
      <c r="F100" s="254" cm="1">
        <f t="array" ref="F100">+SUMPRODUCT(('Budget original'!$A$8:$A$501=$A100)*('Budget original'!$C$3:$AO$3=F$2),'Budget original'!$C$8:$AO$501)</f>
        <v>53000.399999999994</v>
      </c>
      <c r="G100" s="254"/>
      <c r="H100" s="254"/>
      <c r="I100" s="254"/>
      <c r="J100" s="255">
        <f>-SUMIFS(BV_Data_An_Cour!$P:$P,BV_Data_An_Cour!$U:$U,$B100,BV_Data_An_Cour!$V:$V,$C100,BV_Data_An_Cour!$W:$W,J$2)</f>
        <v>143</v>
      </c>
      <c r="K100" s="254">
        <f t="shared" si="36"/>
        <v>27.232587412589105</v>
      </c>
      <c r="L100" s="256">
        <f>-SUMIFS(BV_Data_An_Cour!$P:$P,BV_Data_An_Cour!$U:$U,$B100,BV_Data_An_Cour!$V:$V,$C100,BV_Data_An_Cour!$W:$W,L$2)</f>
        <v>3894.2600000002421</v>
      </c>
      <c r="M100" s="255">
        <f>J100-D100</f>
        <v>10.498999999999995</v>
      </c>
      <c r="N100" s="256">
        <f>L100-F100</f>
        <v>-49106.139999999752</v>
      </c>
      <c r="O100" s="255" cm="1">
        <f t="array" ref="O100">+SUMPRODUCT(('Réel 2023'!$A$8:$A$501=$A100)*('Réel 2023'!$C$3:$AO$3=O$2),'Réel 2023'!$C$8:$AO$501)</f>
        <v>106</v>
      </c>
      <c r="P100" s="254">
        <f t="shared" si="31"/>
        <v>690.98783018867789</v>
      </c>
      <c r="Q100" s="256" cm="1">
        <f t="array" ref="Q100">+SUMPRODUCT(('Réel 2023'!$A$8:$A$501=$A100)*('Réel 2023'!$C$3:$AO$3=Q$2),'Réel 2023'!$C$8:$AO$501)</f>
        <v>73244.709999999861</v>
      </c>
      <c r="R100" s="255">
        <f t="shared" si="37"/>
        <v>37</v>
      </c>
      <c r="S100" s="256">
        <f t="shared" si="38"/>
        <v>-69350.449999999619</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90618.5</v>
      </c>
      <c r="G102" s="255"/>
      <c r="H102" s="254"/>
      <c r="I102" s="254"/>
      <c r="J102" s="255"/>
      <c r="K102" s="254">
        <f>IF(J97=0,0,L102/J97)</f>
        <v>173.87107142857144</v>
      </c>
      <c r="L102" s="256">
        <f>-SUMIFS(BV_Data_An_Cour!$P:$P,BV_Data_An_Cour!$U:$U,$B102,BV_Data_An_Cour!$V:$V,$C102,BV_Data_An_Cour!$W:$W,$L2)</f>
        <v>14605.17</v>
      </c>
      <c r="M102" s="255"/>
      <c r="N102" s="256">
        <f>L102-F102</f>
        <v>-76013.33</v>
      </c>
      <c r="O102" s="255" cm="1">
        <f t="array" ref="O102">+SUMPRODUCT(('Réel 2023'!$A$8:$A$501=$A102)*('Réel 2023'!$C$3:$AO$3=O$2),'Réel 2023'!$C$8:$AO$501)</f>
        <v>0</v>
      </c>
      <c r="P102" s="254">
        <f t="shared" ref="P102:P105" si="40">IF(O102=0,0,Q102/O102)</f>
        <v>0</v>
      </c>
      <c r="Q102" s="256" cm="1">
        <f t="array" ref="Q102">+SUMPRODUCT(('Réel 2023'!$A$8:$A$501=$A102)*('Réel 2023'!$C$3:$AO$3=Q$2),'Réel 2023'!$C$8:$AO$501)</f>
        <v>82360.08</v>
      </c>
      <c r="R102" s="255">
        <f t="shared" ref="R102:R104" si="41">O102-K102</f>
        <v>-173.87107142857144</v>
      </c>
      <c r="S102" s="256">
        <f t="shared" ref="S102:S105" si="42">L102-Q102</f>
        <v>-67754.91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187709.75</v>
      </c>
      <c r="G103" s="255"/>
      <c r="H103" s="254"/>
      <c r="I103" s="254"/>
      <c r="J103" s="255"/>
      <c r="K103" s="254">
        <f>IF(J97=0,0,L103/J97)</f>
        <v>1048.8854761904763</v>
      </c>
      <c r="L103" s="256">
        <f>-SUMIFS(BV_Data_An_Cour!$P:$P,BV_Data_An_Cour!$U:$U,$B103,BV_Data_An_Cour!$V:$V,$C103,BV_Data_An_Cour!$W:$W,$L2)</f>
        <v>88106.38</v>
      </c>
      <c r="M103" s="255"/>
      <c r="N103" s="256">
        <f>L103-F103</f>
        <v>-99603.37</v>
      </c>
      <c r="O103" s="255" cm="1">
        <f t="array" ref="O103">+SUMPRODUCT(('Réel 2023'!$A$8:$A$501=$A103)*('Réel 2023'!$C$3:$AO$3=O$2),'Réel 2023'!$C$8:$AO$501)</f>
        <v>0</v>
      </c>
      <c r="P103" s="254">
        <f t="shared" si="40"/>
        <v>0</v>
      </c>
      <c r="Q103" s="256" cm="1">
        <f t="array" ref="Q103">+SUMPRODUCT(('Réel 2023'!$A$8:$A$501=$A103)*('Réel 2023'!$C$3:$AO$3=Q$2),'Réel 2023'!$C$8:$AO$501)</f>
        <v>139931.96</v>
      </c>
      <c r="R103" s="255">
        <f t="shared" si="41"/>
        <v>-1048.8854761904763</v>
      </c>
      <c r="S103" s="256">
        <f t="shared" si="42"/>
        <v>-51825.579999999987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6472.75</v>
      </c>
      <c r="G104" s="255"/>
      <c r="H104" s="250"/>
      <c r="I104" s="254"/>
      <c r="J104" s="255"/>
      <c r="K104" s="250">
        <f>IF(J97=0,0,L104/J97)</f>
        <v>14.285952380952381</v>
      </c>
      <c r="L104" s="256">
        <f>-SUMIFS(BV_Data_An_Cour!$P:$P,BV_Data_An_Cour!$U:$U,$B104,BV_Data_An_Cour!$V:$V,$C104,BV_Data_An_Cour!$W:$W,$L$2)</f>
        <v>1200.02</v>
      </c>
      <c r="M104" s="267"/>
      <c r="N104" s="256">
        <f>L104-F104</f>
        <v>-5272.73</v>
      </c>
      <c r="O104" s="255" cm="1">
        <f t="array" ref="O104">+SUMPRODUCT(('Réel 2023'!$A$8:$A$501=$A104)*('Réel 2023'!$C$3:$AO$3=O$2),'Réel 2023'!$C$8:$AO$501)</f>
        <v>0</v>
      </c>
      <c r="P104" s="250">
        <f t="shared" si="40"/>
        <v>0</v>
      </c>
      <c r="Q104" s="256" cm="1">
        <f t="array" ref="Q104">+SUMPRODUCT(('Réel 2023'!$A$8:$A$501=$A104)*('Réel 2023'!$C$3:$AO$3=Q$2),'Réel 2023'!$C$8:$AO$501)</f>
        <v>2094.09</v>
      </c>
      <c r="R104" s="255">
        <f t="shared" si="41"/>
        <v>-14.285952380952381</v>
      </c>
      <c r="S104" s="256">
        <f t="shared" si="42"/>
        <v>-894.07000000000016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129.45499999999998</v>
      </c>
      <c r="E105" s="254">
        <f t="shared" si="39"/>
        <v>2200.0000000000005</v>
      </c>
      <c r="F105" s="261">
        <f>F102+F103+F104</f>
        <v>284801</v>
      </c>
      <c r="G105" s="262"/>
      <c r="H105" s="260"/>
      <c r="I105" s="261"/>
      <c r="J105" s="262">
        <f>J97</f>
        <v>84</v>
      </c>
      <c r="K105" s="260">
        <f>IF(J105&lt;=0,0,L105/J105)</f>
        <v>1237.0425</v>
      </c>
      <c r="L105" s="261">
        <f>L102+L103+L104</f>
        <v>103911.57</v>
      </c>
      <c r="M105" s="255">
        <f>J105-D105</f>
        <v>-45.454999999999984</v>
      </c>
      <c r="N105" s="261">
        <f>L105-F105</f>
        <v>-180889.43</v>
      </c>
      <c r="O105" s="262">
        <f>O97</f>
        <v>107</v>
      </c>
      <c r="P105" s="260">
        <f t="shared" si="40"/>
        <v>2097.0666355140183</v>
      </c>
      <c r="Q105" s="261">
        <f>Q102+Q103+Q104</f>
        <v>224386.12999999998</v>
      </c>
      <c r="R105" s="273"/>
      <c r="S105" s="261">
        <f t="shared" si="42"/>
        <v>-120474.55999999997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-0.63514324036783576</v>
      </c>
      <c r="O106" s="253"/>
      <c r="P106" s="41"/>
      <c r="Q106" s="276"/>
      <c r="R106" s="277"/>
      <c r="S106" s="265">
        <f>IF(Q105=0,0,(S105/Q105))</f>
        <v>-0.53690733914792321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261.95600000000002</v>
      </c>
      <c r="E108" s="350">
        <f>IF(D108&lt;=0,0,F108/D108)</f>
        <v>2179.0697674418602</v>
      </c>
      <c r="F108" s="281">
        <f>F97+F105+F100</f>
        <v>570820.4</v>
      </c>
      <c r="G108" s="282"/>
      <c r="H108" s="350"/>
      <c r="I108" s="281"/>
      <c r="J108" s="282">
        <f>J97+J100</f>
        <v>227</v>
      </c>
      <c r="K108" s="350">
        <f>IF(J108&lt;=0,0,L108/J108)</f>
        <v>751.64828193832727</v>
      </c>
      <c r="L108" s="281">
        <f>L97+L105+L100</f>
        <v>170624.16000000029</v>
      </c>
      <c r="M108" s="282">
        <f>J108-D108</f>
        <v>-34.956000000000017</v>
      </c>
      <c r="N108" s="281">
        <f>L108-F108</f>
        <v>-400196.23999999976</v>
      </c>
      <c r="O108" s="282">
        <f>O97+O100</f>
        <v>213</v>
      </c>
      <c r="P108" s="350">
        <f>IF(O108&lt;=0,0,Q108/O108)</f>
        <v>2156.0771361502316</v>
      </c>
      <c r="Q108" s="281">
        <f>Q97+Q105+Q100</f>
        <v>459244.42999999935</v>
      </c>
      <c r="R108" s="282">
        <f>J108-O108</f>
        <v>14</v>
      </c>
      <c r="S108" s="281">
        <f>L108-Q108</f>
        <v>-288620.26999999909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0.2989104103497357</v>
      </c>
      <c r="M109" s="286">
        <f>M108/D108</f>
        <v>-0.1334422574783552</v>
      </c>
      <c r="N109" s="287">
        <f>N108/F108</f>
        <v>-0.70108958965026436</v>
      </c>
      <c r="O109" s="283"/>
      <c r="P109" s="284"/>
      <c r="Q109" s="285"/>
      <c r="R109" s="286">
        <f>O108/R108</f>
        <v>15.214285714285714</v>
      </c>
      <c r="S109" s="352">
        <f>IF(Q108=0,0,(S108/Q108))</f>
        <v>-0.62846765501325619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v>
      </c>
      <c r="E112" s="291">
        <f t="shared" ref="E112:E121" si="43">F112/D$97</f>
        <v>594.00000000000023</v>
      </c>
      <c r="F112" s="254" cm="1">
        <f t="array" ref="F112">+SUMPRODUCT(('Budget original'!$A$8:$A$501=$A112)*('Budget original'!$C$3:$AO$3=F$2),'Budget original'!$C$8:$AO$501)</f>
        <v>76896.270000000019</v>
      </c>
      <c r="G112" s="298"/>
      <c r="H112" s="291"/>
      <c r="I112" s="254"/>
      <c r="J112" s="292">
        <f>+L112/L97</f>
        <v>0.76183066312014291</v>
      </c>
      <c r="K112" s="291">
        <f>IF($J$97=0,0,L112/(J$94+J$95+J96))</f>
        <v>569.72535714285709</v>
      </c>
      <c r="L112" s="256">
        <f>SUMIFS(BV_Data_An_Cour!$P:$P,BV_Data_An_Cour!$U:$U,$B112,BV_Data_An_Cour!$V:$V,$C112,BV_Data_An_Cour!$W:$W,$L$2)</f>
        <v>47856.93</v>
      </c>
      <c r="M112" s="253"/>
      <c r="N112" s="276">
        <f t="shared" ref="N112:N153" si="44">L112-F112</f>
        <v>-29039.340000000018</v>
      </c>
      <c r="O112" s="253">
        <f>Q112/Q97</f>
        <v>0.47262287781615542</v>
      </c>
      <c r="P112" s="291">
        <f t="shared" ref="P112:P121" si="45">Q112/O$97</f>
        <v>713.85308411214953</v>
      </c>
      <c r="Q112" s="256" cm="1">
        <f t="array" ref="Q112">+SUMPRODUCT(('Réel 2023'!$A$8:$A$501=$A112)*('Réel 2023'!$C$3:$AO$3=Q$2),'Réel 2023'!$C$8:$AO$501)</f>
        <v>76382.28</v>
      </c>
      <c r="R112" s="253"/>
      <c r="S112" s="276">
        <f t="shared" ref="S112:S122" si="46">L112-Q112</f>
        <v>-28525.35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0.27762801745567034</v>
      </c>
      <c r="E113" s="294">
        <f t="shared" si="43"/>
        <v>660.00000000000011</v>
      </c>
      <c r="F113" s="248" cm="1">
        <f t="array" ref="F113">+SUMPRODUCT(('Budget original'!$A$8:$A$501=$A113)*('Budget original'!$C$3:$AO$3=F$2),'Budget original'!$C$8:$AO$501)</f>
        <v>85440.3</v>
      </c>
      <c r="G113" s="300"/>
      <c r="H113" s="294"/>
      <c r="I113" s="248"/>
      <c r="J113" s="295">
        <f>L113/L105</f>
        <v>0.31154124608068184</v>
      </c>
      <c r="K113" s="294">
        <f>IF($J$97=0,0,L113/(J$94+J$95+J96))</f>
        <v>385.38976190476194</v>
      </c>
      <c r="L113" s="256">
        <f>SUMIFS(BV_Data_An_Cour!$P:$P,BV_Data_An_Cour!$U:$U,$B113,BV_Data_An_Cour!$V:$V,$C113,BV_Data_An_Cour!$W:$W,$L$2)</f>
        <v>32372.74</v>
      </c>
      <c r="M113" s="246"/>
      <c r="N113" s="296">
        <f t="shared" si="44"/>
        <v>-53067.56</v>
      </c>
      <c r="O113" s="246">
        <f>Q113/(Q105+Q19)</f>
        <v>0.25024932100187869</v>
      </c>
      <c r="P113" s="294">
        <f t="shared" si="45"/>
        <v>596.18355140186918</v>
      </c>
      <c r="Q113" s="256" cm="1">
        <f t="array" ref="Q113">+SUMPRODUCT(('Réel 2023'!$A$8:$A$501=$A113)*('Réel 2023'!$C$3:$AO$3=Q$2),'Réel 2023'!$C$8:$AO$501)</f>
        <v>63791.64</v>
      </c>
      <c r="R113" s="246"/>
      <c r="S113" s="296">
        <f t="shared" si="46"/>
        <v>-31418.899999999998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1294.5500000000002</v>
      </c>
      <c r="G114" s="298"/>
      <c r="H114" s="291"/>
      <c r="I114" s="254"/>
      <c r="J114" s="253"/>
      <c r="K114" s="291">
        <f>IF($J$97=0,0,L114/(J$94+J$95+J96))</f>
        <v>21.398214285714285</v>
      </c>
      <c r="L114" s="272">
        <f>SUMIFS(BV_Data_An_Cour!$P:$P,BV_Data_An_Cour!$U:$U,$B114,BV_Data_An_Cour!$V:$V,$C114,BV_Data_An_Cour!$W:$W,$L$2)</f>
        <v>1797.45</v>
      </c>
      <c r="M114" s="253"/>
      <c r="N114" s="276">
        <f t="shared" si="44"/>
        <v>502.89999999999986</v>
      </c>
      <c r="O114" s="253"/>
      <c r="P114" s="291">
        <f t="shared" si="45"/>
        <v>3.5027102803738313</v>
      </c>
      <c r="Q114" s="272" cm="1">
        <f t="array" ref="Q114">+SUMPRODUCT(('Réel 2023'!$A$8:$A$501=$A114)*('Réel 2023'!$C$3:$AO$3=Q$2),'Réel 2023'!$C$8:$AO$501)</f>
        <v>374.78999999999996</v>
      </c>
      <c r="R114" s="253"/>
      <c r="S114" s="276">
        <f t="shared" si="46"/>
        <v>1422.66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v>
      </c>
      <c r="F115" s="254" cm="1">
        <f t="array" ref="F115">+SUMPRODUCT(('Budget original'!$A$8:$A$501=$A115)*('Budget original'!$C$3:$AO$3=F$2),'Budget original'!$C$8:$AO$501)</f>
        <v>906.18499999999995</v>
      </c>
      <c r="G115" s="298"/>
      <c r="H115" s="291"/>
      <c r="I115" s="254"/>
      <c r="J115" s="253"/>
      <c r="K115" s="291">
        <f>IF($J$97=0,0,L115/(J$94+J$95+J96))</f>
        <v>64.804999999999993</v>
      </c>
      <c r="L115" s="256">
        <f>SUMIFS(BV_Data_An_Cour!$P:$P,BV_Data_An_Cour!$U:$U,$B115,BV_Data_An_Cour!$V:$V,$C115,BV_Data_An_Cour!$W:$W,$L$2)</f>
        <v>5443.62</v>
      </c>
      <c r="M115" s="253"/>
      <c r="N115" s="276">
        <f t="shared" si="44"/>
        <v>4537.4349999999995</v>
      </c>
      <c r="O115" s="253"/>
      <c r="P115" s="291">
        <f t="shared" si="45"/>
        <v>-14.147289719626167</v>
      </c>
      <c r="Q115" s="256" cm="1">
        <f t="array" ref="Q115">+SUMPRODUCT(('Réel 2023'!$A$8:$A$501=$A115)*('Réel 2023'!$C$3:$AO$3=Q$2),'Réel 2023'!$C$8:$AO$501)</f>
        <v>-1513.76</v>
      </c>
      <c r="R115" s="253"/>
      <c r="S115" s="276">
        <f t="shared" si="46"/>
        <v>6957.38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v>
      </c>
      <c r="F116" s="248" cm="1">
        <f t="array" ref="F116">+SUMPRODUCT(('Budget original'!$A$8:$A$501=$A116)*('Budget original'!$C$3:$AO$3=F$2),'Budget original'!$C$8:$AO$501)</f>
        <v>20971.71</v>
      </c>
      <c r="G116" s="300"/>
      <c r="H116" s="294"/>
      <c r="I116" s="248"/>
      <c r="J116" s="246"/>
      <c r="K116" s="294">
        <f>IF($J$97=0,0,L116/(J$94+J$95+J96))</f>
        <v>181.75892857142858</v>
      </c>
      <c r="L116" s="248">
        <f>SUMIFS(BV_Data_An_Cour!$P:$P,BV_Data_An_Cour!$U:$U,$B116,BV_Data_An_Cour!$V:$V,$C116,BV_Data_An_Cour!$W:$W,$L$2)</f>
        <v>15267.75</v>
      </c>
      <c r="M116" s="246"/>
      <c r="N116" s="296">
        <f t="shared" si="44"/>
        <v>-5703.9599999999991</v>
      </c>
      <c r="O116" s="246"/>
      <c r="P116" s="294">
        <f t="shared" si="45"/>
        <v>158.61757009345791</v>
      </c>
      <c r="Q116" s="248" cm="1">
        <f t="array" ref="Q116">+SUMPRODUCT(('Réel 2023'!$A$8:$A$501=$A116)*('Réel 2023'!$C$3:$AO$3=Q$2),'Réel 2023'!$C$8:$AO$501)</f>
        <v>16972.079999999998</v>
      </c>
      <c r="R116" s="246"/>
      <c r="S116" s="296">
        <f t="shared" si="46"/>
        <v>-1704.3299999999981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368.17813139701059</v>
      </c>
      <c r="F117" s="254" cm="1">
        <f t="array" ref="F117">+SUMPRODUCT(('Budget original'!$A$8:$A$501=$A117)*('Budget original'!$C$3:$AO$3=F$2),'Budget original'!$C$8:$AO$501)</f>
        <v>47662.5</v>
      </c>
      <c r="G117" s="298"/>
      <c r="H117" s="291"/>
      <c r="I117" s="254"/>
      <c r="J117" s="253"/>
      <c r="K117" s="291">
        <f>IF($J$97=0,0,L117/(J$94+J$95+J96))</f>
        <v>574.26892857142855</v>
      </c>
      <c r="L117" s="256">
        <f>SUMIFS(BV_Data_An_Cour!$P:$P,BV_Data_An_Cour!$U:$U,$B117,BV_Data_An_Cour!$V:$V,$C117,BV_Data_An_Cour!$W:$W,$L$2)</f>
        <v>48238.59</v>
      </c>
      <c r="M117" s="253"/>
      <c r="N117" s="276">
        <f t="shared" si="44"/>
        <v>576.08999999999651</v>
      </c>
      <c r="O117" s="253"/>
      <c r="P117" s="291">
        <f t="shared" si="45"/>
        <v>339.40971962616828</v>
      </c>
      <c r="Q117" s="256" cm="1">
        <f t="array" ref="Q117">+SUMPRODUCT(('Réel 2023'!$A$8:$A$501=$A117)*('Réel 2023'!$C$3:$AO$3=Q$2),'Réel 2023'!$C$8:$AO$501)</f>
        <v>36316.840000000004</v>
      </c>
      <c r="R117" s="253"/>
      <c r="S117" s="276">
        <f t="shared" si="46"/>
        <v>11921.749999999993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243.10985095500166</v>
      </c>
      <c r="F118" s="254" cm="1">
        <f t="array" ref="F118">+SUMPRODUCT(('Budget original'!$A$8:$A$501=$A118)*('Budget original'!$C$3:$AO$3=F$2),'Budget original'!$C$8:$AO$501)</f>
        <v>31471.785755379737</v>
      </c>
      <c r="G118" s="298"/>
      <c r="H118" s="291"/>
      <c r="I118" s="254"/>
      <c r="J118" s="253"/>
      <c r="K118" s="291">
        <f>IF($J$97=0,0,L118/(J$94+J$95+J96))</f>
        <v>375.91071428571428</v>
      </c>
      <c r="L118" s="954">
        <f>SUMIFS(BV_Data_An_Cour!$P:$P,BV_Data_An_Cour!$U:$U,$B118,BV_Data_An_Cour!$V:$V,$C118,BV_Data_An_Cour!$W:$W,$L$2)</f>
        <v>31576.5</v>
      </c>
      <c r="M118" s="989"/>
      <c r="N118" s="963">
        <f t="shared" si="44"/>
        <v>104.71424462026334</v>
      </c>
      <c r="O118" s="253"/>
      <c r="P118" s="291">
        <f t="shared" si="45"/>
        <v>136.84728971962616</v>
      </c>
      <c r="Q118" s="256" cm="1">
        <f t="array" ref="Q118">+SUMPRODUCT(('Réel 2023'!$A$8:$A$501=$A118)*('Réel 2023'!$C$3:$AO$3=Q$2),'Réel 2023'!$C$8:$AO$501)</f>
        <v>14642.66</v>
      </c>
      <c r="R118" s="253"/>
      <c r="S118" s="276">
        <f t="shared" si="46"/>
        <v>16933.84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0.46361920624311903</v>
      </c>
      <c r="F122" s="307">
        <f>SUM(F112:F121)</f>
        <v>264643.30075537972</v>
      </c>
      <c r="G122" s="308"/>
      <c r="H122" s="306"/>
      <c r="I122" s="307"/>
      <c r="J122" s="308" t="s">
        <v>119</v>
      </c>
      <c r="K122" s="306">
        <f>L122/L$108</f>
        <v>1.0699163588556255</v>
      </c>
      <c r="L122" s="307">
        <f>SUM(L112:L121)</f>
        <v>182553.58</v>
      </c>
      <c r="M122" s="311"/>
      <c r="N122" s="307">
        <f t="shared" si="44"/>
        <v>-82089.720755379734</v>
      </c>
      <c r="O122" s="308" t="s">
        <v>119</v>
      </c>
      <c r="P122" s="306">
        <f>Q122/Q$108</f>
        <v>0.45066748006067325</v>
      </c>
      <c r="Q122" s="307">
        <f>SUM(Q112:Q121)</f>
        <v>206966.52999999997</v>
      </c>
      <c r="R122" s="311"/>
      <c r="S122" s="307">
        <f t="shared" si="46"/>
        <v>-24412.949999999983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52081.725000000006</v>
      </c>
      <c r="G123" s="253"/>
      <c r="H123" s="41"/>
      <c r="I123" s="254"/>
      <c r="J123" s="253"/>
      <c r="K123" s="41"/>
      <c r="L123" s="256">
        <f>SUMIFS(BV_Data_An_Cour!$P:$P,BV_Data_An_Cour!$U:$U,$B123,BV_Data_An_Cour!$V:$V,$C123,BV_Data_An_Cour!$W:$W,$L$2)</f>
        <v>43109.19</v>
      </c>
      <c r="M123" s="253"/>
      <c r="N123" s="276">
        <f t="shared" si="44"/>
        <v>-8972.5350000000035</v>
      </c>
      <c r="O123" s="253"/>
      <c r="P123" s="41"/>
      <c r="Q123" s="256" cm="1">
        <f t="array" ref="Q123">+SUMPRODUCT(('Réel 2023'!$A$8:$A$501=$A123)*('Réel 2023'!$C$3:$AO$3=Q$2),'Réel 2023'!$C$8:$AO$501)</f>
        <v>27273.39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17833.760461538463</v>
      </c>
      <c r="G124" s="298"/>
      <c r="H124" s="41"/>
      <c r="I124" s="248"/>
      <c r="J124" s="253"/>
      <c r="K124" s="41"/>
      <c r="L124" s="248">
        <f>SUMIFS(BV_Data_An_Cour!$P:$P,BV_Data_An_Cour!$U:$U,$B124,BV_Data_An_Cour!$V:$V,$C124,BV_Data_An_Cour!$W:$W,$L$2)</f>
        <v>7211.34</v>
      </c>
      <c r="M124" s="253"/>
      <c r="N124" s="276">
        <f t="shared" si="44"/>
        <v>-10622.420461538462</v>
      </c>
      <c r="O124" s="253"/>
      <c r="P124" s="41"/>
      <c r="Q124" s="248" cm="1">
        <f t="array" ref="Q124">+SUMPRODUCT(('Réel 2023'!$A$8:$A$501=$A124)*('Réel 2023'!$C$3:$AO$3=Q$2),'Réel 2023'!$C$8:$AO$501)</f>
        <v>15749.6</v>
      </c>
      <c r="R124" s="253"/>
      <c r="S124" s="276">
        <f t="shared" ref="S124:S153" si="48">L124-Q124</f>
        <v>-8538.26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24198.192307692309</v>
      </c>
      <c r="G125" s="316"/>
      <c r="H125" s="315"/>
      <c r="I125" s="254"/>
      <c r="J125" s="241"/>
      <c r="K125" s="315"/>
      <c r="L125" s="256">
        <f>SUMIFS(BV_Data_An_Cour!$P:$P,BV_Data_An_Cour!$U:$U,$B125,BV_Data_An_Cour!$V:$V,$C125,BV_Data_An_Cour!$W:$W,$L$2)</f>
        <v>25368.49</v>
      </c>
      <c r="M125" s="241"/>
      <c r="N125" s="317">
        <f t="shared" si="44"/>
        <v>1170.2976923076931</v>
      </c>
      <c r="O125" s="241"/>
      <c r="P125" s="315"/>
      <c r="Q125" s="256" cm="1">
        <f t="array" ref="Q125">+SUMPRODUCT(('Réel 2023'!$A$8:$A$501=$A125)*('Réel 2023'!$C$3:$AO$3=Q$2),'Réel 2023'!$C$8:$AO$501)</f>
        <v>48346.039999999994</v>
      </c>
      <c r="R125" s="241"/>
      <c r="S125" s="317">
        <f t="shared" si="48"/>
        <v>-22977.549999999992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32801.024560141028</v>
      </c>
      <c r="G130" s="298"/>
      <c r="H130" s="41"/>
      <c r="I130" s="254"/>
      <c r="J130" s="253"/>
      <c r="K130" s="41"/>
      <c r="L130" s="256">
        <f>SUMIFS(BV_Data_An_Cour!$P:$P,BV_Data_An_Cour!$U:$U,$B130,BV_Data_An_Cour!$V:$V,$C130,BV_Data_An_Cour!$W:$W,$L$2)</f>
        <v>23612.77</v>
      </c>
      <c r="M130" s="253"/>
      <c r="N130" s="276">
        <f t="shared" si="44"/>
        <v>-9188.2545601410275</v>
      </c>
      <c r="O130" s="253"/>
      <c r="P130" s="41"/>
      <c r="Q130" s="256" cm="1">
        <f t="array" ref="Q130">+SUMPRODUCT(('Réel 2023'!$A$8:$A$501=$A130)*('Réel 2023'!$C$3:$AO$3=Q$2),'Réel 2023'!$C$8:$AO$501)</f>
        <v>13321.570000000002</v>
      </c>
      <c r="R130" s="253"/>
      <c r="S130" s="276">
        <f t="shared" si="48"/>
        <v>10291.199999999999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39881.421932153848</v>
      </c>
      <c r="G131" s="316"/>
      <c r="H131" s="315"/>
      <c r="I131" s="271"/>
      <c r="J131" s="241"/>
      <c r="K131" s="315"/>
      <c r="L131" s="272">
        <f>SUMIFS(BV_Data_An_Cour!$P:$P,BV_Data_An_Cour!$U:$U,$B131,BV_Data_An_Cour!$V:$V,$C131,BV_Data_An_Cour!$W:$W,$L$2)</f>
        <v>24911.77</v>
      </c>
      <c r="M131" s="241"/>
      <c r="N131" s="317">
        <f t="shared" si="44"/>
        <v>-14969.651932153847</v>
      </c>
      <c r="O131" s="241"/>
      <c r="P131" s="315"/>
      <c r="Q131" s="272" cm="1">
        <f t="array" ref="Q131">+SUMPRODUCT(('Réel 2023'!$A$8:$A$501=$A131)*('Réel 2023'!$C$3:$AO$3=Q$2),'Réel 2023'!$C$8:$AO$501)</f>
        <v>26176.33</v>
      </c>
      <c r="R131" s="241"/>
      <c r="S131" s="317">
        <f t="shared" si="48"/>
        <v>-1264.5600000000013</v>
      </c>
      <c r="T131" s="41"/>
      <c r="U131" s="254">
        <f>L131-Print_Mois!L131</f>
        <v>18510.47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20547.602169392307</v>
      </c>
      <c r="G132" s="298"/>
      <c r="H132" s="41"/>
      <c r="I132" s="254"/>
      <c r="J132" s="253"/>
      <c r="K132" s="41"/>
      <c r="L132" s="256">
        <f>SUMIFS(BV_Data_An_Cour!$P:$P,BV_Data_An_Cour!$U:$U,$B132,BV_Data_An_Cour!$V:$V,$C132,BV_Data_An_Cour!$W:$W,$L$2)</f>
        <v>4193.42</v>
      </c>
      <c r="M132" s="253"/>
      <c r="N132" s="276">
        <f t="shared" si="44"/>
        <v>-16354.182169392307</v>
      </c>
      <c r="O132" s="253"/>
      <c r="P132" s="41"/>
      <c r="Q132" s="256" cm="1">
        <f t="array" ref="Q132">+SUMPRODUCT(('Réel 2023'!$A$8:$A$501=$A132)*('Réel 2023'!$C$3:$AO$3=Q$2),'Réel 2023'!$C$8:$AO$501)</f>
        <v>7001.5499999999893</v>
      </c>
      <c r="R132" s="253"/>
      <c r="S132" s="276">
        <f t="shared" si="48"/>
        <v>-2808.1299999999892</v>
      </c>
      <c r="T132" s="41"/>
      <c r="U132" s="254">
        <f>L132-Print_Mois!L132</f>
        <v>3194.09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8958.8701441794874</v>
      </c>
      <c r="G133" s="298"/>
      <c r="H133" s="41"/>
      <c r="I133" s="254"/>
      <c r="J133" s="253"/>
      <c r="K133" s="41"/>
      <c r="L133" s="256">
        <f>SUMIFS(BV_Data_An_Cour!$P:$P,BV_Data_An_Cour!$U:$U,$B133,BV_Data_An_Cour!$V:$V,$C133,BV_Data_An_Cour!$W:$W,$L$2)</f>
        <v>3596.3</v>
      </c>
      <c r="M133" s="253"/>
      <c r="N133" s="276">
        <f t="shared" si="44"/>
        <v>-5362.5701441794872</v>
      </c>
      <c r="O133" s="253"/>
      <c r="P133" s="41"/>
      <c r="Q133" s="256" cm="1">
        <f t="array" ref="Q133">+SUMPRODUCT(('Réel 2023'!$A$8:$A$501=$A133)*('Réel 2023'!$C$3:$AO$3=Q$2),'Réel 2023'!$C$8:$AO$501)</f>
        <v>4220.0700000000006</v>
      </c>
      <c r="R133" s="253"/>
      <c r="S133" s="276">
        <f t="shared" si="48"/>
        <v>-623.77000000000044</v>
      </c>
      <c r="T133" s="41"/>
      <c r="U133" s="254">
        <f>L133-Print_Mois!L133</f>
        <v>2383.7700000000004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0.34389555204245936</v>
      </c>
      <c r="F135" s="307">
        <f>+SUM(F123:F134)</f>
        <v>196302.59657509747</v>
      </c>
      <c r="G135" s="308"/>
      <c r="H135" s="306"/>
      <c r="I135" s="307"/>
      <c r="J135" s="308" t="s">
        <v>119</v>
      </c>
      <c r="K135" s="306">
        <f>L135/L$108</f>
        <v>0.77364940580513197</v>
      </c>
      <c r="L135" s="307">
        <f>SUM(L123:L134)</f>
        <v>132003.28</v>
      </c>
      <c r="M135" s="355"/>
      <c r="N135" s="320">
        <f t="shared" si="44"/>
        <v>-64299.316575097473</v>
      </c>
      <c r="O135" s="308" t="s">
        <v>119</v>
      </c>
      <c r="P135" s="306">
        <f>Q135/Q$108</f>
        <v>0.30939634912937369</v>
      </c>
      <c r="Q135" s="307">
        <f>+SUM(Q123:Q134)</f>
        <v>142088.55000000002</v>
      </c>
      <c r="R135" s="355"/>
      <c r="S135" s="320">
        <f t="shared" si="48"/>
        <v>-10085.270000000019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9833.3333333333339</v>
      </c>
      <c r="G138" s="300"/>
      <c r="H138" s="318"/>
      <c r="I138" s="248"/>
      <c r="J138" s="246"/>
      <c r="K138" s="318"/>
      <c r="L138" s="248">
        <f>SUMIFS(BV_Data_An_Cour!$P:$P,BV_Data_An_Cour!$U:$U,$B138,BV_Data_An_Cour!$V:$V,$C138,BV_Data_An_Cour!$W:$W,$L$2)</f>
        <v>1981.37</v>
      </c>
      <c r="M138" s="246"/>
      <c r="N138" s="296">
        <f t="shared" si="44"/>
        <v>-7851.963333333334</v>
      </c>
      <c r="O138" s="246"/>
      <c r="P138" s="318"/>
      <c r="Q138" s="248" cm="1">
        <f t="array" ref="Q138">+SUMPRODUCT(('Réel 2023'!$A$8:$A$501=$A138)*('Réel 2023'!$C$3:$AO$3=Q$2),'Réel 2023'!$C$8:$AO$501)</f>
        <v>2057.13</v>
      </c>
      <c r="R138" s="246"/>
      <c r="S138" s="296">
        <f t="shared" si="48"/>
        <v>-75.760000000000218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14508.166149333332</v>
      </c>
      <c r="G139" s="298"/>
      <c r="H139" s="41"/>
      <c r="I139" s="254"/>
      <c r="J139" s="253"/>
      <c r="K139" s="41"/>
      <c r="L139" s="256">
        <f>SUMIFS(BV_Data_An_Cour!$P:$P,BV_Data_An_Cour!$U:$U,$B139,BV_Data_An_Cour!$V:$V,$C139,BV_Data_An_Cour!$W:$W,$L$2)</f>
        <v>14462.27</v>
      </c>
      <c r="M139" s="253"/>
      <c r="N139" s="276">
        <f t="shared" si="44"/>
        <v>-45.896149333331778</v>
      </c>
      <c r="O139" s="253"/>
      <c r="P139" s="41"/>
      <c r="Q139" s="256" cm="1">
        <f t="array" ref="Q139">+SUMPRODUCT(('Réel 2023'!$A$8:$A$501=$A139)*('Réel 2023'!$C$3:$AO$3=Q$2),'Réel 2023'!$C$8:$AO$501)</f>
        <v>13288.61</v>
      </c>
      <c r="R139" s="253"/>
      <c r="S139" s="276">
        <f t="shared" si="48"/>
        <v>1173.6599999999999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2084.4369855770515</v>
      </c>
      <c r="G140" s="298"/>
      <c r="H140" s="41"/>
      <c r="I140" s="254"/>
      <c r="J140" s="253"/>
      <c r="K140" s="41"/>
      <c r="L140" s="256">
        <f>SUMIFS(BV_Data_An_Cour!$P:$P,BV_Data_An_Cour!$U:$U,$B140,BV_Data_An_Cour!$V:$V,$C140,BV_Data_An_Cour!$W:$W,$L$2)</f>
        <v>2014.39</v>
      </c>
      <c r="M140" s="253"/>
      <c r="N140" s="276">
        <f t="shared" si="44"/>
        <v>-70.046985577051373</v>
      </c>
      <c r="O140" s="253"/>
      <c r="P140" s="41"/>
      <c r="Q140" s="256" cm="1">
        <f t="array" ref="Q140">+SUMPRODUCT(('Réel 2023'!$A$8:$A$501=$A140)*('Réel 2023'!$C$3:$AO$3=Q$2),'Réel 2023'!$C$8:$AO$501)</f>
        <v>2849.82</v>
      </c>
      <c r="R140" s="253"/>
      <c r="S140" s="276">
        <f t="shared" si="48"/>
        <v>-835.43000000000006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5958.3642133111107</v>
      </c>
      <c r="G141" s="300"/>
      <c r="H141" s="318"/>
      <c r="I141" s="248"/>
      <c r="J141" s="246"/>
      <c r="K141" s="318"/>
      <c r="L141" s="248">
        <f>SUMIFS(BV_Data_An_Cour!$P:$P,BV_Data_An_Cour!$U:$U,$B141,BV_Data_An_Cour!$V:$V,$C141,BV_Data_An_Cour!$W:$W,$L$2)</f>
        <v>4494.62</v>
      </c>
      <c r="M141" s="246"/>
      <c r="N141" s="296">
        <f t="shared" si="44"/>
        <v>-1463.7442133111108</v>
      </c>
      <c r="O141" s="246"/>
      <c r="P141" s="318"/>
      <c r="Q141" s="248" cm="1">
        <f t="array" ref="Q141">+SUMPRODUCT(('Réel 2023'!$A$8:$A$501=$A141)*('Réel 2023'!$C$3:$AO$3=Q$2),'Réel 2023'!$C$8:$AO$501)</f>
        <v>5577.08</v>
      </c>
      <c r="R141" s="246"/>
      <c r="S141" s="296">
        <f t="shared" si="48"/>
        <v>-1082.46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500</v>
      </c>
      <c r="G142" s="298"/>
      <c r="H142" s="41"/>
      <c r="I142" s="254"/>
      <c r="J142" s="253"/>
      <c r="K142" s="41"/>
      <c r="L142" s="256">
        <f>SUMIFS(BV_Data_An_Cour!$P:$P,BV_Data_An_Cour!$U:$U,$B142,BV_Data_An_Cour!$V:$V,$C142,BV_Data_An_Cour!$W:$W,$L$2)</f>
        <v>117.99</v>
      </c>
      <c r="M142" s="253"/>
      <c r="N142" s="276">
        <f t="shared" si="44"/>
        <v>-382.01</v>
      </c>
      <c r="O142" s="253"/>
      <c r="P142" s="41"/>
      <c r="Q142" s="256" cm="1">
        <f t="array" ref="Q142">+SUMPRODUCT(('Réel 2023'!$A$8:$A$501=$A142)*('Réel 2023'!$C$3:$AO$3=Q$2),'Réel 2023'!$C$8:$AO$501)</f>
        <v>3.09</v>
      </c>
      <c r="R142" s="253"/>
      <c r="S142" s="276">
        <f t="shared" si="48"/>
        <v>114.89999999999999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333.33333333333331</v>
      </c>
      <c r="G143" s="298"/>
      <c r="H143" s="41"/>
      <c r="I143" s="254"/>
      <c r="J143" s="253"/>
      <c r="K143" s="41"/>
      <c r="L143" s="256">
        <f>SUMIFS(BV_Data_An_Cour!$P:$P,BV_Data_An_Cour!$U:$U,$B143,BV_Data_An_Cour!$V:$V,$C143,BV_Data_An_Cour!$W:$W,$L$2)</f>
        <v>0</v>
      </c>
      <c r="M143" s="253"/>
      <c r="N143" s="276">
        <f t="shared" si="44"/>
        <v>-333.33333333333331</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1227.1370279519999</v>
      </c>
      <c r="G144" s="298"/>
      <c r="H144" s="41"/>
      <c r="I144" s="254"/>
      <c r="J144" s="253"/>
      <c r="K144" s="41"/>
      <c r="L144" s="256">
        <f>SUMIFS(BV_Data_An_Cour!$P:$P,BV_Data_An_Cour!$U:$U,$B144,BV_Data_An_Cour!$V:$V,$C144,BV_Data_An_Cour!$W:$W,$L$2)</f>
        <v>1237.3699999999999</v>
      </c>
      <c r="M144" s="253"/>
      <c r="N144" s="276">
        <f t="shared" si="44"/>
        <v>10.232972047999965</v>
      </c>
      <c r="O144" s="253"/>
      <c r="P144" s="41"/>
      <c r="Q144" s="256" cm="1">
        <f t="array" ref="Q144">+SUMPRODUCT(('Réel 2023'!$A$8:$A$501=$A144)*('Réel 2023'!$C$3:$AO$3=Q$2),'Réel 2023'!$C$8:$AO$501)</f>
        <v>1437.8600000000001</v>
      </c>
      <c r="R144" s="253"/>
      <c r="S144" s="276">
        <f t="shared" si="48"/>
        <v>-200.49000000000024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337.94652757933324</v>
      </c>
      <c r="G145" s="298"/>
      <c r="H145" s="41"/>
      <c r="I145" s="254"/>
      <c r="J145" s="253"/>
      <c r="K145" s="41"/>
      <c r="L145" s="256">
        <f>SUMIFS(BV_Data_An_Cour!$P:$P,BV_Data_An_Cour!$U:$U,$B145,BV_Data_An_Cour!$V:$V,$C145,BV_Data_An_Cour!$W:$W,$L$2)</f>
        <v>194.36</v>
      </c>
      <c r="M145" s="253"/>
      <c r="N145" s="276">
        <f t="shared" si="44"/>
        <v>-143.58652757933322</v>
      </c>
      <c r="O145" s="253"/>
      <c r="P145" s="41"/>
      <c r="Q145" s="256" cm="1">
        <f t="array" ref="Q145">+SUMPRODUCT(('Réel 2023'!$A$8:$A$501=$A145)*('Réel 2023'!$C$3:$AO$3=Q$2),'Réel 2023'!$C$8:$AO$501)</f>
        <v>223.41</v>
      </c>
      <c r="R145" s="253"/>
      <c r="S145" s="276">
        <f t="shared" si="48"/>
        <v>-29.049999999999983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241.30698986066662</v>
      </c>
      <c r="G146" s="298"/>
      <c r="H146" s="41"/>
      <c r="I146" s="254"/>
      <c r="J146" s="253"/>
      <c r="K146" s="41"/>
      <c r="L146" s="256">
        <f>SUMIFS(BV_Data_An_Cour!$P:$P,BV_Data_An_Cour!$U:$U,$B146,BV_Data_An_Cour!$V:$V,$C146,BV_Data_An_Cour!$W:$W,$L$2)</f>
        <v>293.31</v>
      </c>
      <c r="M146" s="253"/>
      <c r="N146" s="276">
        <f t="shared" si="44"/>
        <v>52.003010139333384</v>
      </c>
      <c r="O146" s="253"/>
      <c r="P146" s="41"/>
      <c r="Q146" s="256" cm="1">
        <f t="array" ref="Q146">+SUMPRODUCT(('Réel 2023'!$A$8:$A$501=$A146)*('Réel 2023'!$C$3:$AO$3=Q$2),'Réel 2023'!$C$8:$AO$501)</f>
        <v>231.76</v>
      </c>
      <c r="R146" s="253"/>
      <c r="S146" s="276">
        <f t="shared" si="48"/>
        <v>61.550000000000011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799.12020515266659</v>
      </c>
      <c r="G147" s="298"/>
      <c r="H147" s="41"/>
      <c r="I147" s="254"/>
      <c r="J147" s="253"/>
      <c r="K147" s="41"/>
      <c r="L147" s="256">
        <f>SUMIFS(BV_Data_An_Cour!$P:$P,BV_Data_An_Cour!$U:$U,$B147,BV_Data_An_Cour!$V:$V,$C147,BV_Data_An_Cour!$W:$W,$L$2)</f>
        <v>287.58</v>
      </c>
      <c r="M147" s="253"/>
      <c r="N147" s="276">
        <f t="shared" si="44"/>
        <v>-511.5402051526666</v>
      </c>
      <c r="O147" s="253"/>
      <c r="P147" s="41"/>
      <c r="Q147" s="256" cm="1">
        <f t="array" ref="Q147">+SUMPRODUCT(('Réel 2023'!$A$8:$A$501=$A147)*('Réel 2023'!$C$3:$AO$3=Q$2),'Réel 2023'!$C$8:$AO$501)</f>
        <v>1502.5799999999997</v>
      </c>
      <c r="R147" s="253"/>
      <c r="S147" s="276">
        <f t="shared" si="48"/>
        <v>-1214.9999999999998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2008.9290787880573</v>
      </c>
      <c r="G148" s="298"/>
      <c r="H148" s="41"/>
      <c r="I148" s="254"/>
      <c r="J148" s="253"/>
      <c r="K148" s="41"/>
      <c r="L148" s="256">
        <f>SUMIFS(BV_Data_An_Cour!$P:$P,BV_Data_An_Cour!$U:$U,$B148,BV_Data_An_Cour!$V:$V,$C148,BV_Data_An_Cour!$W:$W,$L$2)</f>
        <v>327.12</v>
      </c>
      <c r="M148" s="253"/>
      <c r="N148" s="276">
        <f t="shared" si="44"/>
        <v>-1681.8090787880574</v>
      </c>
      <c r="O148" s="253"/>
      <c r="P148" s="41"/>
      <c r="Q148" s="256" cm="1">
        <f t="array" ref="Q148">+SUMPRODUCT(('Réel 2023'!$A$8:$A$501=$A148)*('Réel 2023'!$C$3:$AO$3=Q$2),'Réel 2023'!$C$8:$AO$501)</f>
        <v>4043.1899999999996</v>
      </c>
      <c r="R148" s="253"/>
      <c r="S148" s="276">
        <f t="shared" si="48"/>
        <v>-3716.0699999999997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3128.6982842331686</v>
      </c>
      <c r="G149" s="298"/>
      <c r="H149" s="41"/>
      <c r="I149" s="254"/>
      <c r="J149" s="253"/>
      <c r="K149" s="41"/>
      <c r="L149" s="954">
        <f>SUMIFS(BV_Data_An_Cour!$P:$P,BV_Data_An_Cour!$U:$U,$B149,BV_Data_An_Cour!$V:$V,$C149,BV_Data_An_Cour!$W:$W,L$2)</f>
        <v>2922.31</v>
      </c>
      <c r="M149" s="989"/>
      <c r="N149" s="963">
        <f t="shared" si="44"/>
        <v>-206.38828423316863</v>
      </c>
      <c r="O149" s="253"/>
      <c r="P149" s="41"/>
      <c r="Q149" s="256" cm="1">
        <f t="array" ref="Q149">+SUMPRODUCT(('Réel 2023'!$A$8:$A$501=$A149)*('Réel 2023'!$C$3:$AO$3=Q$2),'Réel 2023'!$C$8:$AO$501)</f>
        <v>2001.7599999999998</v>
      </c>
      <c r="R149" s="253"/>
      <c r="S149" s="276">
        <f t="shared" si="48"/>
        <v>920.55000000000018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7.1757722969350887E-2</v>
      </c>
      <c r="F153" s="307">
        <f>+SUM(F136:F152)</f>
        <v>40960.77212845406</v>
      </c>
      <c r="G153" s="308"/>
      <c r="H153" s="306"/>
      <c r="I153" s="307"/>
      <c r="J153" s="308" t="s">
        <v>119</v>
      </c>
      <c r="K153" s="306">
        <f>L153/L$108</f>
        <v>0.16605321309713672</v>
      </c>
      <c r="L153" s="307">
        <f>+SUM(L136:L152)</f>
        <v>28332.690000000002</v>
      </c>
      <c r="M153" s="311"/>
      <c r="N153" s="307">
        <f t="shared" si="44"/>
        <v>-12628.082128454058</v>
      </c>
      <c r="O153" s="308" t="s">
        <v>119</v>
      </c>
      <c r="P153" s="306">
        <f>Q153/Q$108</f>
        <v>7.2785401011831632E-2</v>
      </c>
      <c r="Q153" s="307">
        <f>+SUM(Q136:Q152)</f>
        <v>33426.289999999994</v>
      </c>
      <c r="R153" s="311"/>
      <c r="S153" s="307">
        <f t="shared" si="48"/>
        <v>-5093.5999999999913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0.87927248125492929</v>
      </c>
      <c r="F155" s="307">
        <f>F122+F135+F153</f>
        <v>501906.66945893125</v>
      </c>
      <c r="G155" s="308"/>
      <c r="H155" s="306"/>
      <c r="I155" s="307"/>
      <c r="J155" s="308" t="s">
        <v>119</v>
      </c>
      <c r="K155" s="306">
        <f>L155/L$108</f>
        <v>2.0096189777578943</v>
      </c>
      <c r="L155" s="307">
        <f>L122+L135+L153</f>
        <v>342889.55</v>
      </c>
      <c r="M155" s="311"/>
      <c r="N155" s="320">
        <f t="shared" ref="N155:N162" si="49">L155-F155</f>
        <v>-159017.11945893127</v>
      </c>
      <c r="O155" s="308" t="s">
        <v>119</v>
      </c>
      <c r="P155" s="306">
        <f>Q155/Q$108</f>
        <v>0.83284923020187851</v>
      </c>
      <c r="Q155" s="307">
        <f>Q122+Q135+Q153</f>
        <v>382481.36999999994</v>
      </c>
      <c r="R155" s="311"/>
      <c r="S155" s="320">
        <f t="shared" ref="S155:S162" si="50">L155-Q155</f>
        <v>-39591.819999999949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7"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61368.142749999999</v>
      </c>
      <c r="G159" s="298"/>
      <c r="H159" s="41"/>
      <c r="I159" s="254"/>
      <c r="J159" s="253"/>
      <c r="K159" s="41"/>
      <c r="L159" s="256">
        <f>-SUMIFS(BV_Data_An_Cour!$P:$P,BV_Data_An_Cour!$U:$U,$B159,BV_Data_An_Cour!$V:$V,$C159,BV_Data_An_Cour!$W:$W,L$2)</f>
        <v>24173</v>
      </c>
      <c r="M159" s="253"/>
      <c r="N159" s="276">
        <f t="shared" si="49"/>
        <v>-37195.142749999999</v>
      </c>
      <c r="O159" s="253"/>
      <c r="P159" s="41"/>
      <c r="Q159" s="256" cm="1">
        <f t="array" ref="Q159">+SUMPRODUCT(('Réel 2023'!$A$8:$A$501=$A159)*('Réel 2023'!$C$3:$AO$3=Q$2),'Réel 2023'!$C$8:$AO$501)</f>
        <v>39377</v>
      </c>
      <c r="R159" s="253"/>
      <c r="S159" s="276">
        <f t="shared" si="50"/>
        <v>-15204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61368.142749999999</v>
      </c>
      <c r="G163" s="308"/>
      <c r="H163" s="306"/>
      <c r="I163" s="307"/>
      <c r="J163" s="308"/>
      <c r="K163" s="306"/>
      <c r="L163" s="307">
        <f>+SUM(L156:L162)</f>
        <v>24173</v>
      </c>
      <c r="M163" s="311"/>
      <c r="N163" s="307">
        <f>SUM(N156:N159)</f>
        <v>-37195.142749999999</v>
      </c>
      <c r="O163" s="308"/>
      <c r="P163" s="306"/>
      <c r="Q163" s="307">
        <f>+SUM(Q156:Q162)</f>
        <v>39377</v>
      </c>
      <c r="R163" s="311"/>
      <c r="S163" s="307">
        <f>+SUM(S156:S162)</f>
        <v>-15204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130281.87329106877</v>
      </c>
      <c r="G165" s="361"/>
      <c r="H165" s="333"/>
      <c r="I165" s="335"/>
      <c r="J165" s="332"/>
      <c r="K165" s="334"/>
      <c r="L165" s="335">
        <f>L108-L155+L163</f>
        <v>-148092.38999999969</v>
      </c>
      <c r="M165" s="332"/>
      <c r="N165" s="335">
        <f>L165-F165</f>
        <v>-278374.26329106849</v>
      </c>
      <c r="O165" s="332"/>
      <c r="P165" s="334"/>
      <c r="Q165" s="335">
        <f>Q108-Q155+Q163</f>
        <v>116140.05999999942</v>
      </c>
      <c r="R165" s="332"/>
      <c r="S165" s="335">
        <f>L165-Q165</f>
        <v>-264232.44999999914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Avril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06" t="s">
        <v>343</v>
      </c>
      <c r="E170" s="1207"/>
      <c r="F170" s="1208"/>
      <c r="G170" s="1211"/>
      <c r="H170" s="1207"/>
      <c r="I170" s="1208"/>
      <c r="J170" s="1211" t="s">
        <v>344</v>
      </c>
      <c r="K170" s="1207"/>
      <c r="L170" s="1208"/>
      <c r="M170" s="1211" t="s">
        <v>3312</v>
      </c>
      <c r="N170" s="1208"/>
      <c r="O170" s="1206" t="s">
        <v>345</v>
      </c>
      <c r="P170" s="1207"/>
      <c r="Q170" s="1208"/>
      <c r="R170" s="1209" t="s">
        <v>3314</v>
      </c>
      <c r="S170" s="121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1791.5240582661058</v>
      </c>
      <c r="E172" s="291" cm="1">
        <f t="array" ref="E172">+SUMPRODUCT(('Budget original'!$A$8:$A$501=$A172)*('Budget original'!$C$3:$AO$3=E$2),'Budget original'!$C$8:$AO$501)</f>
        <v>591202.9392278149</v>
      </c>
      <c r="F172" s="291" cm="1">
        <f t="array" ref="F172">+SUMPRODUCT(('Budget original'!$A$8:$A$501=$A172)*('Budget original'!$C$3:$AO$3=F$2),'Budget original'!$C$8:$AO$501)</f>
        <v>449314.23381313932</v>
      </c>
      <c r="G172" s="322"/>
      <c r="H172" s="291"/>
      <c r="I172" s="291"/>
      <c r="J172" s="277">
        <f>-SUMIFS(BV_Data_An_Cour!$P:$P,BV_Data_An_Cour!$U:$U,$B172,BV_Data_An_Cour!$V:$V,$C172,BV_Data_An_Cour!$W:$W,J$2)</f>
        <v>1628</v>
      </c>
      <c r="K172" s="254">
        <f>-SUMIFS(BV_Data_An_Cour!$P:$P,BV_Data_An_Cour!$X:$X,"Oui",BV_Data_An_Cour!$U:$U,$B172,BV_Data_An_Cour!$V:$V,$C172)</f>
        <v>505090.03</v>
      </c>
      <c r="L172" s="256">
        <f>-SUMIFS(BV_Data_An_Cour!$P:$P,BV_Data_An_Cour!$U:$U,$B172,BV_Data_An_Cour!$V:$V,$C172,BV_Data_An_Cour!$W:$W,$L$2)</f>
        <v>389540.11000000004</v>
      </c>
      <c r="M172" s="292">
        <f>(K172-E172)/E172</f>
        <v>-0.14565710606968416</v>
      </c>
      <c r="N172" s="276">
        <f>L172-F172</f>
        <v>-59774.123813139275</v>
      </c>
      <c r="O172" s="277" cm="1">
        <f t="array" ref="O172">+SUMPRODUCT(('Réel 2023'!$A$8:$A$501=$A172)*('Réel 2023'!$C$3:$AO$3=O$2),'Réel 2023'!$C$8:$AO$501)</f>
        <v>1539</v>
      </c>
      <c r="P172" s="254" cm="1">
        <f t="array" ref="P172">+SUMPRODUCT(('Réel 2023'!$A$8:$A$501=$A172)*('Réel 2023'!$C$3:$AO$3=P$2),'Réel 2023'!$C$8:$AO$501)</f>
        <v>510941.72999999905</v>
      </c>
      <c r="Q172" s="256" cm="1">
        <f t="array" ref="Q172">+SUMPRODUCT(('Réel 2023'!$A$8:$A$501=$A172)*('Réel 2023'!$C$3:$AO$3=Q$2),'Réel 2023'!$C$8:$AO$501)</f>
        <v>389592.87</v>
      </c>
      <c r="R172" s="292">
        <f>IF(O172=0,0,J172/O172)</f>
        <v>1.0578297595841455</v>
      </c>
      <c r="S172" s="276">
        <f>L172-Q172</f>
        <v>-52.759999999951106</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v>
      </c>
      <c r="G173" s="253"/>
      <c r="H173" s="349"/>
      <c r="I173" s="362"/>
      <c r="J173" s="277"/>
      <c r="K173" s="41"/>
      <c r="L173" s="362">
        <f>IF(L172=0,0,L172/K172)</f>
        <v>0.77122906187635509</v>
      </c>
      <c r="M173" s="292"/>
      <c r="N173" s="276"/>
      <c r="O173" s="277"/>
      <c r="P173" s="41"/>
      <c r="Q173" s="362">
        <f>Q172/P172</f>
        <v>0.76249961027845725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6"/>
      <c r="E174" s="403">
        <f>IFERROR(E172/D172,0)</f>
        <v>330</v>
      </c>
      <c r="F174" s="364"/>
      <c r="G174" s="246"/>
      <c r="H174" s="403"/>
      <c r="I174" s="364"/>
      <c r="J174" s="365"/>
      <c r="K174" s="608">
        <f>IFERROR(K172/J172,0)</f>
        <v>310.25186117936119</v>
      </c>
      <c r="L174" s="364"/>
      <c r="M174" s="295"/>
      <c r="N174" s="296"/>
      <c r="O174" s="365"/>
      <c r="P174" s="608">
        <f>IFERROR(P172/O172,0)</f>
        <v>331.99592592592529</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7" cm="1">
        <f t="array" ref="D175">+SUMPRODUCT(('Budget original'!$A$8:$A$501=$A175)*('Budget original'!$C$3:$AO$3=D$2),'Budget original'!$C$8:$AO$501)</f>
        <v>379.42509845387974</v>
      </c>
      <c r="E175" s="291" cm="1">
        <f t="array" ref="E175">+SUMPRODUCT(('Budget original'!$A$8:$A$501=$A175)*('Budget original'!$C$3:$AO$3=E$2),'Budget original'!$C$8:$AO$501)</f>
        <v>102444.77658254755</v>
      </c>
      <c r="F175" s="291" cm="1">
        <f t="array" ref="F175">+SUMPRODUCT(('Budget original'!$A$8:$A$501=$A175)*('Budget original'!$C$3:$AO$3=F$2),'Budget original'!$C$8:$AO$501)</f>
        <v>65564.65701283043</v>
      </c>
      <c r="G175" s="367"/>
      <c r="H175" s="291"/>
      <c r="I175" s="291"/>
      <c r="J175" s="367">
        <f>-SUMIFS(BV_Data_An_Cour!$P:$P,BV_Data_An_Cour!$U:$U,$B175,BV_Data_An_Cour!$V:$V,$C175,BV_Data_An_Cour!$W:$W,J$2)</f>
        <v>386</v>
      </c>
      <c r="K175" s="271">
        <f>-SUMIFS(BV_Data_An_Cour!$P:$P,BV_Data_An_Cour!$X:$X,"Oui",BV_Data_An_Cour!$U:$U,$B175,BV_Data_An_Cour!$V:$V,$C175)</f>
        <v>83086.990000000005</v>
      </c>
      <c r="L175" s="256">
        <f>-SUMIFS(BV_Data_An_Cour!$P:$P,BV_Data_An_Cour!$U:$U,$B175,BV_Data_An_Cour!$V:$V,$C175,BV_Data_An_Cour!$W:$W,$L$2)</f>
        <v>48917.090000000004</v>
      </c>
      <c r="M175" s="292">
        <f>(K175-E175)/E175</f>
        <v>-0.18895825856918633</v>
      </c>
      <c r="N175" s="317">
        <f>L175-F175</f>
        <v>-16647.567012830426</v>
      </c>
      <c r="O175" s="367" cm="1">
        <f t="array" ref="O175">+SUMPRODUCT(('Réel 2023'!$A$8:$A$501=$A175)*('Réel 2023'!$C$3:$AO$3=O$2),'Réel 2023'!$C$8:$AO$501)</f>
        <v>400</v>
      </c>
      <c r="P175" s="271" cm="1">
        <f t="array" ref="P175">+SUMPRODUCT(('Réel 2023'!$A$8:$A$501=$A175)*('Réel 2023'!$C$3:$AO$3=P$2),'Réel 2023'!$C$8:$AO$501)</f>
        <v>96305.25</v>
      </c>
      <c r="Q175" s="256" cm="1">
        <f t="array" ref="Q175">+SUMPRODUCT(('Réel 2023'!$A$8:$A$501=$A175)*('Réel 2023'!$C$3:$AO$3=Q$2),'Réel 2023'!$C$8:$AO$501)</f>
        <v>56305.45</v>
      </c>
      <c r="R175" s="292">
        <f>IF(O175=0,0,J175/O175)</f>
        <v>0.96499999999999997</v>
      </c>
      <c r="S175" s="276">
        <f>L175-Q175</f>
        <v>-7388.3599999999933</v>
      </c>
      <c r="T175" s="291"/>
      <c r="U175" s="41" t="s">
        <v>462</v>
      </c>
      <c r="V175" s="254">
        <f>+K175+J297</f>
        <v>201701.71000000002</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0.58874548229512225</v>
      </c>
      <c r="M176" s="264"/>
      <c r="N176" s="265"/>
      <c r="O176" s="253"/>
      <c r="P176" s="41"/>
      <c r="Q176" s="362">
        <f>Q175/P175</f>
        <v>0.5846560805355886</v>
      </c>
      <c r="R176" s="264"/>
      <c r="S176" s="265"/>
      <c r="T176" s="41"/>
      <c r="U176" s="41" t="s">
        <v>463</v>
      </c>
      <c r="V176" s="254">
        <f>+L175+L297</f>
        <v>76981.149999999994</v>
      </c>
      <c r="W176" s="368">
        <f>+V176/V175</f>
        <v>0.38165839050149841</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6"/>
      <c r="E177" s="318"/>
      <c r="F177" s="364"/>
      <c r="G177" s="246"/>
      <c r="H177" s="318"/>
      <c r="I177" s="364"/>
      <c r="J177" s="246"/>
      <c r="K177" s="609"/>
      <c r="L177" s="364"/>
      <c r="M177" s="369"/>
      <c r="N177" s="370"/>
      <c r="O177" s="246"/>
      <c r="P177" s="609"/>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708.75</v>
      </c>
      <c r="E178" s="291" cm="1">
        <f t="array" ref="E178">+SUMPRODUCT(('Budget original'!$A$8:$A$501=$A178)*('Budget original'!$C$3:$AO$3=E$2),'Budget original'!$C$8:$AO$501)</f>
        <v>208372.5</v>
      </c>
      <c r="F178" s="291" cm="1">
        <f t="array" ref="F178">+SUMPRODUCT(('Budget original'!$A$8:$A$501=$A178)*('Budget original'!$C$3:$AO$3=F$2),'Budget original'!$C$8:$AO$501)</f>
        <v>154195.65</v>
      </c>
      <c r="G178" s="253"/>
      <c r="H178" s="291"/>
      <c r="I178" s="291"/>
      <c r="J178" s="277">
        <f>-SUMIFS(BV_Data_An_Cour!$P:$P,BV_Data_An_Cour!$U:$U,$B178,BV_Data_An_Cour!$V:$V,$C178,BV_Data_An_Cour!$W:$W,J$2)</f>
        <v>986</v>
      </c>
      <c r="K178" s="271">
        <f>-SUMIFS(BV_Data_An_Cour!$P:$P,BV_Data_An_Cour!$X:$X,"Oui",BV_Data_An_Cour!$U:$U,$B178,BV_Data_An_Cour!$V:$V,$C178)</f>
        <v>295393.96999999997</v>
      </c>
      <c r="L178" s="256">
        <f>-SUMIFS(BV_Data_An_Cour!$P:$P,BV_Data_An_Cour!$U:$U,$B178,BV_Data_An_Cour!$V:$V,$C178,BV_Data_An_Cour!$W:$W,$L$2)</f>
        <v>219365.3</v>
      </c>
      <c r="M178" s="292">
        <f>(K178-E178)/E178</f>
        <v>0.41762454258599369</v>
      </c>
      <c r="N178" s="276">
        <f>L178-F178</f>
        <v>65169.649999999994</v>
      </c>
      <c r="O178" s="277" cm="1">
        <f t="array" ref="O178">+SUMPRODUCT(('Réel 2023'!$A$8:$A$501=$A178)*('Réel 2023'!$C$3:$AO$3=O$2),'Réel 2023'!$C$8:$AO$501)</f>
        <v>650</v>
      </c>
      <c r="P178" s="271" cm="1">
        <f t="array" ref="P178">+SUMPRODUCT(('Réel 2023'!$A$8:$A$501=$A178)*('Réel 2023'!$C$3:$AO$3=P$2),'Réel 2023'!$C$8:$AO$501)</f>
        <v>170078.83</v>
      </c>
      <c r="Q178" s="256" cm="1">
        <f t="array" ref="Q178">+SUMPRODUCT(('Réel 2023'!$A$8:$A$501=$A178)*('Réel 2023'!$C$3:$AO$3=Q$2),'Réel 2023'!$C$8:$AO$501)</f>
        <v>110428.47</v>
      </c>
      <c r="R178" s="292">
        <f>IF(O178=0,0,J178/O178)</f>
        <v>1.5169230769230768</v>
      </c>
      <c r="S178" s="276">
        <f>L178-Q178</f>
        <v>108936.82999999999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0.74261942449265306</v>
      </c>
      <c r="M179" s="292"/>
      <c r="N179" s="276">
        <f>L179-F179</f>
        <v>2.6194244926530663E-3</v>
      </c>
      <c r="O179" s="277"/>
      <c r="P179" s="349"/>
      <c r="Q179" s="362">
        <f>Q178/P178</f>
        <v>0.64927816119148996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10"/>
      <c r="L180" s="362"/>
      <c r="M180" s="292"/>
      <c r="N180" s="276"/>
      <c r="O180" s="277"/>
      <c r="P180" s="610"/>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7" cm="1">
        <f t="array" ref="D181">+SUMPRODUCT(('Budget original'!$A$8:$A$501=$A181)*('Budget original'!$C$3:$AO$3=D$2),'Budget original'!$C$8:$AO$501)</f>
        <v>509.72795831722306</v>
      </c>
      <c r="E181" s="291" cm="1">
        <f t="array" ref="E181">+SUMPRODUCT(('Budget original'!$A$8:$A$501=$A181)*('Budget original'!$C$3:$AO$3=E$2),'Budget original'!$C$8:$AO$501)</f>
        <v>50972.795831722309</v>
      </c>
      <c r="F181" s="291" cm="1">
        <f t="array" ref="F181">+SUMPRODUCT(('Budget original'!$A$8:$A$501=$A181)*('Budget original'!$C$3:$AO$3=F$2),'Budget original'!$C$8:$AO$501)</f>
        <v>38739.324832108956</v>
      </c>
      <c r="G181" s="241"/>
      <c r="H181" s="291"/>
      <c r="I181" s="291"/>
      <c r="J181" s="367">
        <f>-SUMIFS(BV_Data_An_Cour!$P:$P,BV_Data_An_Cour!$U:$U,$B181,BV_Data_An_Cour!$V:$V,$C181,BV_Data_An_Cour!$W:$W,J$2)</f>
        <v>0</v>
      </c>
      <c r="K181" s="271">
        <f>-SUMIFS(BV_Data_An_Cour!$P:$P,BV_Data_An_Cour!$X:$X,"Oui",BV_Data_An_Cour!$U:$U,$B181,BV_Data_An_Cour!$V:$V,$C181)</f>
        <v>56452.61</v>
      </c>
      <c r="L181" s="272">
        <f>-SUMIFS(BV_Data_An_Cour!$P:$P,BV_Data_An_Cour!$U:$U,$B181,BV_Data_An_Cour!$V:$V,$C181,BV_Data_An_Cour!$W:$W,$L$2)</f>
        <v>44306.31</v>
      </c>
      <c r="M181" s="371">
        <f>IF(E181=0,0,(K181-E181)/E181)</f>
        <v>0.1075046812493537</v>
      </c>
      <c r="N181" s="317">
        <f>L181-F181</f>
        <v>5566.9851678910418</v>
      </c>
      <c r="O181" s="367" cm="1">
        <f t="array" ref="O181">+SUMPRODUCT(('Réel 2023'!$A$8:$A$501=$A181)*('Réel 2023'!$C$3:$AO$3=O$2),'Réel 2023'!$C$8:$AO$501)</f>
        <v>0</v>
      </c>
      <c r="P181" s="271" cm="1">
        <f t="array" ref="P181">+SUMPRODUCT(('Réel 2023'!$A$8:$A$501=$A181)*('Réel 2023'!$C$3:$AO$3=P$2),'Réel 2023'!$C$8:$AO$501)</f>
        <v>6685.42</v>
      </c>
      <c r="Q181" s="272" cm="1">
        <f t="array" ref="Q181">+SUMPRODUCT(('Réel 2023'!$A$8:$A$501=$A181)*('Réel 2023'!$C$3:$AO$3=Q$2),'Réel 2023'!$C$8:$AO$501)</f>
        <v>5594.9399999999805</v>
      </c>
      <c r="R181" s="292">
        <f>IF(O181=0,0,J181/O181)</f>
        <v>0</v>
      </c>
      <c r="S181" s="317">
        <f>L181-Q181</f>
        <v>38711.370000000017</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0.78484077175528288</v>
      </c>
      <c r="M182" s="277">
        <f>J182-D182</f>
        <v>0</v>
      </c>
      <c r="N182" s="374"/>
      <c r="O182" s="373"/>
      <c r="P182" s="372"/>
      <c r="Q182" s="362">
        <f>IFERROR(Q181/P181,0)</f>
        <v>0.8368868373265973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-11015.881495513117</v>
      </c>
      <c r="G184" s="253"/>
      <c r="H184" s="291"/>
      <c r="I184" s="291"/>
      <c r="J184" s="277"/>
      <c r="K184" s="291"/>
      <c r="L184" s="291">
        <f>-SUMIFS(BV_Data_An_Cour!$P:$P,BV_Data_An_Cour!$U:$U,$B184,BV_Data_An_Cour!$V:$V,$C184,BV_Data_An_Cour!$W:$W,$L$2)</f>
        <v>-15653.37</v>
      </c>
      <c r="M184" s="373"/>
      <c r="N184" s="276">
        <f>L184-F184</f>
        <v>-4637.4885044868843</v>
      </c>
      <c r="O184" s="277"/>
      <c r="P184" s="291"/>
      <c r="Q184" s="291" cm="1">
        <f t="array" ref="Q184">+SUMPRODUCT(('Réel 2023'!$A$8:$A$501=$A184)*('Réel 2023'!$C$3:$AO$3=Q$2),'Réel 2023'!$C$8:$AO$501)</f>
        <v>-9723</v>
      </c>
      <c r="R184" s="379"/>
      <c r="S184" s="276">
        <f t="shared" ref="S184:S185" si="52">L184-Q184</f>
        <v>-5930.3700000000008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3389.4271150372088</v>
      </c>
      <c r="E185" s="381">
        <f>E172+E175+E178+E181+E184</f>
        <v>952993.01164208481</v>
      </c>
      <c r="F185" s="382">
        <f t="shared" ref="F185" si="54">F172+F175+F178+F181+F184</f>
        <v>696797.98416256555</v>
      </c>
      <c r="G185" s="383"/>
      <c r="H185" s="381"/>
      <c r="I185" s="382"/>
      <c r="J185" s="383">
        <f t="shared" ref="J185:L185" si="55">J172+J175+J178+J181+J184</f>
        <v>3000</v>
      </c>
      <c r="K185" s="381">
        <f t="shared" si="55"/>
        <v>940023.6</v>
      </c>
      <c r="L185" s="382">
        <f t="shared" si="55"/>
        <v>686475.44000000006</v>
      </c>
      <c r="M185" s="384">
        <f>(K185-E185)/E185</f>
        <v>-1.360913614648388E-2</v>
      </c>
      <c r="N185" s="382">
        <f>L185-F185</f>
        <v>-10322.544162565493</v>
      </c>
      <c r="O185" s="383">
        <f t="shared" ref="O185" si="56">O172+O175+O178+O181+O184</f>
        <v>2589</v>
      </c>
      <c r="P185" s="381">
        <f>P172+P175+P178+P181+P184</f>
        <v>784011.22999999905</v>
      </c>
      <c r="Q185" s="382">
        <f t="shared" ref="Q185" si="57">Q172+Q175+Q178+Q181+Q184</f>
        <v>552198.73</v>
      </c>
      <c r="R185" s="264">
        <f>IF(O185=0,0,J185/O185)</f>
        <v>1.1587485515643106</v>
      </c>
      <c r="S185" s="382">
        <f t="shared" si="52"/>
        <v>134276.71000000008</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281.16639753488931</v>
      </c>
      <c r="F186" s="388">
        <f>F185/E185</f>
        <v>0.73116798932441873</v>
      </c>
      <c r="G186" s="389"/>
      <c r="H186" s="611"/>
      <c r="I186" s="265"/>
      <c r="J186" s="389"/>
      <c r="K186" s="611">
        <f>IF(J185=0,0,K185/J185)</f>
        <v>313.34120000000001</v>
      </c>
      <c r="L186" s="265">
        <f>IF(L185=0,0,L185/K185)</f>
        <v>0.73027468672063134</v>
      </c>
      <c r="M186" s="389"/>
      <c r="N186" s="388">
        <f>N185/F185</f>
        <v>-1.4814256638488215E-2</v>
      </c>
      <c r="O186" s="389"/>
      <c r="P186" s="611">
        <f>IF(O185=0,0,P185/O185)</f>
        <v>302.82395905755084</v>
      </c>
      <c r="Q186" s="265">
        <f>Q185/P185</f>
        <v>0.70432502605861991</v>
      </c>
      <c r="R186" s="389"/>
      <c r="S186" s="265">
        <f>IF(Q185=0,0,(S185/Q185))</f>
        <v>0.24316736476376916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42695.997575455338</v>
      </c>
      <c r="F188" s="291" cm="1">
        <f t="array" ref="F188">+SUMPRODUCT(('Budget original'!$A$8:$A$501=$A188)*('Budget original'!$C$3:$AO$3=F$2),'Budget original'!$C$8:$AO$501)</f>
        <v>9393.1194666001738</v>
      </c>
      <c r="G188" s="277"/>
      <c r="H188" s="291"/>
      <c r="I188" s="291"/>
      <c r="J188" s="277"/>
      <c r="K188" s="254">
        <f>-SUMIFS(BV_Data_An_Cour!$P:$P,BV_Data_An_Cour!$X:$X,"Oui",BV_Data_An_Cour!$U:$U,$B188,BV_Data_An_Cour!$V:$V,$C188)</f>
        <v>60884.929999999993</v>
      </c>
      <c r="L188" s="256">
        <f>-SUMIFS(BV_Data_An_Cour!$P:$P,BV_Data_An_Cour!$U:$U,$B188,BV_Data_An_Cour!$V:$V,$C188,BV_Data_An_Cour!$W:$W,$L$2)</f>
        <v>8437.1999999999971</v>
      </c>
      <c r="M188" s="292">
        <f>IF(E188=0,0,(K188-E188)/E188)</f>
        <v>0.42601024586437891</v>
      </c>
      <c r="N188" s="276">
        <f>L188-F188</f>
        <v>-955.91946660017675</v>
      </c>
      <c r="O188" s="277"/>
      <c r="P188" s="254" cm="1">
        <f t="array" ref="P188">+SUMPRODUCT(('Réel 2023'!$A$8:$A$501=$A188)*('Réel 2023'!$C$3:$AO$3=P$2),'Réel 2023'!$C$8:$AO$501)</f>
        <v>53370.019999999902</v>
      </c>
      <c r="Q188" s="256" cm="1">
        <f t="array" ref="Q188">+SUMPRODUCT(('Réel 2023'!$A$8:$A$501=$A188)*('Réel 2023'!$C$3:$AO$3=Q$2),'Réel 2023'!$C$8:$AO$501)</f>
        <v>9490.9099999999908</v>
      </c>
      <c r="R188" s="292">
        <f>IF(O188=0,0,J188/O188)</f>
        <v>0</v>
      </c>
      <c r="S188" s="276">
        <f>L188-Q188</f>
        <v>-1053.7099999999937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0.13857616326404576</v>
      </c>
      <c r="M189" s="373"/>
      <c r="N189" s="374"/>
      <c r="O189" s="373"/>
      <c r="P189" s="372"/>
      <c r="Q189" s="362">
        <f>IFERROR(Q188/P188,0)</f>
        <v>0.1778322361505581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50972.795831722309</v>
      </c>
      <c r="F191" s="291" cm="1">
        <f t="array" ref="F191">+SUMPRODUCT(('Budget original'!$A$8:$A$501=$A191)*('Budget original'!$C$3:$AO$3=F$2),'Budget original'!$C$8:$AO$501)</f>
        <v>35680.957082205612</v>
      </c>
      <c r="G191" s="253"/>
      <c r="H191" s="291"/>
      <c r="I191" s="291"/>
      <c r="J191" s="373"/>
      <c r="K191" s="254">
        <f>-SUMIFS(BV_Data_An_Cour!$P:$P,BV_Data_An_Cour!$X:$X,"Oui",BV_Data_An_Cour!$U:$U,$B191,BV_Data_An_Cour!$V:$V,$C191)</f>
        <v>25517.45</v>
      </c>
      <c r="L191" s="256">
        <f>-SUMIFS(BV_Data_An_Cour!$P:$P,BV_Data_An_Cour!$U:$U,$B191,BV_Data_An_Cour!$V:$V,$C191,BV_Data_An_Cour!$W:$W,$L$2)</f>
        <v>19521.32</v>
      </c>
      <c r="M191" s="373"/>
      <c r="N191" s="374"/>
      <c r="O191" s="373"/>
      <c r="P191" s="254" cm="1">
        <f t="array" ref="P191">+SUMPRODUCT(('Réel 2023'!$A$8:$A$501=$A191)*('Réel 2023'!$C$3:$AO$3=P$2),'Réel 2023'!$C$8:$AO$501)</f>
        <v>0</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0.76501844815998465</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1046661.8050492625</v>
      </c>
      <c r="F194" s="281">
        <f t="shared" si="58"/>
        <v>741872.06071137125</v>
      </c>
      <c r="G194" s="282"/>
      <c r="H194" s="279"/>
      <c r="I194" s="281"/>
      <c r="J194" s="282"/>
      <c r="K194" s="279">
        <f t="shared" ref="K194:L194" si="59">K185+K188+K191</f>
        <v>1026425.98</v>
      </c>
      <c r="L194" s="281">
        <f t="shared" si="59"/>
        <v>714433.96</v>
      </c>
      <c r="M194" s="399">
        <f>L195-F195</f>
        <v>-1.2757844684946784E-2</v>
      </c>
      <c r="N194" s="281">
        <f>L194-F194</f>
        <v>-27438.100711371284</v>
      </c>
      <c r="O194" s="282"/>
      <c r="P194" s="279">
        <f t="shared" ref="P194:Q194" si="60">P185+P188+P191</f>
        <v>837381.24999999895</v>
      </c>
      <c r="Q194" s="281">
        <f t="shared" si="60"/>
        <v>561689.64</v>
      </c>
      <c r="R194" s="399">
        <f>L195-Q195</f>
        <v>2.5271103949318752E-2</v>
      </c>
      <c r="S194" s="281">
        <f>L194-Q194</f>
        <v>152744.31999999995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0.70879825472990687</v>
      </c>
      <c r="G195" s="283"/>
      <c r="H195" s="284"/>
      <c r="I195" s="287"/>
      <c r="J195" s="283"/>
      <c r="K195" s="284"/>
      <c r="L195" s="287">
        <f>L194/K194</f>
        <v>0.69604041004496009</v>
      </c>
      <c r="M195" s="286"/>
      <c r="N195" s="287">
        <f>N194/F194</f>
        <v>-3.6984949514153764E-2</v>
      </c>
      <c r="O195" s="283"/>
      <c r="P195" s="284"/>
      <c r="Q195" s="287">
        <f>Q194/P194</f>
        <v>0.67076930609564134</v>
      </c>
      <c r="R195" s="286"/>
      <c r="S195" s="287">
        <f>L194/S194</f>
        <v>4.6773193268332349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65755.568429487175</v>
      </c>
      <c r="G198" s="253"/>
      <c r="H198" s="41"/>
      <c r="I198" s="254"/>
      <c r="J198" s="253"/>
      <c r="K198" s="41"/>
      <c r="L198" s="256">
        <f>SUMIFS(BV_Data_An_Cour!$P:$P,BV_Data_An_Cour!$U:$U,$B198,BV_Data_An_Cour!$V:$V,$C198,BV_Data_An_Cour!$W:$W,$L$2)</f>
        <v>55364.03</v>
      </c>
      <c r="M198" s="253"/>
      <c r="N198" s="276">
        <f t="shared" ref="N198:N229" si="61">L198-F198</f>
        <v>-10391.538429487176</v>
      </c>
      <c r="O198" s="253"/>
      <c r="P198" s="41"/>
      <c r="Q198" s="256" cm="1">
        <f t="array" ref="Q198">+SUMPRODUCT(('Réel 2023'!$A$8:$A$501=$A198)*('Réel 2023'!$C$3:$AO$3=Q$2),'Réel 2023'!$C$8:$AO$501)</f>
        <v>28535.55</v>
      </c>
      <c r="R198" s="253"/>
      <c r="S198" s="256">
        <f t="shared" ref="S198:S229" si="62">L198-Q198</f>
        <v>26828.48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36174.061038461536</v>
      </c>
      <c r="G199" s="298"/>
      <c r="H199" s="41"/>
      <c r="I199" s="248"/>
      <c r="J199" s="253"/>
      <c r="K199" s="41"/>
      <c r="L199" s="256">
        <f>SUMIFS(BV_Data_An_Cour!$P:$P,BV_Data_An_Cour!$U:$U,$B199,BV_Data_An_Cour!$V:$V,$C199,BV_Data_An_Cour!$W:$W,$L$2)</f>
        <v>30526.18</v>
      </c>
      <c r="M199" s="253"/>
      <c r="N199" s="276">
        <f t="shared" si="61"/>
        <v>-5647.8810384615354</v>
      </c>
      <c r="O199" s="253"/>
      <c r="P199" s="41"/>
      <c r="Q199" s="256" cm="1">
        <f t="array" ref="Q199">+SUMPRODUCT(('Réel 2023'!$A$8:$A$501=$A199)*('Réel 2023'!$C$3:$AO$3=Q$2),'Réel 2023'!$C$8:$AO$501)</f>
        <v>25269.100000000002</v>
      </c>
      <c r="R199" s="253"/>
      <c r="S199" s="276">
        <f t="shared" si="62"/>
        <v>5257.0799999999981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73767.951923076922</v>
      </c>
      <c r="G200" s="316"/>
      <c r="H200" s="315"/>
      <c r="I200" s="254"/>
      <c r="J200" s="241"/>
      <c r="K200" s="315"/>
      <c r="L200" s="272">
        <f>SUMIFS(BV_Data_An_Cour!$P:$P,BV_Data_An_Cour!$U:$U,$B200,BV_Data_An_Cour!$V:$V,$C200,BV_Data_An_Cour!$W:$W,$L$2)</f>
        <v>61730.05</v>
      </c>
      <c r="M200" s="241"/>
      <c r="N200" s="317">
        <f t="shared" si="61"/>
        <v>-12037.901923076919</v>
      </c>
      <c r="O200" s="241"/>
      <c r="P200" s="315"/>
      <c r="Q200" s="272" cm="1">
        <f t="array" ref="Q200">+SUMPRODUCT(('Réel 2023'!$A$8:$A$501=$A200)*('Réel 2023'!$C$3:$AO$3=Q$2),'Réel 2023'!$C$8:$AO$501)</f>
        <v>32683.39</v>
      </c>
      <c r="R200" s="241"/>
      <c r="S200" s="317">
        <f t="shared" si="62"/>
        <v>29046.660000000003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111368.59511172348</v>
      </c>
      <c r="G201" s="298"/>
      <c r="H201" s="41"/>
      <c r="I201" s="254"/>
      <c r="J201" s="253"/>
      <c r="K201" s="41"/>
      <c r="L201" s="256">
        <f>SUMIFS(BV_Data_An_Cour!$P:$P,BV_Data_An_Cour!$U:$U,$B201,BV_Data_An_Cour!$V:$V,$C201,BV_Data_An_Cour!$W:$W,$L$2)</f>
        <v>108091</v>
      </c>
      <c r="M201" s="253"/>
      <c r="N201" s="276">
        <f t="shared" si="61"/>
        <v>-3277.5951117234799</v>
      </c>
      <c r="O201" s="253"/>
      <c r="P201" s="41"/>
      <c r="Q201" s="256" cm="1">
        <f t="array" ref="Q201">+SUMPRODUCT(('Réel 2023'!$A$8:$A$501=$A201)*('Réel 2023'!$C$3:$AO$3=Q$2),'Réel 2023'!$C$8:$AO$501)</f>
        <v>106472.4</v>
      </c>
      <c r="R201" s="253"/>
      <c r="S201" s="276">
        <f t="shared" si="62"/>
        <v>1618.6000000000058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63114.796701987449</v>
      </c>
      <c r="G205" s="298"/>
      <c r="H205" s="41"/>
      <c r="I205" s="254"/>
      <c r="J205" s="253"/>
      <c r="K205" s="41"/>
      <c r="L205" s="256">
        <f>SUMIFS(BV_Data_An_Cour!$P:$P,BV_Data_An_Cour!$U:$U,$B205,BV_Data_An_Cour!$V:$V,$C205,BV_Data_An_Cour!$W:$W,$L$2)</f>
        <v>63697.27</v>
      </c>
      <c r="M205" s="253"/>
      <c r="N205" s="276">
        <f t="shared" si="61"/>
        <v>582.47329801254818</v>
      </c>
      <c r="O205" s="253"/>
      <c r="P205" s="41"/>
      <c r="Q205" s="256" cm="1">
        <f t="array" ref="Q205">+SUMPRODUCT(('Réel 2023'!$A$8:$A$501=$A205)*('Réel 2023'!$C$3:$AO$3=Q$2),'Réel 2023'!$C$8:$AO$501)</f>
        <v>64720.770000000004</v>
      </c>
      <c r="R205" s="253"/>
      <c r="S205" s="276">
        <f t="shared" si="62"/>
        <v>-1023.5000000000073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76738.695549553027</v>
      </c>
      <c r="G206" s="316"/>
      <c r="H206" s="315"/>
      <c r="I206" s="272"/>
      <c r="J206" s="241"/>
      <c r="K206" s="315"/>
      <c r="L206" s="272">
        <f>SUMIFS(BV_Data_An_Cour!$P:$P,BV_Data_An_Cour!$U:$U,$B206,BV_Data_An_Cour!$V:$V,$C206,BV_Data_An_Cour!$W:$W,$L$2)</f>
        <v>87449.38</v>
      </c>
      <c r="M206" s="241"/>
      <c r="N206" s="317">
        <f t="shared" si="61"/>
        <v>10710.684450446977</v>
      </c>
      <c r="O206" s="241"/>
      <c r="P206" s="315"/>
      <c r="Q206" s="272" cm="1">
        <f t="array" ref="Q206">+SUMPRODUCT(('Réel 2023'!$A$8:$A$501=$A206)*('Réel 2023'!$C$3:$AO$3=Q$2),'Réel 2023'!$C$8:$AO$501)</f>
        <v>75481.25</v>
      </c>
      <c r="R206" s="241"/>
      <c r="S206" s="317">
        <f t="shared" si="62"/>
        <v>11968.130000000005</v>
      </c>
      <c r="T206" s="41"/>
      <c r="V206" s="254">
        <f>L206-Print_Mois!L206</f>
        <v>65040.94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39537.110533139268</v>
      </c>
      <c r="G207" s="298"/>
      <c r="H207" s="41"/>
      <c r="I207" s="254"/>
      <c r="J207" s="253"/>
      <c r="K207" s="41"/>
      <c r="L207" s="256">
        <f>SUMIFS(BV_Data_An_Cour!$P:$P,BV_Data_An_Cour!$U:$U,$B207,BV_Data_An_Cour!$V:$V,$C207,BV_Data_An_Cour!$W:$W,$L$2)</f>
        <v>45686.229999999996</v>
      </c>
      <c r="M207" s="253"/>
      <c r="N207" s="276">
        <f t="shared" si="61"/>
        <v>6149.1194668607277</v>
      </c>
      <c r="O207" s="253"/>
      <c r="P207" s="41"/>
      <c r="Q207" s="256" cm="1">
        <f t="array" ref="Q207">+SUMPRODUCT(('Réel 2023'!$A$8:$A$501=$A207)*('Réel 2023'!$C$3:$AO$3=Q$2),'Réel 2023'!$C$8:$AO$501)</f>
        <v>42702.130000000005</v>
      </c>
      <c r="R207" s="253"/>
      <c r="S207" s="276">
        <f t="shared" si="62"/>
        <v>2984.0999999999913</v>
      </c>
      <c r="T207" s="41"/>
      <c r="V207" s="254">
        <f>L207-Print_Mois!L207</f>
        <v>34441.459999999992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17238.402623450314</v>
      </c>
      <c r="G208" s="298"/>
      <c r="H208" s="41"/>
      <c r="I208" s="254"/>
      <c r="J208" s="253"/>
      <c r="K208" s="41"/>
      <c r="L208" s="256">
        <f>SUMIFS(BV_Data_An_Cour!$P:$P,BV_Data_An_Cour!$U:$U,$B208,BV_Data_An_Cour!$V:$V,$C208,BV_Data_An_Cour!$W:$W,$L$2)</f>
        <v>15936</v>
      </c>
      <c r="M208" s="253"/>
      <c r="N208" s="276">
        <f t="shared" si="61"/>
        <v>-1302.4026234503144</v>
      </c>
      <c r="O208" s="253"/>
      <c r="P208" s="41"/>
      <c r="Q208" s="256" cm="1">
        <f t="array" ref="Q208">+SUMPRODUCT(('Réel 2023'!$A$8:$A$501=$A208)*('Réel 2023'!$C$3:$AO$3=Q$2),'Réel 2023'!$C$8:$AO$501)</f>
        <v>12740.33</v>
      </c>
      <c r="R208" s="253"/>
      <c r="S208" s="276">
        <f t="shared" si="62"/>
        <v>3195.67</v>
      </c>
      <c r="T208" s="41"/>
      <c r="V208" s="254">
        <f>L208-Print_Mois!L208</f>
        <v>11565.119999999999</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0.65199271886188881</v>
      </c>
      <c r="F210" s="307">
        <f>+SUM(F198:F209)</f>
        <v>483695.18191087915</v>
      </c>
      <c r="G210" s="308"/>
      <c r="H210" s="306"/>
      <c r="I210" s="307"/>
      <c r="J210" s="308" t="s">
        <v>175</v>
      </c>
      <c r="K210" s="306">
        <f>L210/L$194</f>
        <v>0.65573610190646603</v>
      </c>
      <c r="L210" s="307">
        <f>+SUM(L198:L209)</f>
        <v>468480.14</v>
      </c>
      <c r="M210" s="355"/>
      <c r="N210" s="320">
        <f t="shared" si="61"/>
        <v>-15215.041910879139</v>
      </c>
      <c r="O210" s="308" t="s">
        <v>175</v>
      </c>
      <c r="P210" s="306">
        <f>Q210/Q$194</f>
        <v>0.69184989774780259</v>
      </c>
      <c r="Q210" s="307">
        <f>+SUM(Q198:Q209)</f>
        <v>388604.92000000004</v>
      </c>
      <c r="R210" s="355"/>
      <c r="S210" s="320">
        <f t="shared" si="62"/>
        <v>79875.219999999972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41547.969276527765</v>
      </c>
      <c r="G211" s="298"/>
      <c r="H211" s="41"/>
      <c r="I211" s="254"/>
      <c r="J211" s="253"/>
      <c r="K211" s="41"/>
      <c r="L211" s="256">
        <f>SUMIFS(BV_Data_An_Cour!$P:$P,BV_Data_An_Cour!$U:$U,$B211,BV_Data_An_Cour!$V:$V,$C211,BV_Data_An_Cour!$W:$W,$L$2)</f>
        <v>47849.66</v>
      </c>
      <c r="M211" s="253"/>
      <c r="N211" s="276">
        <f t="shared" si="61"/>
        <v>6301.6907234722385</v>
      </c>
      <c r="O211" s="253"/>
      <c r="P211" s="41"/>
      <c r="Q211" s="256" cm="1">
        <f t="array" ref="Q211">+SUMPRODUCT(('Réel 2023'!$A$8:$A$501=$A211)*('Réel 2023'!$C$3:$AO$3=Q$2),'Réel 2023'!$C$8:$AO$501)</f>
        <v>43884.36</v>
      </c>
      <c r="R211" s="253"/>
      <c r="S211" s="276">
        <f t="shared" si="62"/>
        <v>3965.3000000000029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15441.570627337778</v>
      </c>
      <c r="G212" s="298"/>
      <c r="H212" s="41"/>
      <c r="I212" s="254"/>
      <c r="J212" s="253"/>
      <c r="K212" s="41"/>
      <c r="L212" s="612">
        <f>SUMIFS(BV_Data_An_Cour!$P:$P,BV_Data_An_Cour!$U:$U,$B212,BV_Data_An_Cour!$V:$V,$C212,BV_Data_An_Cour!$W:$W,$L$2)</f>
        <v>7961.4800000000005</v>
      </c>
      <c r="M212" s="253"/>
      <c r="N212" s="276">
        <f t="shared" si="61"/>
        <v>-7480.0906273377777</v>
      </c>
      <c r="O212" s="253"/>
      <c r="P212" s="41"/>
      <c r="Q212" s="256" cm="1">
        <f t="array" ref="Q212">+SUMPRODUCT(('Réel 2023'!$A$8:$A$501=$A212)*('Réel 2023'!$C$3:$AO$3=Q$2),'Réel 2023'!$C$8:$AO$501)</f>
        <v>7720.0899999999901</v>
      </c>
      <c r="R212" s="253"/>
      <c r="S212" s="276">
        <f t="shared" si="62"/>
        <v>241.39000000001033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53333.333333333336</v>
      </c>
      <c r="G213" s="300"/>
      <c r="H213" s="318"/>
      <c r="I213" s="248"/>
      <c r="J213" s="246"/>
      <c r="K213" s="318"/>
      <c r="L213" s="256">
        <f>SUMIFS(BV_Data_An_Cour!$P:$P,BV_Data_An_Cour!$U:$U,$B213,BV_Data_An_Cour!$V:$V,$C213,BV_Data_An_Cour!$W:$W,$L$2)</f>
        <v>41862.089999999997</v>
      </c>
      <c r="M213" s="246"/>
      <c r="N213" s="296">
        <f t="shared" si="61"/>
        <v>-11471.243333333339</v>
      </c>
      <c r="O213" s="246"/>
      <c r="P213" s="318"/>
      <c r="Q213" s="256" cm="1">
        <f t="array" ref="Q213">+SUMPRODUCT(('Réel 2023'!$A$8:$A$501=$A213)*('Réel 2023'!$C$3:$AO$3=Q$2),'Réel 2023'!$C$8:$AO$501)</f>
        <v>45310.429999999993</v>
      </c>
      <c r="R213" s="246"/>
      <c r="S213" s="296">
        <f t="shared" si="62"/>
        <v>-3448.3399999999965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17443.527498666663</v>
      </c>
      <c r="G214" s="298"/>
      <c r="H214" s="41"/>
      <c r="I214" s="254"/>
      <c r="J214" s="253"/>
      <c r="K214" s="41"/>
      <c r="L214" s="272">
        <f>SUMIFS(BV_Data_An_Cour!$P:$P,BV_Data_An_Cour!$U:$U,$B214,BV_Data_An_Cour!$V:$V,$C214,BV_Data_An_Cour!$W:$W,$L$2)</f>
        <v>19614.580000000002</v>
      </c>
      <c r="M214" s="253"/>
      <c r="N214" s="276">
        <f t="shared" si="61"/>
        <v>2171.052501333339</v>
      </c>
      <c r="O214" s="253"/>
      <c r="P214" s="41"/>
      <c r="Q214" s="272" cm="1">
        <f t="array" ref="Q214">+SUMPRODUCT(('Réel 2023'!$A$8:$A$501=$A214)*('Réel 2023'!$C$3:$AO$3=Q$2),'Réel 2023'!$C$8:$AO$501)</f>
        <v>16919.71</v>
      </c>
      <c r="R214" s="253"/>
      <c r="S214" s="276">
        <f t="shared" si="62"/>
        <v>2694.8700000000026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4397.5274187492951</v>
      </c>
      <c r="G215" s="298"/>
      <c r="H215" s="41"/>
      <c r="I215" s="254"/>
      <c r="J215" s="253"/>
      <c r="K215" s="41"/>
      <c r="L215" s="256">
        <f>SUMIFS(BV_Data_An_Cour!$P:$P,BV_Data_An_Cour!$U:$U,$B215,BV_Data_An_Cour!$V:$V,$C215,BV_Data_An_Cour!$W:$W,$L$2)</f>
        <v>3804.19</v>
      </c>
      <c r="M215" s="253"/>
      <c r="N215" s="276">
        <f t="shared" si="61"/>
        <v>-593.33741874929501</v>
      </c>
      <c r="O215" s="253"/>
      <c r="P215" s="41"/>
      <c r="Q215" s="256" cm="1">
        <f t="array" ref="Q215">+SUMPRODUCT(('Réel 2023'!$A$8:$A$501=$A215)*('Réel 2023'!$C$3:$AO$3=Q$2),'Réel 2023'!$C$8:$AO$501)</f>
        <v>5712.91</v>
      </c>
      <c r="R215" s="253"/>
      <c r="S215" s="276">
        <f t="shared" si="62"/>
        <v>-1908.7199999999998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21567.088009955558</v>
      </c>
      <c r="G216" s="300"/>
      <c r="H216" s="318"/>
      <c r="I216" s="248"/>
      <c r="J216" s="246"/>
      <c r="K216" s="318"/>
      <c r="L216" s="256">
        <f>SUMIFS(BV_Data_An_Cour!$P:$P,BV_Data_An_Cour!$U:$U,$B216,BV_Data_An_Cour!$V:$V,$C216,BV_Data_An_Cour!$W:$W,$L$2)</f>
        <v>41554.639999999999</v>
      </c>
      <c r="M216" s="246"/>
      <c r="N216" s="296">
        <f t="shared" si="61"/>
        <v>19987.551990044441</v>
      </c>
      <c r="O216" s="246"/>
      <c r="P216" s="318"/>
      <c r="Q216" s="256" cm="1">
        <f t="array" ref="Q216">+SUMPRODUCT(('Réel 2023'!$A$8:$A$501=$A216)*('Réel 2023'!$C$3:$AO$3=Q$2),'Réel 2023'!$C$8:$AO$501)</f>
        <v>13020.67</v>
      </c>
      <c r="R216" s="246"/>
      <c r="S216" s="296">
        <f t="shared" si="62"/>
        <v>28533.97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22333.333333333332</v>
      </c>
      <c r="G218" s="298"/>
      <c r="H218" s="41"/>
      <c r="I218" s="254"/>
      <c r="J218" s="253"/>
      <c r="K218" s="41"/>
      <c r="L218" s="256">
        <f>SUMIFS(BV_Data_An_Cour!$P:$P,BV_Data_An_Cour!$U:$U,$B218,BV_Data_An_Cour!$V:$V,$C218,BV_Data_An_Cour!$W:$W,$L$2)</f>
        <v>20741.79</v>
      </c>
      <c r="M218" s="253"/>
      <c r="N218" s="276">
        <f t="shared" si="61"/>
        <v>-1591.5433333333312</v>
      </c>
      <c r="O218" s="253"/>
      <c r="P218" s="41"/>
      <c r="Q218" s="256" cm="1">
        <f t="array" ref="Q218">+SUMPRODUCT(('Réel 2023'!$A$8:$A$501=$A218)*('Réel 2023'!$C$3:$AO$3=Q$2),'Réel 2023'!$C$8:$AO$501)</f>
        <v>16998.760000000002</v>
      </c>
      <c r="R218" s="253"/>
      <c r="S218" s="276">
        <f t="shared" si="62"/>
        <v>3743.0299999999988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4887.7665504284387</v>
      </c>
      <c r="G219" s="298"/>
      <c r="H219" s="41"/>
      <c r="I219" s="254"/>
      <c r="J219" s="253"/>
      <c r="K219" s="41"/>
      <c r="L219" s="256">
        <f>SUMIFS(BV_Data_An_Cour!$P:$P,BV_Data_An_Cour!$U:$U,$B219,BV_Data_An_Cour!$V:$V,$C219,BV_Data_An_Cour!$W:$W,$L$2)</f>
        <v>3865.85</v>
      </c>
      <c r="M219" s="253"/>
      <c r="N219" s="276">
        <f t="shared" si="61"/>
        <v>-1021.9165504284388</v>
      </c>
      <c r="O219" s="253"/>
      <c r="P219" s="41"/>
      <c r="Q219" s="256" cm="1">
        <f t="array" ref="Q219">+SUMPRODUCT(('Réel 2023'!$A$8:$A$501=$A219)*('Réel 2023'!$C$3:$AO$3=Q$2),'Réel 2023'!$C$8:$AO$501)</f>
        <v>7693.54</v>
      </c>
      <c r="R219" s="253"/>
      <c r="S219" s="276">
        <f t="shared" si="62"/>
        <v>-3827.69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2992.8170559039995</v>
      </c>
      <c r="G220" s="298"/>
      <c r="H220" s="41"/>
      <c r="I220" s="254"/>
      <c r="J220" s="253"/>
      <c r="K220" s="41"/>
      <c r="L220" s="256">
        <f>SUMIFS(BV_Data_An_Cour!$P:$P,BV_Data_An_Cour!$U:$U,$B220,BV_Data_An_Cour!$V:$V,$C220,BV_Data_An_Cour!$W:$W,$L$2)</f>
        <v>1984.55</v>
      </c>
      <c r="M220" s="253"/>
      <c r="N220" s="276">
        <f t="shared" si="61"/>
        <v>-1008.2670559039996</v>
      </c>
      <c r="O220" s="253"/>
      <c r="P220" s="41"/>
      <c r="Q220" s="256" cm="1">
        <f t="array" ref="Q220">+SUMPRODUCT(('Réel 2023'!$A$8:$A$501=$A220)*('Réel 2023'!$C$3:$AO$3=Q$2),'Réel 2023'!$C$8:$AO$501)</f>
        <v>3338.46</v>
      </c>
      <c r="R220" s="253"/>
      <c r="S220" s="276">
        <f t="shared" si="62"/>
        <v>-1353.91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864.34825515866657</v>
      </c>
      <c r="G221" s="298"/>
      <c r="H221" s="41"/>
      <c r="I221" s="254"/>
      <c r="J221" s="253"/>
      <c r="K221" s="41"/>
      <c r="L221" s="256">
        <f>SUMIFS(BV_Data_An_Cour!$P:$P,BV_Data_An_Cour!$U:$U,$B221,BV_Data_An_Cour!$V:$V,$C221,BV_Data_An_Cour!$W:$W,$L$2)</f>
        <v>665.61</v>
      </c>
      <c r="M221" s="253"/>
      <c r="N221" s="276">
        <f t="shared" si="61"/>
        <v>-198.73825515866656</v>
      </c>
      <c r="O221" s="253"/>
      <c r="P221" s="41"/>
      <c r="Q221" s="256" cm="1">
        <f t="array" ref="Q221">+SUMPRODUCT(('Réel 2023'!$A$8:$A$501=$A221)*('Réel 2023'!$C$3:$AO$3=Q$2),'Réel 2023'!$C$8:$AO$501)</f>
        <v>869.09999999999991</v>
      </c>
      <c r="R221" s="253"/>
      <c r="S221" s="276">
        <f t="shared" si="62"/>
        <v>-203.4899999999999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415.11377972133329</v>
      </c>
      <c r="G222" s="298"/>
      <c r="H222" s="41"/>
      <c r="I222" s="254"/>
      <c r="J222" s="253"/>
      <c r="K222" s="41"/>
      <c r="L222" s="256">
        <f>SUMIFS(BV_Data_An_Cour!$P:$P,BV_Data_An_Cour!$U:$U,$B222,BV_Data_An_Cour!$V:$V,$C222,BV_Data_An_Cour!$W:$W,$L$2)</f>
        <v>583.46</v>
      </c>
      <c r="M222" s="253"/>
      <c r="N222" s="276">
        <f t="shared" si="61"/>
        <v>168.34622027866675</v>
      </c>
      <c r="O222" s="253"/>
      <c r="P222" s="41"/>
      <c r="Q222" s="256" cm="1">
        <f t="array" ref="Q222">+SUMPRODUCT(('Réel 2023'!$A$8:$A$501=$A222)*('Réel 2023'!$C$3:$AO$3=Q$2),'Réel 2023'!$C$8:$AO$501)</f>
        <v>603.36</v>
      </c>
      <c r="R222" s="253"/>
      <c r="S222" s="276">
        <f t="shared" si="62"/>
        <v>-19.899999999999977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865.89061030533321</v>
      </c>
      <c r="G223" s="298"/>
      <c r="H223" s="41"/>
      <c r="I223" s="254"/>
      <c r="J223" s="253"/>
      <c r="K223" s="41"/>
      <c r="L223" s="256">
        <f>SUMIFS(BV_Data_An_Cour!$P:$P,BV_Data_An_Cour!$U:$U,$B223,BV_Data_An_Cour!$V:$V,$C223,BV_Data_An_Cour!$W:$W,$L$2)</f>
        <v>575.12</v>
      </c>
      <c r="M223" s="253"/>
      <c r="N223" s="276">
        <f t="shared" si="61"/>
        <v>-290.77061030533321</v>
      </c>
      <c r="O223" s="253"/>
      <c r="P223" s="41"/>
      <c r="Q223" s="256" cm="1">
        <f t="array" ref="Q223">+SUMPRODUCT(('Réel 2023'!$A$8:$A$501=$A223)*('Réel 2023'!$C$3:$AO$3=Q$2),'Réel 2023'!$C$8:$AO$501)</f>
        <v>851.17</v>
      </c>
      <c r="R223" s="253"/>
      <c r="S223" s="276">
        <f t="shared" si="62"/>
        <v>-276.04999999999995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15945.818221793954</v>
      </c>
      <c r="G224" s="298"/>
      <c r="H224" s="41"/>
      <c r="I224" s="254"/>
      <c r="J224" s="253"/>
      <c r="K224" s="41"/>
      <c r="L224" s="256">
        <f>SUMIFS(BV_Data_An_Cour!$P:$P,BV_Data_An_Cour!$U:$U,$B224,BV_Data_An_Cour!$V:$V,$C224,BV_Data_An_Cour!$W:$W,$L$2)</f>
        <v>11428.2</v>
      </c>
      <c r="M224" s="253"/>
      <c r="N224" s="276">
        <f t="shared" si="61"/>
        <v>-4517.6182217939531</v>
      </c>
      <c r="O224" s="253"/>
      <c r="P224" s="41"/>
      <c r="Q224" s="256" cm="1">
        <f t="array" ref="Q224">+SUMPRODUCT(('Réel 2023'!$A$8:$A$501=$A224)*('Réel 2023'!$C$3:$AO$3=Q$2),'Réel 2023'!$C$8:$AO$501)</f>
        <v>22759.380000000005</v>
      </c>
      <c r="R224" s="253"/>
      <c r="S224" s="276">
        <f t="shared" si="62"/>
        <v>-11331.180000000004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7799.4535914175585</v>
      </c>
      <c r="G225" s="298"/>
      <c r="H225" s="41"/>
      <c r="I225" s="254"/>
      <c r="J225" s="253"/>
      <c r="K225" s="41"/>
      <c r="L225" s="256">
        <f>SUMIFS(BV_Data_An_Cour!$P:$P,BV_Data_An_Cour!$U:$U,$B225,BV_Data_An_Cour!$V:$V,$C225,BV_Data_An_Cour!$W:$W,L$2)</f>
        <v>6508.6</v>
      </c>
      <c r="M225" s="253"/>
      <c r="N225" s="276">
        <f t="shared" si="61"/>
        <v>-1290.8535914175582</v>
      </c>
      <c r="O225" s="253"/>
      <c r="P225" s="41"/>
      <c r="Q225" s="256" cm="1">
        <f t="array" ref="Q225">+SUMPRODUCT(('Réel 2023'!$A$8:$A$501=$A225)*('Réel 2023'!$C$3:$AO$3=Q$2),'Réel 2023'!$C$8:$AO$501)</f>
        <v>4503.93</v>
      </c>
      <c r="R225" s="253"/>
      <c r="S225" s="276">
        <f t="shared" si="62"/>
        <v>2004.67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0.28284601709009566</v>
      </c>
      <c r="F229" s="307">
        <f>+SUM(F211:F228)</f>
        <v>209835.55756263301</v>
      </c>
      <c r="G229" s="308"/>
      <c r="H229" s="306"/>
      <c r="I229" s="307"/>
      <c r="J229" s="308" t="s">
        <v>175</v>
      </c>
      <c r="K229" s="306">
        <f>L229/L$194</f>
        <v>0.2925390332788772</v>
      </c>
      <c r="L229" s="307">
        <f>+SUM(L211:L228)</f>
        <v>208999.82</v>
      </c>
      <c r="M229" s="311"/>
      <c r="N229" s="307">
        <f t="shared" si="61"/>
        <v>-835.73756263300311</v>
      </c>
      <c r="O229" s="308" t="s">
        <v>175</v>
      </c>
      <c r="P229" s="306">
        <f>Q229/Q$194</f>
        <v>0.33859600828671149</v>
      </c>
      <c r="Q229" s="307">
        <f>+SUM(Q211:Q228)</f>
        <v>190185.87</v>
      </c>
      <c r="R229" s="311"/>
      <c r="S229" s="307">
        <f t="shared" si="62"/>
        <v>18813.950000000012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0.93483873595198441</v>
      </c>
      <c r="F231" s="307">
        <f>F210+F229</f>
        <v>693530.73947351216</v>
      </c>
      <c r="G231" s="308"/>
      <c r="H231" s="306"/>
      <c r="I231" s="307"/>
      <c r="J231" s="308" t="s">
        <v>119</v>
      </c>
      <c r="K231" s="306">
        <f>L231/L$194</f>
        <v>0.94827513518534312</v>
      </c>
      <c r="L231" s="307">
        <f>L210+L229</f>
        <v>677479.96</v>
      </c>
      <c r="M231" s="311"/>
      <c r="N231" s="320">
        <f>L231-F231</f>
        <v>-16050.779473512201</v>
      </c>
      <c r="O231" s="308" t="s">
        <v>119</v>
      </c>
      <c r="P231" s="306">
        <f>Q231/Q$194</f>
        <v>1.0304459060345141</v>
      </c>
      <c r="Q231" s="307">
        <f>Q210+Q229</f>
        <v>578790.79</v>
      </c>
      <c r="R231" s="311"/>
      <c r="S231" s="320">
        <f>L231-Q231</f>
        <v>98689.169999999925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48341.321237859083</v>
      </c>
      <c r="G233" s="361"/>
      <c r="H233" s="333"/>
      <c r="I233" s="335"/>
      <c r="J233" s="332"/>
      <c r="K233" s="334"/>
      <c r="L233" s="335">
        <f>L194-L231</f>
        <v>36954</v>
      </c>
      <c r="M233" s="332"/>
      <c r="N233" s="335">
        <f>L233-F233</f>
        <v>-11387.321237859083</v>
      </c>
      <c r="O233" s="332"/>
      <c r="P233" s="334"/>
      <c r="Q233" s="335">
        <f>Q194-Q231</f>
        <v>-17101.150000000023</v>
      </c>
      <c r="R233" s="332"/>
      <c r="S233" s="335">
        <f>L233-Q233</f>
        <v>54055.150000000023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Avril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06" t="s">
        <v>343</v>
      </c>
      <c r="E238" s="1207"/>
      <c r="F238" s="1208"/>
      <c r="G238" s="1211"/>
      <c r="H238" s="1207"/>
      <c r="I238" s="1208"/>
      <c r="J238" s="1211" t="s">
        <v>344</v>
      </c>
      <c r="K238" s="1207"/>
      <c r="L238" s="1208"/>
      <c r="M238" s="1211" t="s">
        <v>3312</v>
      </c>
      <c r="N238" s="1208"/>
      <c r="O238" s="1206" t="s">
        <v>345</v>
      </c>
      <c r="P238" s="1207"/>
      <c r="Q238" s="1208"/>
      <c r="R238" s="1209" t="s">
        <v>3314</v>
      </c>
      <c r="S238" s="121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441591.999349438</v>
      </c>
      <c r="F241" s="291" cm="1">
        <f t="array" ref="F241">+SUMPRODUCT(('Budget original'!$A$8:$A$501=$A241)*('Budget original'!$C$3:$AO$3=F$2),'Budget original'!$C$8:$AO$501)</f>
        <v>66238.799902415689</v>
      </c>
      <c r="G241" s="322"/>
      <c r="H241" s="291"/>
      <c r="I241" s="291"/>
      <c r="J241" s="277">
        <f>-SUMIFS(BV_Data_An_Cour!$P:$P,BV_Data_An_Cour!$U:$U,$B241,BV_Data_An_Cour!$V:$V,$C241,BV_Data_An_Cour!$W:$W,J$2)</f>
        <v>115</v>
      </c>
      <c r="K241" s="254">
        <f>-SUMIFS(BV_Data_An_Cour!$P:$P,BV_Data_An_Cour!$X:$X,"Oui",BV_Data_An_Cour!$U:$U,$B241,BV_Data_An_Cour!$V:$V,$C241)</f>
        <v>267835.24</v>
      </c>
      <c r="L241" s="256">
        <f>-SUMIFS(BV_Data_An_Cour!$P:$P,BV_Data_An_Cour!$U:$U,$B241,BV_Data_An_Cour!$V:$V,$C241,BV_Data_An_Cour!$W:$W,$L$2)</f>
        <v>49214.01999999996</v>
      </c>
      <c r="M241" s="292">
        <f>IFERROR((K241-E241)/E241,0)</f>
        <v>-0.39347805124508567</v>
      </c>
      <c r="N241" s="276">
        <f>L241-F241</f>
        <v>-17024.779902415728</v>
      </c>
      <c r="O241" s="277" cm="1">
        <f t="array" ref="O241">+SUMPRODUCT(('Réel 2023'!$A$8:$A$501=$A241)*('Réel 2023'!$C$3:$AO$3=O$2),'Réel 2023'!$C$8:$AO$501)</f>
        <v>180</v>
      </c>
      <c r="P241" s="254" cm="1">
        <f t="array" ref="P241">+SUMPRODUCT(('Réel 2023'!$A$8:$A$501=$A241)*('Réel 2023'!$C$3:$AO$3=P$2),'Réel 2023'!$C$8:$AO$501)</f>
        <v>326466.989999999</v>
      </c>
      <c r="Q241" s="256" cm="1">
        <f t="array" ref="Q241">+SUMPRODUCT(('Réel 2023'!$A$8:$A$501=$A241)*('Réel 2023'!$C$3:$AO$3=Q$2),'Réel 2023'!$C$8:$AO$501)</f>
        <v>60855.179999999891</v>
      </c>
      <c r="R241" s="292">
        <f>IF(O241=0,0,J241/O241)</f>
        <v>0.63888888888888884</v>
      </c>
      <c r="S241" s="276">
        <f>L241-Q241</f>
        <v>-11641.159999999931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0.18374736647798834</v>
      </c>
      <c r="M242" s="292"/>
      <c r="N242" s="276">
        <f>IFERROR(N241/M241,0)</f>
        <v>43267.419487679384</v>
      </c>
      <c r="O242" s="277"/>
      <c r="P242" s="41"/>
      <c r="Q242" s="362">
        <f>IFERROR(Q241/P241,0)</f>
        <v>0.1864053085428333</v>
      </c>
      <c r="R242" s="277"/>
      <c r="S242" s="276">
        <f>IFERROR(S241/R241,0)</f>
        <v>-18220.946086956414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441591.999349438</v>
      </c>
      <c r="F250" s="281">
        <f t="shared" si="64"/>
        <v>66238.799902415689</v>
      </c>
      <c r="G250" s="282"/>
      <c r="H250" s="279"/>
      <c r="I250" s="281"/>
      <c r="J250" s="282"/>
      <c r="K250" s="279">
        <f t="shared" ref="K250:L250" si="65">K244+K247+K241</f>
        <v>267835.24</v>
      </c>
      <c r="L250" s="281">
        <f t="shared" si="65"/>
        <v>49214.01999999996</v>
      </c>
      <c r="M250" s="399">
        <f>L251-F251</f>
        <v>3.3747366477988372E-2</v>
      </c>
      <c r="N250" s="281">
        <f>L250-F250</f>
        <v>-17024.779902415728</v>
      </c>
      <c r="O250" s="282"/>
      <c r="P250" s="279">
        <f t="shared" ref="P250:Q250" si="66">P244+P247+P241</f>
        <v>326466.989999999</v>
      </c>
      <c r="Q250" s="281">
        <f t="shared" si="66"/>
        <v>60855.179999999891</v>
      </c>
      <c r="R250" s="399">
        <f>L251-Q251</f>
        <v>-2.6579420648449592E-3</v>
      </c>
      <c r="S250" s="281">
        <f>L250-Q250</f>
        <v>-11641.159999999931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0.18374736647798834</v>
      </c>
      <c r="M251" s="286"/>
      <c r="N251" s="287">
        <f>N250/F250</f>
        <v>-0.25702126136791381</v>
      </c>
      <c r="O251" s="283"/>
      <c r="P251" s="284"/>
      <c r="Q251" s="287">
        <f>Q250/P250</f>
        <v>0.1864053085428333</v>
      </c>
      <c r="R251" s="286"/>
      <c r="S251" s="287">
        <f>IF(Q250=0,0,(S250/Q250))</f>
        <v>-0.19129283653421042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1263.6312500000001</v>
      </c>
      <c r="G254" s="253"/>
      <c r="H254" s="41"/>
      <c r="I254" s="254"/>
      <c r="J254" s="253"/>
      <c r="K254" s="41"/>
      <c r="L254" s="256">
        <f>SUMIFS(BV_Data_An_Cour!$P:$P,BV_Data_An_Cour!$U:$U,$B254,BV_Data_An_Cour!$V:$V,$C254,BV_Data_An_Cour!$W:$W,$L$2)</f>
        <v>3607.52</v>
      </c>
      <c r="M254" s="253"/>
      <c r="N254" s="276">
        <f t="shared" ref="N254:N284" si="67">L254-F254</f>
        <v>2343.8887500000001</v>
      </c>
      <c r="O254" s="253"/>
      <c r="P254" s="41"/>
      <c r="Q254" s="256" cm="1">
        <f t="array" ref="Q254">+SUMPRODUCT(('Réel 2023'!$A$8:$A$501=$A254)*('Réel 2023'!$C$3:$AO$3=Q$2),'Réel 2023'!$C$8:$AO$501)</f>
        <v>3607.5200000000004</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19860.940115384616</v>
      </c>
      <c r="G255" s="298"/>
      <c r="H255" s="41"/>
      <c r="I255" s="248"/>
      <c r="J255" s="253"/>
      <c r="K255" s="41"/>
      <c r="L255" s="256">
        <f>SUMIFS(BV_Data_An_Cour!$P:$P,BV_Data_An_Cour!$U:$U,$B255,BV_Data_An_Cour!$V:$V,$C255,BV_Data_An_Cour!$W:$W,$L$2)</f>
        <v>10244.459999999999</v>
      </c>
      <c r="M255" s="253"/>
      <c r="N255" s="276">
        <f t="shared" si="67"/>
        <v>-9616.4801153846165</v>
      </c>
      <c r="O255" s="253"/>
      <c r="P255" s="41"/>
      <c r="Q255" s="256" cm="1">
        <f t="array" ref="Q255">+SUMPRODUCT(('Réel 2023'!$A$8:$A$501=$A255)*('Réel 2023'!$C$3:$AO$3=Q$2),'Réel 2023'!$C$8:$AO$501)</f>
        <v>0</v>
      </c>
      <c r="R255" s="253"/>
      <c r="S255" s="276">
        <f t="shared" si="68"/>
        <v>10244.459999999999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74.505769230769232</v>
      </c>
      <c r="G256" s="316"/>
      <c r="H256" s="315"/>
      <c r="I256" s="254"/>
      <c r="J256" s="241"/>
      <c r="K256" s="315"/>
      <c r="L256" s="272">
        <f>SUMIFS(BV_Data_An_Cour!$P:$P,BV_Data_An_Cour!$U:$U,$B256,BV_Data_An_Cour!$V:$V,$C256,BV_Data_An_Cour!$W:$W,$L$2)</f>
        <v>0.37</v>
      </c>
      <c r="M256" s="241"/>
      <c r="N256" s="317">
        <f t="shared" si="67"/>
        <v>-74.135769230769228</v>
      </c>
      <c r="O256" s="241"/>
      <c r="P256" s="315"/>
      <c r="Q256" s="272" cm="1">
        <f t="array" ref="Q256">+SUMPRODUCT(('Réel 2023'!$A$8:$A$501=$A256)*('Réel 2023'!$C$3:$AO$3=Q$2),'Réel 2023'!$C$8:$AO$501)</f>
        <v>0.32</v>
      </c>
      <c r="R256" s="241"/>
      <c r="S256" s="317">
        <f t="shared" si="68"/>
        <v>4.9999999999999989E-2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16471.7</v>
      </c>
      <c r="R257" s="253"/>
      <c r="S257" s="276">
        <f t="shared" si="68"/>
        <v>-16471.7</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2520.900504778846</v>
      </c>
      <c r="G261" s="298"/>
      <c r="H261" s="41"/>
      <c r="I261" s="248"/>
      <c r="J261" s="253"/>
      <c r="K261" s="41"/>
      <c r="L261" s="256">
        <f>SUMIFS(BV_Data_An_Cour!$P:$P,BV_Data_An_Cour!$U:$U,$B261,BV_Data_An_Cour!$V:$V,$C261,BV_Data_An_Cour!$W:$W,$L$2)</f>
        <v>1981.9</v>
      </c>
      <c r="M261" s="253"/>
      <c r="N261" s="276">
        <f t="shared" si="67"/>
        <v>-539.00050477884588</v>
      </c>
      <c r="O261" s="253"/>
      <c r="P261" s="41"/>
      <c r="Q261" s="256" cm="1">
        <f t="array" ref="Q261">+SUMPRODUCT(('Réel 2023'!$A$8:$A$501=$A261)*('Réel 2023'!$C$3:$AO$3=Q$2),'Réel 2023'!$C$8:$AO$501)</f>
        <v>1612.4899999999998</v>
      </c>
      <c r="R261" s="253"/>
      <c r="S261" s="276">
        <f t="shared" si="68"/>
        <v>369.41000000000031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3065.0596445769233</v>
      </c>
      <c r="G262" s="316"/>
      <c r="H262" s="315"/>
      <c r="I262" s="254"/>
      <c r="J262" s="241"/>
      <c r="K262" s="315"/>
      <c r="L262" s="272">
        <f>SUMIFS(BV_Data_An_Cour!$P:$P,BV_Data_An_Cour!$U:$U,$B262,BV_Data_An_Cour!$V:$V,$C262,BV_Data_An_Cour!$W:$W,$L$2)</f>
        <v>5085.72</v>
      </c>
      <c r="M262" s="241"/>
      <c r="N262" s="317">
        <f t="shared" si="67"/>
        <v>2020.6603554230769</v>
      </c>
      <c r="O262" s="241"/>
      <c r="P262" s="315"/>
      <c r="Q262" s="272" cm="1">
        <f t="array" ref="Q262">+SUMPRODUCT(('Réel 2023'!$A$8:$A$501=$A262)*('Réel 2023'!$C$3:$AO$3=Q$2),'Réel 2023'!$C$8:$AO$501)</f>
        <v>5200.4599999999991</v>
      </c>
      <c r="R262" s="241"/>
      <c r="S262" s="317">
        <f t="shared" si="68"/>
        <v>-114.73999999999887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1579.1720342711535</v>
      </c>
      <c r="G263" s="298"/>
      <c r="H263" s="41"/>
      <c r="I263" s="254"/>
      <c r="J263" s="253"/>
      <c r="K263" s="41"/>
      <c r="L263" s="256">
        <f>SUMIFS(BV_Data_An_Cour!$P:$P,BV_Data_An_Cour!$U:$U,$B263,BV_Data_An_Cour!$V:$V,$C263,BV_Data_An_Cour!$W:$W,$L$2)</f>
        <v>1672.89</v>
      </c>
      <c r="M263" s="253"/>
      <c r="N263" s="276">
        <f t="shared" si="67"/>
        <v>93.717965728846593</v>
      </c>
      <c r="O263" s="253"/>
      <c r="P263" s="41"/>
      <c r="Q263" s="256" cm="1">
        <f t="array" ref="Q263">+SUMPRODUCT(('Réel 2023'!$A$8:$A$501=$A263)*('Réel 2023'!$C$3:$AO$3=Q$2),'Réel 2023'!$C$8:$AO$501)</f>
        <v>701.79</v>
      </c>
      <c r="R263" s="253"/>
      <c r="S263" s="276">
        <f t="shared" si="68"/>
        <v>971.10000000000014</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688.5278911730768</v>
      </c>
      <c r="G264" s="298"/>
      <c r="H264" s="41"/>
      <c r="I264" s="254"/>
      <c r="J264" s="253"/>
      <c r="K264" s="41"/>
      <c r="L264" s="256">
        <f>SUMIFS(BV_Data_An_Cour!$P:$P,BV_Data_An_Cour!$U:$U,$B264,BV_Data_An_Cour!$V:$V,$C264,BV_Data_An_Cour!$W:$W,$L$2)</f>
        <v>593.39</v>
      </c>
      <c r="M264" s="253"/>
      <c r="N264" s="276">
        <f t="shared" si="67"/>
        <v>-95.13789117307681</v>
      </c>
      <c r="O264" s="253"/>
      <c r="P264" s="41"/>
      <c r="Q264" s="256" cm="1">
        <f t="array" ref="Q264">+SUMPRODUCT(('Réel 2023'!$A$8:$A$501=$A264)*('Réel 2023'!$C$3:$AO$3=Q$2),'Réel 2023'!$C$8:$AO$501)</f>
        <v>486.18999999999994</v>
      </c>
      <c r="R264" s="253"/>
      <c r="S264" s="276">
        <f t="shared" si="68"/>
        <v>107.20000000000005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29052.737209415383</v>
      </c>
      <c r="G266" s="308"/>
      <c r="H266" s="306"/>
      <c r="I266" s="307"/>
      <c r="J266" s="308" t="s">
        <v>119</v>
      </c>
      <c r="K266" s="306">
        <f>IF(L244=0,0,L266/L$244)</f>
        <v>0</v>
      </c>
      <c r="L266" s="307">
        <f>+SUM(L254:L265)</f>
        <v>23186.25</v>
      </c>
      <c r="M266" s="355"/>
      <c r="N266" s="320">
        <f t="shared" si="67"/>
        <v>-5866.4872094153834</v>
      </c>
      <c r="O266" s="308" t="s">
        <v>119</v>
      </c>
      <c r="P266" s="306" t="e">
        <f>Q266/Q$244</f>
        <v>#DIV/0!</v>
      </c>
      <c r="Q266" s="307">
        <f>+SUM(Q254:Q265)</f>
        <v>28080.469999999998</v>
      </c>
      <c r="R266" s="355"/>
      <c r="S266" s="320">
        <f t="shared" si="68"/>
        <v>-4894.2199999999975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128</v>
      </c>
      <c r="M267" s="253"/>
      <c r="N267" s="276">
        <f t="shared" si="67"/>
        <v>128</v>
      </c>
      <c r="O267" s="253"/>
      <c r="P267" s="41"/>
      <c r="Q267" s="256" cm="1">
        <f t="array" ref="Q267">+SUMPRODUCT(('Réel 2023'!$A$8:$A$501=$A267)*('Réel 2023'!$C$3:$AO$3=Q$2),'Réel 2023'!$C$8:$AO$501)</f>
        <v>268.08999999999997</v>
      </c>
      <c r="R267" s="253"/>
      <c r="S267" s="276">
        <f t="shared" si="68"/>
        <v>-140.08999999999997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2375.6262503596581</v>
      </c>
      <c r="G268" s="298"/>
      <c r="H268" s="41"/>
      <c r="I268" s="254"/>
      <c r="J268" s="253"/>
      <c r="K268" s="41"/>
      <c r="L268" s="256">
        <f>SUMIFS(BV_Data_An_Cour!$P:$P,BV_Data_An_Cour!$U:$U,$B268,BV_Data_An_Cour!$V:$V,$C268,BV_Data_An_Cour!$W:$W,$L$2)</f>
        <v>1173.0900000000001</v>
      </c>
      <c r="M268" s="253"/>
      <c r="N268" s="276">
        <f t="shared" si="67"/>
        <v>-1202.536250359658</v>
      </c>
      <c r="O268" s="253"/>
      <c r="P268" s="41"/>
      <c r="Q268" s="256" cm="1">
        <f t="array" ref="Q268">+SUMPRODUCT(('Réel 2023'!$A$8:$A$501=$A268)*('Réel 2023'!$C$3:$AO$3=Q$2),'Réel 2023'!$C$8:$AO$501)</f>
        <v>-531.6099999999999</v>
      </c>
      <c r="R268" s="253"/>
      <c r="S268" s="276">
        <f t="shared" si="68"/>
        <v>1704.7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651.22</v>
      </c>
      <c r="M269" s="246"/>
      <c r="N269" s="296">
        <f t="shared" si="67"/>
        <v>651.22</v>
      </c>
      <c r="O269" s="246"/>
      <c r="P269" s="318"/>
      <c r="Q269" s="256" cm="1">
        <f t="array" ref="Q269">+SUMPRODUCT(('Réel 2023'!$A$8:$A$501=$A269)*('Réel 2023'!$C$3:$AO$3=Q$2),'Réel 2023'!$C$8:$AO$501)</f>
        <v>3240.8</v>
      </c>
      <c r="R269" s="246"/>
      <c r="S269" s="296">
        <f t="shared" si="68"/>
        <v>-2589.58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5736.5357204444454</v>
      </c>
      <c r="G270" s="298"/>
      <c r="H270" s="41"/>
      <c r="I270" s="254"/>
      <c r="J270" s="253"/>
      <c r="K270" s="41"/>
      <c r="L270" s="272">
        <f>SUMIFS(BV_Data_An_Cour!$P:$P,BV_Data_An_Cour!$U:$U,$B270,BV_Data_An_Cour!$V:$V,$C270,BV_Data_An_Cour!$W:$W,$L$2)</f>
        <v>6063.34</v>
      </c>
      <c r="M270" s="253"/>
      <c r="N270" s="276">
        <f t="shared" si="67"/>
        <v>326.80427955555479</v>
      </c>
      <c r="O270" s="253"/>
      <c r="P270" s="41"/>
      <c r="Q270" s="272" cm="1">
        <f t="array" ref="Q270">+SUMPRODUCT(('Réel 2023'!$A$8:$A$501=$A270)*('Réel 2023'!$C$3:$AO$3=Q$2),'Réel 2023'!$C$8:$AO$501)</f>
        <v>5993.0300000000007</v>
      </c>
      <c r="R270" s="253"/>
      <c r="S270" s="276">
        <f t="shared" si="68"/>
        <v>70.309999999999491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713.72692210096386</v>
      </c>
      <c r="G271" s="298"/>
      <c r="H271" s="41"/>
      <c r="I271" s="254"/>
      <c r="J271" s="253"/>
      <c r="K271" s="41"/>
      <c r="L271" s="256">
        <f>SUMIFS(BV_Data_An_Cour!$P:$P,BV_Data_An_Cour!$U:$U,$B271,BV_Data_An_Cour!$V:$V,$C271,BV_Data_An_Cour!$W:$W,$L$2)</f>
        <v>849.32</v>
      </c>
      <c r="M271" s="253"/>
      <c r="N271" s="276">
        <f t="shared" si="67"/>
        <v>135.59307789903619</v>
      </c>
      <c r="O271" s="253"/>
      <c r="P271" s="41"/>
      <c r="Q271" s="256" cm="1">
        <f t="array" ref="Q271">+SUMPRODUCT(('Réel 2023'!$A$8:$A$501=$A271)*('Réel 2023'!$C$3:$AO$3=Q$2),'Réel 2023'!$C$8:$AO$501)</f>
        <v>892</v>
      </c>
      <c r="R271" s="253"/>
      <c r="S271" s="276">
        <f t="shared" si="68"/>
        <v>-42.67999999999995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2706.2048119314809</v>
      </c>
      <c r="G272" s="300"/>
      <c r="H272" s="318"/>
      <c r="I272" s="248"/>
      <c r="J272" s="246"/>
      <c r="K272" s="318"/>
      <c r="L272" s="256">
        <f>SUMIFS(BV_Data_An_Cour!$P:$P,BV_Data_An_Cour!$U:$U,$B272,BV_Data_An_Cour!$V:$V,$C272,BV_Data_An_Cour!$W:$W,$L$2)</f>
        <v>2659.38</v>
      </c>
      <c r="M272" s="246"/>
      <c r="N272" s="296">
        <f t="shared" si="67"/>
        <v>-46.824811931480781</v>
      </c>
      <c r="O272" s="246"/>
      <c r="P272" s="318"/>
      <c r="Q272" s="248" cm="1">
        <f t="array" ref="Q272">+SUMPRODUCT(('Réel 2023'!$A$8:$A$501=$A272)*('Réel 2023'!$C$3:$AO$3=Q$2),'Réel 2023'!$C$8:$AO$501)</f>
        <v>2412.8199999999997</v>
      </c>
      <c r="R272" s="246"/>
      <c r="S272" s="296">
        <f t="shared" si="68"/>
        <v>246.5600000000004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500</v>
      </c>
      <c r="G274" s="298"/>
      <c r="H274" s="41"/>
      <c r="I274" s="254"/>
      <c r="J274" s="253"/>
      <c r="K274" s="41"/>
      <c r="L274" s="256">
        <f>SUMIFS(BV_Data_An_Cour!$P:$P,BV_Data_An_Cour!$U:$U,$B274,BV_Data_An_Cour!$V:$V,$C274,BV_Data_An_Cour!$W:$W,$L$2)</f>
        <v>7.93</v>
      </c>
      <c r="M274" s="253"/>
      <c r="N274" s="276">
        <f t="shared" si="67"/>
        <v>-492.07</v>
      </c>
      <c r="O274" s="253"/>
      <c r="P274" s="41"/>
      <c r="Q274" s="256" cm="1">
        <f t="array" ref="Q274">+SUMPRODUCT(('Réel 2023'!$A$8:$A$501=$A274)*('Réel 2023'!$C$3:$AO$3=Q$2),'Réel 2023'!$C$8:$AO$501)</f>
        <v>1.8</v>
      </c>
      <c r="R274" s="253"/>
      <c r="S274" s="276">
        <f t="shared" si="68"/>
        <v>6.13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333.33333333333331</v>
      </c>
      <c r="G275" s="298"/>
      <c r="H275" s="41"/>
      <c r="I275" s="254"/>
      <c r="J275" s="253"/>
      <c r="K275" s="41"/>
      <c r="L275" s="256">
        <f>SUMIFS(BV_Data_An_Cour!$P:$P,BV_Data_An_Cour!$U:$U,$B275,BV_Data_An_Cour!$V:$V,$C275,BV_Data_An_Cour!$W:$W,$L$2)</f>
        <v>0</v>
      </c>
      <c r="M275" s="253"/>
      <c r="N275" s="276">
        <f t="shared" si="67"/>
        <v>-333.33333333333331</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630.23408297200001</v>
      </c>
      <c r="G276" s="298"/>
      <c r="H276" s="41"/>
      <c r="I276" s="254"/>
      <c r="J276" s="253"/>
      <c r="K276" s="41"/>
      <c r="L276" s="256">
        <f>SUMIFS(BV_Data_An_Cour!$P:$P,BV_Data_An_Cour!$U:$U,$B276,BV_Data_An_Cour!$V:$V,$C276,BV_Data_An_Cour!$W:$W,$L$2)</f>
        <v>508.4</v>
      </c>
      <c r="M276" s="253"/>
      <c r="N276" s="276">
        <f t="shared" si="67"/>
        <v>-121.83408297200003</v>
      </c>
      <c r="O276" s="253"/>
      <c r="P276" s="41"/>
      <c r="Q276" s="256" cm="1">
        <f t="array" ref="Q276">+SUMPRODUCT(('Réel 2023'!$A$8:$A$501=$A276)*('Réel 2023'!$C$3:$AO$3=Q$2),'Réel 2023'!$C$8:$AO$501)</f>
        <v>586.96</v>
      </c>
      <c r="R276" s="253"/>
      <c r="S276" s="276">
        <f t="shared" si="68"/>
        <v>-78.560000000000059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147.12147442127778</v>
      </c>
      <c r="G277" s="298"/>
      <c r="H277" s="41"/>
      <c r="I277" s="254"/>
      <c r="J277" s="253"/>
      <c r="K277" s="41"/>
      <c r="L277" s="256">
        <f>SUMIFS(BV_Data_An_Cour!$P:$P,BV_Data_An_Cour!$U:$U,$B277,BV_Data_An_Cour!$V:$V,$C277,BV_Data_An_Cour!$W:$W,$L$2)</f>
        <v>113.42</v>
      </c>
      <c r="M277" s="253"/>
      <c r="N277" s="276">
        <f t="shared" si="67"/>
        <v>-33.70147442127778</v>
      </c>
      <c r="O277" s="253"/>
      <c r="P277" s="41"/>
      <c r="Q277" s="256" cm="1">
        <f t="array" ref="Q277">+SUMPRODUCT(('Réel 2023'!$A$8:$A$501=$A277)*('Réel 2023'!$C$3:$AO$3=Q$2),'Réel 2023'!$C$8:$AO$501)</f>
        <v>89.27</v>
      </c>
      <c r="R277" s="253"/>
      <c r="S277" s="276">
        <f t="shared" si="68"/>
        <v>24.150000000000006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98.982927418722227</v>
      </c>
      <c r="G278" s="298"/>
      <c r="H278" s="41"/>
      <c r="I278" s="254"/>
      <c r="J278" s="253"/>
      <c r="K278" s="41"/>
      <c r="L278" s="256">
        <f>SUMIFS(BV_Data_An_Cour!$P:$P,BV_Data_An_Cour!$U:$U,$B278,BV_Data_An_Cour!$V:$V,$C278,BV_Data_An_Cour!$W:$W,$L$2)</f>
        <v>146.59</v>
      </c>
      <c r="M278" s="253"/>
      <c r="N278" s="276">
        <f t="shared" si="67"/>
        <v>47.607072581277777</v>
      </c>
      <c r="O278" s="253"/>
      <c r="P278" s="41"/>
      <c r="Q278" s="256" cm="1">
        <f t="array" ref="Q278">+SUMPRODUCT(('Réel 2023'!$A$8:$A$501=$A278)*('Réel 2023'!$C$3:$AO$3=Q$2),'Réel 2023'!$C$8:$AO$501)</f>
        <v>88.539999999999992</v>
      </c>
      <c r="R278" s="253"/>
      <c r="S278" s="276">
        <f t="shared" si="68"/>
        <v>58.050000000000011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939.99785300572205</v>
      </c>
      <c r="G279" s="298"/>
      <c r="H279" s="41"/>
      <c r="I279" s="254"/>
      <c r="J279" s="253"/>
      <c r="K279" s="41"/>
      <c r="L279" s="256">
        <f>SUMIFS(BV_Data_An_Cour!$P:$P,BV_Data_An_Cour!$U:$U,$B279,BV_Data_An_Cour!$V:$V,$C279,BV_Data_An_Cour!$W:$W,$L$2)</f>
        <v>167.78</v>
      </c>
      <c r="M279" s="253"/>
      <c r="N279" s="276">
        <f t="shared" si="67"/>
        <v>-772.21785300572208</v>
      </c>
      <c r="O279" s="253"/>
      <c r="P279" s="41"/>
      <c r="Q279" s="256" cm="1">
        <f t="array" ref="Q279">+SUMPRODUCT(('Réel 2023'!$A$8:$A$501=$A279)*('Réel 2023'!$C$3:$AO$3=Q$2),'Réel 2023'!$C$8:$AO$501)</f>
        <v>2270.1600000000003</v>
      </c>
      <c r="R279" s="253"/>
      <c r="S279" s="276">
        <f t="shared" si="68"/>
        <v>-2102.38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1737.3006092586181</v>
      </c>
      <c r="G280" s="298"/>
      <c r="H280" s="41"/>
      <c r="I280" s="254"/>
      <c r="J280" s="253"/>
      <c r="K280" s="41"/>
      <c r="L280" s="256">
        <f>SUMIFS(BV_Data_An_Cour!$P:$P,BV_Data_An_Cour!$U:$U,$B280,BV_Data_An_Cour!$V:$V,$C280,BV_Data_An_Cour!$W:$W,$L$2)</f>
        <v>190.82</v>
      </c>
      <c r="M280" s="253"/>
      <c r="N280" s="276">
        <f t="shared" si="67"/>
        <v>-1546.4806092586182</v>
      </c>
      <c r="O280" s="253"/>
      <c r="P280" s="41"/>
      <c r="Q280" s="256" cm="1">
        <f t="array" ref="Q280">+SUMPRODUCT(('Réel 2023'!$A$8:$A$501=$A280)*('Réel 2023'!$C$3:$AO$3=Q$2),'Réel 2023'!$C$8:$AO$501)</f>
        <v>897.05000000000007</v>
      </c>
      <c r="R280" s="253"/>
      <c r="S280" s="276">
        <f t="shared" si="68"/>
        <v>-706.23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821.12615538847922</v>
      </c>
      <c r="G281" s="298"/>
      <c r="H281" s="41"/>
      <c r="I281" s="254"/>
      <c r="J281" s="253"/>
      <c r="K281" s="41"/>
      <c r="L281" s="256">
        <f>SUMIFS(BV_Data_An_Cour!$P:$P,BV_Data_An_Cour!$U:$U,$B281,BV_Data_An_Cour!$V:$V,$C281,BV_Data_An_Cour!$W:$W,L$2)</f>
        <v>723.21</v>
      </c>
      <c r="M281" s="253"/>
      <c r="N281" s="276">
        <f t="shared" si="67"/>
        <v>-97.916155388479183</v>
      </c>
      <c r="O281" s="253"/>
      <c r="P281" s="41"/>
      <c r="Q281" s="256" cm="1">
        <f t="array" ref="Q281">+SUMPRODUCT(('Réel 2023'!$A$8:$A$501=$A281)*('Réel 2023'!$C$3:$AO$3=Q$2),'Réel 2023'!$C$8:$AO$501)</f>
        <v>500.43999999999994</v>
      </c>
      <c r="R281" s="253"/>
      <c r="S281" s="276">
        <f t="shared" si="68"/>
        <v>222.7700000000001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0.25272484050581651</v>
      </c>
      <c r="F285" s="307">
        <f>+SUM(F267:F284)</f>
        <v>16740.190140634699</v>
      </c>
      <c r="G285" s="308"/>
      <c r="H285" s="306"/>
      <c r="I285" s="307"/>
      <c r="J285" s="308" t="s">
        <v>119</v>
      </c>
      <c r="K285" s="306">
        <f>IF(L262=0,0,L285/L$241)</f>
        <v>0.2719245450788213</v>
      </c>
      <c r="L285" s="307">
        <f>+SUM(L267:L284)</f>
        <v>13382.500000000004</v>
      </c>
      <c r="M285" s="311"/>
      <c r="N285" s="307">
        <f>+SUM(N267:N284)</f>
        <v>-3357.6901406347006</v>
      </c>
      <c r="O285" s="308" t="s">
        <v>119</v>
      </c>
      <c r="P285" s="306">
        <f>IF(Q250=0,0,Q285/Q$250)</f>
        <v>0.274575640068767</v>
      </c>
      <c r="Q285" s="307">
        <f>+SUM(Q267:Q284)</f>
        <v>16709.349999999999</v>
      </c>
      <c r="R285" s="311"/>
      <c r="S285" s="307">
        <f t="shared" si="68"/>
        <v>-3326.8499999999949</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0.69133087280435535</v>
      </c>
      <c r="F287" s="307">
        <f>F266+F285</f>
        <v>45792.927350050086</v>
      </c>
      <c r="G287" s="308"/>
      <c r="H287" s="306"/>
      <c r="I287" s="307"/>
      <c r="J287" s="308" t="s">
        <v>119</v>
      </c>
      <c r="K287" s="306" t="e">
        <f>IF(L264=0,0,L287/L$244)</f>
        <v>#DIV/0!</v>
      </c>
      <c r="L287" s="307">
        <f>L266+L285</f>
        <v>36568.75</v>
      </c>
      <c r="M287" s="311"/>
      <c r="N287" s="320">
        <f>L287-F287</f>
        <v>-9224.1773500500858</v>
      </c>
      <c r="O287" s="308" t="s">
        <v>119</v>
      </c>
      <c r="P287" s="306">
        <f>IF(Q250=0,0,Q287/Q$250)</f>
        <v>0.73600669655401685</v>
      </c>
      <c r="Q287" s="307">
        <f>Q266+Q285</f>
        <v>44789.819999999992</v>
      </c>
      <c r="R287" s="311"/>
      <c r="S287" s="320">
        <f>L287-Q287</f>
        <v>-8221.0699999999924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20445.872552365603</v>
      </c>
      <c r="G289" s="361"/>
      <c r="H289" s="333"/>
      <c r="I289" s="335"/>
      <c r="J289" s="332"/>
      <c r="K289" s="334"/>
      <c r="L289" s="335">
        <f>L250-L287</f>
        <v>12645.26999999996</v>
      </c>
      <c r="M289" s="332"/>
      <c r="N289" s="335">
        <f>L289-F289</f>
        <v>-7800.6025523656426</v>
      </c>
      <c r="O289" s="332"/>
      <c r="P289" s="334"/>
      <c r="Q289" s="335">
        <f>Q250-Q287</f>
        <v>16065.359999999899</v>
      </c>
      <c r="R289" s="332"/>
      <c r="S289" s="335">
        <f>L289-Q289</f>
        <v>-3420.0899999999383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Avril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06" t="s">
        <v>343</v>
      </c>
      <c r="E293" s="1207"/>
      <c r="F293" s="1208"/>
      <c r="G293" s="1211"/>
      <c r="H293" s="1207"/>
      <c r="I293" s="1208"/>
      <c r="J293" s="1211" t="s">
        <v>344</v>
      </c>
      <c r="K293" s="1207"/>
      <c r="L293" s="1208"/>
      <c r="M293" s="1211" t="s">
        <v>3312</v>
      </c>
      <c r="N293" s="1208"/>
      <c r="O293" s="1206" t="s">
        <v>345</v>
      </c>
      <c r="P293" s="1207"/>
      <c r="Q293" s="1208"/>
      <c r="R293" s="1209" t="s">
        <v>3314</v>
      </c>
      <c r="S293" s="121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413842.05745947047</v>
      </c>
      <c r="E295" s="353">
        <f t="shared" ref="E295:E303" si="70">IF(D295=0,0,F295/D295)</f>
        <v>0.34200000000000008</v>
      </c>
      <c r="F295" s="276" cm="1">
        <f t="array" ref="F295">+SUMPRODUCT(('Budget original'!$A$8:$A$501=$A295)*('Budget original'!$C$3:$AO$3=F$2),'Budget original'!$C$8:$AO$501)</f>
        <v>141533.98365113893</v>
      </c>
      <c r="G295" s="291"/>
      <c r="H295" s="353"/>
      <c r="I295" s="276"/>
      <c r="J295" s="254">
        <f>-SUMIFS(BV_Data_An_Cour!$P:$P,BV_Data_An_Cour!$X:$X,"Oui",BV_Data_An_Cour!$U:$U,$B295,BV_Data_An_Cour!$V:$V,$C295)</f>
        <v>287635.40000000002</v>
      </c>
      <c r="K295" s="353">
        <f t="shared" ref="K295:K304" si="71">IF(J295&lt;=0,0,L295/J295)</f>
        <v>0.36874560641701271</v>
      </c>
      <c r="L295" s="256">
        <f>-SUMIFS(BV_Data_An_Cour!$P:$P,BV_Data_An_Cour!$U:$U,$B295,BV_Data_An_Cour!$V:$V,$C295,BV_Data_An_Cour!$W:$W,$L$2)</f>
        <v>106064.29000000002</v>
      </c>
      <c r="M295" s="292">
        <f t="shared" ref="M295:M301" si="72">(+J295-D295)/D295</f>
        <v>-0.3049633433446538</v>
      </c>
      <c r="N295" s="276">
        <f t="shared" ref="N295:N304" si="73">L295-F295</f>
        <v>-35469.693651138907</v>
      </c>
      <c r="O295" s="254" cm="1">
        <f t="array" ref="O295">+SUMPRODUCT(('Réel 2023'!$A$8:$A$501=$A295)*('Réel 2023'!$C$3:$AO$3=O$2),'Réel 2023'!$C$8:$AO$501)</f>
        <v>324407.31999999989</v>
      </c>
      <c r="P295" s="353">
        <f t="shared" ref="P295:P303" si="74">IF(O295=0,0,Q295/O295)</f>
        <v>0.33643880168918483</v>
      </c>
      <c r="Q295" s="256" cm="1">
        <f t="array" ref="Q295">+SUMPRODUCT(('Réel 2023'!$A$8:$A$501=$A295)*('Réel 2023'!$C$3:$AO$3=Q$2),'Réel 2023'!$C$8:$AO$501)</f>
        <v>109143.20999999989</v>
      </c>
      <c r="R295" s="292">
        <f t="shared" ref="R295:R304" si="75">IF(O295=0,0,(J295-O295)/O295)</f>
        <v>-0.11335107974752197</v>
      </c>
      <c r="S295" s="276">
        <f t="shared" ref="S295:S304" si="76">L295-Q295</f>
        <v>-3078.9199999998673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268947.03505753563</v>
      </c>
      <c r="E296" s="353">
        <f t="shared" si="70"/>
        <v>0.248</v>
      </c>
      <c r="F296" s="276" cm="1">
        <f t="array" ref="F296">+SUMPRODUCT(('Budget original'!$A$8:$A$501=$A296)*('Budget original'!$C$3:$AO$3=F$2),'Budget original'!$C$8:$AO$501)</f>
        <v>66698.864694268836</v>
      </c>
      <c r="G296" s="291"/>
      <c r="H296" s="353"/>
      <c r="I296" s="276"/>
      <c r="J296" s="254">
        <f>-SUMIFS(BV_Data_An_Cour!$P:$P,BV_Data_An_Cour!$X:$X,"Oui",BV_Data_An_Cour!$U:$U,$B296,BV_Data_An_Cour!$V:$V,$C296)</f>
        <v>163972.52000000002</v>
      </c>
      <c r="K296" s="353">
        <f t="shared" si="71"/>
        <v>0.24872118816006494</v>
      </c>
      <c r="L296" s="256">
        <f>-SUMIFS(BV_Data_An_Cour!$P:$P,BV_Data_An_Cour!$U:$U,$B296,BV_Data_An_Cour!$V:$V,$C296,BV_Data_An_Cour!$W:$W,$L$2)</f>
        <v>40783.440000000017</v>
      </c>
      <c r="M296" s="292">
        <f t="shared" si="72"/>
        <v>-0.3903166846032658</v>
      </c>
      <c r="N296" s="276">
        <f t="shared" si="73"/>
        <v>-25915.424694268819</v>
      </c>
      <c r="O296" s="254" cm="1">
        <f t="array" ref="O296">+SUMPRODUCT(('Réel 2023'!$A$8:$A$501=$A296)*('Réel 2023'!$C$3:$AO$3=O$2),'Réel 2023'!$C$8:$AO$501)</f>
        <v>177104.30000000002</v>
      </c>
      <c r="P296" s="353">
        <f t="shared" si="74"/>
        <v>0.25357972674858764</v>
      </c>
      <c r="Q296" s="256" cm="1">
        <f t="array" ref="Q296">+SUMPRODUCT(('Réel 2023'!$A$8:$A$501=$A296)*('Réel 2023'!$C$3:$AO$3=Q$2),'Réel 2023'!$C$8:$AO$501)</f>
        <v>44910.059999999896</v>
      </c>
      <c r="R296" s="292">
        <f t="shared" si="75"/>
        <v>-7.4147155094483858E-2</v>
      </c>
      <c r="S296" s="276">
        <f t="shared" si="76"/>
        <v>-4126.6199999998789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153705.59127163922</v>
      </c>
      <c r="E297" s="353">
        <f t="shared" si="70"/>
        <v>0.24299999999999997</v>
      </c>
      <c r="F297" s="276" cm="1">
        <f t="array" ref="F297">+SUMPRODUCT(('Budget original'!$A$8:$A$501=$A297)*('Budget original'!$C$3:$AO$3=F$2),'Budget original'!$C$8:$AO$501)</f>
        <v>37350.458679008327</v>
      </c>
      <c r="G297" s="291"/>
      <c r="H297" s="353"/>
      <c r="I297" s="276"/>
      <c r="J297" s="254">
        <f>-SUMIFS(BV_Data_An_Cour!$P:$P,BV_Data_An_Cour!$X:$X,"Oui",BV_Data_An_Cour!$U:$U,$B297,BV_Data_An_Cour!$V:$V,$C297)</f>
        <v>118614.72</v>
      </c>
      <c r="K297" s="353">
        <f t="shared" si="71"/>
        <v>0.23659845928060191</v>
      </c>
      <c r="L297" s="256">
        <f>-SUMIFS(BV_Data_An_Cour!$P:$P,BV_Data_An_Cour!$U:$U,$B297,BV_Data_An_Cour!$V:$V,$C297,BV_Data_An_Cour!$W:$W,$L$2)</f>
        <v>28064.059999999998</v>
      </c>
      <c r="M297" s="292">
        <f t="shared" si="72"/>
        <v>-0.2282992504132409</v>
      </c>
      <c r="N297" s="276">
        <f t="shared" si="73"/>
        <v>-9286.3986790083291</v>
      </c>
      <c r="O297" s="254" cm="1">
        <f t="array" ref="O297">+SUMPRODUCT(('Réel 2023'!$A$8:$A$501=$A297)*('Réel 2023'!$C$3:$AO$3=O$2),'Réel 2023'!$C$8:$AO$501)</f>
        <v>149980.16</v>
      </c>
      <c r="P297" s="353">
        <f t="shared" si="74"/>
        <v>0.24693872842914613</v>
      </c>
      <c r="Q297" s="256" cm="1">
        <f t="array" ref="Q297">+SUMPRODUCT(('Réel 2023'!$A$8:$A$501=$A297)*('Réel 2023'!$C$3:$AO$3=Q$2),'Réel 2023'!$C$8:$AO$501)</f>
        <v>37035.909999999887</v>
      </c>
      <c r="R297" s="292">
        <f t="shared" si="75"/>
        <v>-0.20913059433994471</v>
      </c>
      <c r="S297" s="276">
        <f t="shared" si="76"/>
        <v>-8971.8499999998894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147960.08985821306</v>
      </c>
      <c r="E298" s="353">
        <f t="shared" si="70"/>
        <v>0.316</v>
      </c>
      <c r="F298" s="276" cm="1">
        <f t="array" ref="F298">+SUMPRODUCT(('Budget original'!$A$8:$A$501=$A298)*('Budget original'!$C$3:$AO$3=F$2),'Budget original'!$C$8:$AO$501)</f>
        <v>46755.388395195325</v>
      </c>
      <c r="G298" s="291"/>
      <c r="H298" s="353"/>
      <c r="I298" s="276"/>
      <c r="J298" s="254">
        <f>-SUMIFS(BV_Data_An_Cour!$P:$P,BV_Data_An_Cour!$X:$X,"Oui",BV_Data_An_Cour!$U:$U,$B298,BV_Data_An_Cour!$V:$V,$C298)</f>
        <v>206424.65</v>
      </c>
      <c r="K298" s="353">
        <f t="shared" si="71"/>
        <v>0.2647758395133526</v>
      </c>
      <c r="L298" s="256">
        <f>-SUMIFS(BV_Data_An_Cour!$P:$P,BV_Data_An_Cour!$U:$U,$B298,BV_Data_An_Cour!$V:$V,$C298,BV_Data_An_Cour!$W:$W,$L$2)</f>
        <v>54656.25999999998</v>
      </c>
      <c r="M298" s="292">
        <f t="shared" si="72"/>
        <v>0.39513736574377761</v>
      </c>
      <c r="N298" s="276">
        <f t="shared" si="73"/>
        <v>7900.8716048046554</v>
      </c>
      <c r="O298" s="254" cm="1">
        <f t="array" ref="O298">+SUMPRODUCT(('Réel 2023'!$A$8:$A$501=$A298)*('Réel 2023'!$C$3:$AO$3=O$2),'Réel 2023'!$C$8:$AO$501)</f>
        <v>115001.05</v>
      </c>
      <c r="P298" s="353">
        <f t="shared" si="74"/>
        <v>0.31186315255382441</v>
      </c>
      <c r="Q298" s="256" cm="1">
        <f t="array" ref="Q298">+SUMPRODUCT(('Réel 2023'!$A$8:$A$501=$A298)*('Réel 2023'!$C$3:$AO$3=Q$2),'Réel 2023'!$C$8:$AO$501)</f>
        <v>35864.589999999989</v>
      </c>
      <c r="R298" s="292">
        <f t="shared" si="75"/>
        <v>0.79498056756873081</v>
      </c>
      <c r="S298" s="276">
        <f t="shared" si="76"/>
        <v>18791.669999999991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69021.72</v>
      </c>
      <c r="E299" s="353">
        <f t="shared" si="70"/>
        <v>0.26500000000000001</v>
      </c>
      <c r="F299" s="276" cm="1">
        <f t="array" ref="F299">+SUMPRODUCT(('Budget original'!$A$8:$A$501=$A299)*('Budget original'!$C$3:$AO$3=F$2),'Budget original'!$C$8:$AO$501)</f>
        <v>18290.755800000003</v>
      </c>
      <c r="G299" s="291"/>
      <c r="H299" s="353"/>
      <c r="I299" s="276"/>
      <c r="J299" s="254">
        <f>-SUMIFS(BV_Data_An_Cour!$P:$P,BV_Data_An_Cour!$X:$X,"Oui",BV_Data_An_Cour!$U:$U,$B299,BV_Data_An_Cour!$V:$V,$C299)</f>
        <v>65129.599999999999</v>
      </c>
      <c r="K299" s="353">
        <f t="shared" si="71"/>
        <v>0.30409153441753062</v>
      </c>
      <c r="L299" s="256">
        <f>-SUMIFS(BV_Data_An_Cour!$P:$P,BV_Data_An_Cour!$U:$U,$B299,BV_Data_An_Cour!$V:$V,$C299,BV_Data_An_Cour!$W:$W,$L$2)</f>
        <v>19805.36</v>
      </c>
      <c r="M299" s="292">
        <f t="shared" si="72"/>
        <v>-5.6389785708035128E-2</v>
      </c>
      <c r="N299" s="276">
        <f t="shared" si="73"/>
        <v>1514.6041999999979</v>
      </c>
      <c r="O299" s="254" cm="1">
        <f t="array" ref="O299">+SUMPRODUCT(('Réel 2023'!$A$8:$A$501=$A299)*('Réel 2023'!$C$3:$AO$3=O$2),'Réel 2023'!$C$8:$AO$501)</f>
        <v>74245.64</v>
      </c>
      <c r="P299" s="353">
        <f t="shared" si="74"/>
        <v>0.26853576856499572</v>
      </c>
      <c r="Q299" s="256" cm="1">
        <f t="array" ref="Q299">+SUMPRODUCT(('Réel 2023'!$A$8:$A$501=$A299)*('Réel 2023'!$C$3:$AO$3=Q$2),'Réel 2023'!$C$8:$AO$501)</f>
        <v>19937.60999999999</v>
      </c>
      <c r="R299" s="292">
        <f t="shared" si="75"/>
        <v>-0.1227821593294906</v>
      </c>
      <c r="S299" s="276">
        <f t="shared" si="76"/>
        <v>-132.24999999998909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475061.2145512749</v>
      </c>
      <c r="E300" s="353">
        <f t="shared" si="70"/>
        <v>0.14499999999999996</v>
      </c>
      <c r="F300" s="276" cm="1">
        <f t="array" ref="F300">+SUMPRODUCT(('Budget original'!$A$8:$A$501=$A300)*('Budget original'!$C$3:$AO$3=F$2),'Budget original'!$C$8:$AO$501)</f>
        <v>68883.876109934849</v>
      </c>
      <c r="G300" s="291"/>
      <c r="H300" s="353"/>
      <c r="I300" s="276"/>
      <c r="J300" s="254">
        <f>-SUMIFS(BV_Data_An_Cour!$P:$P,BV_Data_An_Cour!$X:$X,"Oui",BV_Data_An_Cour!$U:$U,$B300,BV_Data_An_Cour!$V:$V,$C300)</f>
        <v>604610.61</v>
      </c>
      <c r="K300" s="353">
        <f t="shared" si="71"/>
        <v>0.14417274285014611</v>
      </c>
      <c r="L300" s="256">
        <f>-SUMIFS(BV_Data_An_Cour!$P:$P,BV_Data_An_Cour!$U:$U,$B300,BV_Data_An_Cour!$V:$V,$C300,BV_Data_An_Cour!$W:$W,$L$2)</f>
        <v>87168.369999999981</v>
      </c>
      <c r="M300" s="292">
        <f t="shared" si="72"/>
        <v>0.27270042571480524</v>
      </c>
      <c r="N300" s="276">
        <f t="shared" si="73"/>
        <v>18284.493890065132</v>
      </c>
      <c r="O300" s="254" cm="1">
        <f t="array" ref="O300">+SUMPRODUCT(('Réel 2023'!$A$8:$A$501=$A300)*('Réel 2023'!$C$3:$AO$3=O$2),'Réel 2023'!$C$8:$AO$501)</f>
        <v>507218.80000000005</v>
      </c>
      <c r="P300" s="353">
        <f t="shared" si="74"/>
        <v>0.18664189892015001</v>
      </c>
      <c r="Q300" s="256" cm="1">
        <f t="array" ref="Q300">+SUMPRODUCT(('Réel 2023'!$A$8:$A$501=$A300)*('Réel 2023'!$C$3:$AO$3=Q$2),'Réel 2023'!$C$8:$AO$501)</f>
        <v>94668.279999999795</v>
      </c>
      <c r="R300" s="292">
        <f t="shared" si="75"/>
        <v>0.19201143569599535</v>
      </c>
      <c r="S300" s="276">
        <f t="shared" si="76"/>
        <v>-7499.9099999998143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27968.481248479198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58807.630000000005</v>
      </c>
      <c r="M302" s="292"/>
      <c r="N302" s="276">
        <f t="shared" si="73"/>
        <v>30839.148751520806</v>
      </c>
      <c r="O302" s="254" cm="1">
        <f t="array" ref="O302">+SUMPRODUCT(('Réel 2023'!$A$8:$A$501=$A302)*('Réel 2023'!$C$3:$AO$3=O$2),'Réel 2023'!$C$8:$AO$501)</f>
        <v>0</v>
      </c>
      <c r="P302" s="353">
        <f t="shared" si="74"/>
        <v>0</v>
      </c>
      <c r="Q302" s="256" cm="1">
        <f t="array" ref="Q302">+SUMPRODUCT(('Réel 2023'!$A$8:$A$501=$A302)*('Réel 2023'!$C$3:$AO$3=Q$2),'Réel 2023'!$C$8:$AO$501)</f>
        <v>36354.979999999989</v>
      </c>
      <c r="R302" s="292">
        <f t="shared" si="75"/>
        <v>0</v>
      </c>
      <c r="S302" s="276">
        <f t="shared" si="76"/>
        <v>22452.650000000016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1528537.7081981334</v>
      </c>
      <c r="E304" s="407">
        <f>IF(D304&lt;=0,0,F304/D304)</f>
        <v>0.26658276494753408</v>
      </c>
      <c r="F304" s="392">
        <f t="shared" ref="F304" si="77">SUM(F295:F303)</f>
        <v>407481.80857802543</v>
      </c>
      <c r="G304" s="390"/>
      <c r="H304" s="407"/>
      <c r="I304" s="392"/>
      <c r="J304" s="390">
        <f t="shared" ref="J304" si="78">SUM(J295:J303)</f>
        <v>1446387.5</v>
      </c>
      <c r="K304" s="407">
        <f t="shared" si="71"/>
        <v>0.27333574854594639</v>
      </c>
      <c r="L304" s="392">
        <f>SUM(L295:L303)</f>
        <v>395349.41000000003</v>
      </c>
      <c r="M304" s="408">
        <f>(+J304-D304)/D304</f>
        <v>-5.3744312461204161E-2</v>
      </c>
      <c r="N304" s="392">
        <f t="shared" si="73"/>
        <v>-12132.398578025401</v>
      </c>
      <c r="O304" s="390">
        <f>SUM(O295:O303)</f>
        <v>1347957.27</v>
      </c>
      <c r="P304" s="407">
        <f>IF(O304&lt;=0,0,Q304/O304)</f>
        <v>0.28036099393566044</v>
      </c>
      <c r="Q304" s="392">
        <f t="shared" ref="Q304" si="79">SUM(Q295:Q303)</f>
        <v>377914.63999999943</v>
      </c>
      <c r="R304" s="408">
        <f t="shared" si="75"/>
        <v>7.3021773160509743E-2</v>
      </c>
      <c r="S304" s="392">
        <f t="shared" si="76"/>
        <v>17434.770000000601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-2.9774086407350048E-2</v>
      </c>
      <c r="O305" s="253"/>
      <c r="P305" s="41"/>
      <c r="Q305" s="263"/>
      <c r="R305" s="253"/>
      <c r="S305" s="265">
        <f>IF(Q304=0,0,S304/Q304)</f>
        <v>4.6134148176955055E-2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t="s">
        <v>694</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152584.83000000002</v>
      </c>
      <c r="E307" s="353">
        <f t="shared" ref="E307:E308" si="80">IF(D307=0,0,F307/D307)</f>
        <v>0.18</v>
      </c>
      <c r="F307" s="317" cm="1">
        <f t="array" ref="F307">+SUMPRODUCT(('Budget original'!$A$8:$A$501=$A307)*('Budget original'!$C$3:$AO$3=F$2),'Budget original'!$C$8:$AO$501)</f>
        <v>27465.269400000001</v>
      </c>
      <c r="G307" s="291"/>
      <c r="H307" s="353"/>
      <c r="I307" s="317"/>
      <c r="J307" s="254">
        <f>-SUMIFS(BV_Data_An_Cour!$P:$P,BV_Data_An_Cour!$X:$X,"Oui",BV_Data_An_Cour!$U:$U,$B307,BV_Data_An_Cour!$V:$V,$C307)</f>
        <v>162368.21</v>
      </c>
      <c r="K307" s="353">
        <f t="shared" ref="K307:K309" si="81">IF(J307&lt;=0,0,L307/J307)</f>
        <v>0.16103632601480306</v>
      </c>
      <c r="L307" s="256">
        <f>-SUMIFS(BV_Data_An_Cour!$P:$P,BV_Data_An_Cour!$U:$U,$B307,BV_Data_An_Cour!$V:$V,$C307,BV_Data_An_Cour!$W:$W,$L$2)</f>
        <v>26147.180000000004</v>
      </c>
      <c r="M307" s="292">
        <f>(+J307-D307)/D307</f>
        <v>6.4117645246909369E-2</v>
      </c>
      <c r="N307" s="276">
        <f>L307-F307</f>
        <v>-1318.0893999999971</v>
      </c>
      <c r="O307" s="254" cm="1">
        <f t="array" ref="O307">+SUMPRODUCT(('Réel 2023'!$A$8:$A$501=$A307)*('Réel 2023'!$C$3:$AO$3=O$2),'Réel 2023'!$C$8:$AO$501)</f>
        <v>144598.84999999992</v>
      </c>
      <c r="P307" s="353">
        <f t="shared" ref="P307:P308" si="82">IF(O307=0,0,Q307/O307)</f>
        <v>0.17720832496247374</v>
      </c>
      <c r="Q307" s="256" cm="1">
        <f t="array" ref="Q307">+SUMPRODUCT(('Réel 2023'!$A$8:$A$501=$A307)*('Réel 2023'!$C$3:$AO$3=Q$2),'Réel 2023'!$C$8:$AO$501)</f>
        <v>25624.119999999981</v>
      </c>
      <c r="R307" s="292">
        <f t="shared" ref="R307:R309" si="83">IF(O307=0,0,(J307-O307)/O307)</f>
        <v>0.12288728437328571</v>
      </c>
      <c r="S307" s="276">
        <f t="shared" ref="S307:S309" si="84">L307-Q307</f>
        <v>523.06000000002314</v>
      </c>
      <c r="T307" s="41"/>
      <c r="U307" s="41">
        <f>J307/(J97+J27)</f>
        <v>461.27332386363634</v>
      </c>
      <c r="V307" s="41" t="e">
        <f>G307/(G97+G27)</f>
        <v>#DIV/0!</v>
      </c>
      <c r="W307" s="41"/>
      <c r="X307" s="41" t="s">
        <v>695</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80090.575451958313</v>
      </c>
      <c r="E308" s="353">
        <f t="shared" si="80"/>
        <v>0.26</v>
      </c>
      <c r="F308" s="296" cm="1">
        <f t="array" ref="F308">+SUMPRODUCT(('Budget original'!$A$8:$A$501=$A308)*('Budget original'!$C$3:$AO$3=F$2),'Budget original'!$C$8:$AO$501)</f>
        <v>20823.549617509161</v>
      </c>
      <c r="G308" s="291"/>
      <c r="H308" s="353"/>
      <c r="I308" s="296"/>
      <c r="J308" s="254">
        <f>-SUMIFS(BV_Data_An_Cour!$P:$P,BV_Data_An_Cour!$X:$X,"Oui",BV_Data_An_Cour!$U:$U,$B308,BV_Data_An_Cour!$V:$V,$C308)</f>
        <v>80375.28</v>
      </c>
      <c r="K308" s="353">
        <f t="shared" si="81"/>
        <v>0.24929343947542079</v>
      </c>
      <c r="L308" s="256">
        <f>-SUMIFS(BV_Data_An_Cour!$P:$P,BV_Data_An_Cour!$U:$U,$B308,BV_Data_An_Cour!$V:$V,$C308,BV_Data_An_Cour!$W:$W,$L$2)</f>
        <v>20037.03</v>
      </c>
      <c r="M308" s="292">
        <f>(+J308-D308)/D308</f>
        <v>3.5547821505223574E-3</v>
      </c>
      <c r="N308" s="276">
        <f>L308-F308</f>
        <v>-786.51961750916234</v>
      </c>
      <c r="O308" s="254" cm="1">
        <f t="array" ref="O308">+SUMPRODUCT(('Réel 2023'!$A$8:$A$501=$A308)*('Réel 2023'!$C$3:$AO$3=O$2),'Réel 2023'!$C$8:$AO$501)</f>
        <v>77396.929999999993</v>
      </c>
      <c r="P308" s="353">
        <f t="shared" si="82"/>
        <v>0.26888753856257569</v>
      </c>
      <c r="Q308" s="256" cm="1">
        <f t="array" ref="Q308">+SUMPRODUCT(('Réel 2023'!$A$8:$A$501=$A308)*('Réel 2023'!$C$3:$AO$3=Q$2),'Réel 2023'!$C$8:$AO$501)</f>
        <v>20811.069999999971</v>
      </c>
      <c r="R308" s="292">
        <f t="shared" si="83"/>
        <v>3.848150049362431E-2</v>
      </c>
      <c r="S308" s="276">
        <f t="shared" si="84"/>
        <v>-774.03999999997177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1761213.1136500917</v>
      </c>
      <c r="E309" s="407">
        <f>IF(D309&lt;=0,0,F309/D309)</f>
        <v>0.25878221327284795</v>
      </c>
      <c r="F309" s="392">
        <f t="shared" ref="F309" si="85">F304+F307+F308</f>
        <v>455770.62759553461</v>
      </c>
      <c r="G309" s="393"/>
      <c r="H309" s="407"/>
      <c r="I309" s="392"/>
      <c r="J309" s="393">
        <f t="shared" ref="J309" si="86">J304+J307+J308</f>
        <v>1689130.99</v>
      </c>
      <c r="K309" s="407">
        <f t="shared" si="81"/>
        <v>0.26139690918819741</v>
      </c>
      <c r="L309" s="392">
        <f>L304+L307+L308</f>
        <v>441533.62</v>
      </c>
      <c r="M309" s="408">
        <f>(+J309-D309)/D309</f>
        <v>-4.0927541983095062E-2</v>
      </c>
      <c r="N309" s="392">
        <f>L309-F309</f>
        <v>-14237.007595534611</v>
      </c>
      <c r="O309" s="393">
        <f>O304+O307+O308</f>
        <v>1569953.0499999998</v>
      </c>
      <c r="P309" s="407">
        <f>IF(O309&lt;=0,0,Q309/O309)</f>
        <v>0.27029459893720992</v>
      </c>
      <c r="Q309" s="392">
        <f t="shared" ref="Q309" si="87">Q304+Q307+Q308</f>
        <v>424349.82999999938</v>
      </c>
      <c r="R309" s="408">
        <f t="shared" si="83"/>
        <v>7.5911786024429329E-2</v>
      </c>
      <c r="S309" s="392">
        <f t="shared" si="84"/>
        <v>17183.790000000619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-3.1237220508577804E-2</v>
      </c>
      <c r="O310" s="253"/>
      <c r="P310" s="41"/>
      <c r="Q310" s="263"/>
      <c r="R310" s="253"/>
      <c r="S310" s="265">
        <f>IF(Q309=0,0,S309/Q309)</f>
        <v>4.0494395862019424E-2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1761213.1136500917</v>
      </c>
      <c r="E314" s="410">
        <f>IF(D314&lt;=0,0,F314/D314)</f>
        <v>0.25878221327284795</v>
      </c>
      <c r="F314" s="281">
        <f t="shared" ref="F314" si="88">F309+F312</f>
        <v>455770.62759553461</v>
      </c>
      <c r="G314" s="282"/>
      <c r="H314" s="410"/>
      <c r="I314" s="281"/>
      <c r="J314" s="282">
        <f t="shared" ref="J314" si="89">J309+J312</f>
        <v>1689130.99</v>
      </c>
      <c r="K314" s="410">
        <f>IF(J314&lt;=0,0,L314/J314)</f>
        <v>0.26139690918819741</v>
      </c>
      <c r="L314" s="281">
        <f>L309+L312</f>
        <v>441533.62</v>
      </c>
      <c r="M314" s="411">
        <f>(+J314-D314)/D314</f>
        <v>-4.0927541983095062E-2</v>
      </c>
      <c r="N314" s="412">
        <f>L314-F314</f>
        <v>-14237.007595534611</v>
      </c>
      <c r="O314" s="282">
        <f>O309+O312</f>
        <v>1569953.0499999998</v>
      </c>
      <c r="P314" s="410">
        <f>IF(O314&lt;=0,0,Q314/O314)</f>
        <v>0.27029459893720992</v>
      </c>
      <c r="Q314" s="281">
        <f t="shared" ref="Q314" si="90">Q309+Q312</f>
        <v>424349.82999999938</v>
      </c>
      <c r="R314" s="411">
        <f>IF(O314=0,0,(J314-O314)/O314)</f>
        <v>7.5911786024429329E-2</v>
      </c>
      <c r="S314" s="412">
        <f>L314-Q314</f>
        <v>17183.790000000619</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-3.1237220508577804E-2</v>
      </c>
      <c r="O315" s="415"/>
      <c r="P315" s="414"/>
      <c r="Q315" s="335"/>
      <c r="R315" s="416"/>
      <c r="S315" s="287">
        <f>IF(Q314=0,0,S314/Q314)</f>
        <v>4.0494395862019424E-2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27462.0858974359</v>
      </c>
      <c r="G318" s="253"/>
      <c r="H318" s="41"/>
      <c r="I318" s="254"/>
      <c r="J318" s="253"/>
      <c r="K318" s="41"/>
      <c r="L318" s="256">
        <f>SUMIFS(BV_Data_An_Cour!$P:$P,BV_Data_An_Cour!$U:$U,$B318,BV_Data_An_Cour!$V:$V,$C318,BV_Data_An_Cour!$W:$W,$L$2)</f>
        <v>34721.410000000003</v>
      </c>
      <c r="M318" s="253"/>
      <c r="N318" s="276">
        <f t="shared" ref="N318:N348" si="91">L318-F318</f>
        <v>7259.3241025641037</v>
      </c>
      <c r="O318" s="253"/>
      <c r="P318" s="41"/>
      <c r="Q318" s="256" cm="1">
        <f t="array" ref="Q318">+SUMPRODUCT(('Réel 2023'!$A$8:$A$501=$A318)*('Réel 2023'!$C$3:$AO$3=Q$2),'Réel 2023'!$C$8:$AO$501)</f>
        <v>26226.89</v>
      </c>
      <c r="R318" s="253"/>
      <c r="S318" s="256">
        <f t="shared" ref="S318:S348" si="92">L318-Q318</f>
        <v>8494.5200000000041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112580.86092307694</v>
      </c>
      <c r="G319" s="298"/>
      <c r="H319" s="41"/>
      <c r="I319" s="248"/>
      <c r="J319" s="253"/>
      <c r="K319" s="41"/>
      <c r="L319" s="256">
        <f>SUMIFS(BV_Data_An_Cour!$P:$P,BV_Data_An_Cour!$U:$U,$B319,BV_Data_An_Cour!$V:$V,$C319,BV_Data_An_Cour!$W:$W,$L$2)</f>
        <v>95166.52</v>
      </c>
      <c r="M319" s="253"/>
      <c r="N319" s="276">
        <f t="shared" si="91"/>
        <v>-17414.340923076932</v>
      </c>
      <c r="O319" s="253"/>
      <c r="P319" s="41"/>
      <c r="Q319" s="256" cm="1">
        <f t="array" ref="Q319">+SUMPRODUCT(('Réel 2023'!$A$8:$A$501=$A319)*('Réel 2023'!$C$3:$AO$3=Q$2),'Réel 2023'!$C$8:$AO$501)</f>
        <v>97511.62</v>
      </c>
      <c r="R319" s="253"/>
      <c r="S319" s="276">
        <f t="shared" si="92"/>
        <v>-2345.0999999999913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596.04615384615386</v>
      </c>
      <c r="G320" s="316"/>
      <c r="H320" s="315"/>
      <c r="I320" s="254"/>
      <c r="J320" s="241"/>
      <c r="K320" s="315"/>
      <c r="L320" s="272">
        <f>SUMIFS(BV_Data_An_Cour!$P:$P,BV_Data_An_Cour!$U:$U,$B320,BV_Data_An_Cour!$V:$V,$C320,BV_Data_An_Cour!$W:$W,$L$2)</f>
        <v>7098.07</v>
      </c>
      <c r="M320" s="241"/>
      <c r="N320" s="317">
        <f t="shared" si="91"/>
        <v>6502.0238461538456</v>
      </c>
      <c r="O320" s="241"/>
      <c r="P320" s="315"/>
      <c r="Q320" s="272" cm="1">
        <f t="array" ref="Q320">+SUMPRODUCT(('Réel 2023'!$A$8:$A$501=$A320)*('Réel 2023'!$C$3:$AO$3=Q$2),'Réel 2023'!$C$8:$AO$501)</f>
        <v>3841.65</v>
      </c>
      <c r="R320" s="241"/>
      <c r="S320" s="317">
        <f t="shared" si="92"/>
        <v>3256.4199999999996</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17255.547969256411</v>
      </c>
      <c r="G325" s="298"/>
      <c r="H325" s="41"/>
      <c r="I325" s="248"/>
      <c r="J325" s="253"/>
      <c r="K325" s="41"/>
      <c r="L325" s="256">
        <f>SUMIFS(BV_Data_An_Cour!$P:$P,BV_Data_An_Cour!$U:$U,$B325,BV_Data_An_Cour!$V:$V,$C325,BV_Data_An_Cour!$W:$W,$L$2)</f>
        <v>15906.68</v>
      </c>
      <c r="M325" s="253"/>
      <c r="N325" s="276">
        <f t="shared" si="91"/>
        <v>-1348.867969256411</v>
      </c>
      <c r="O325" s="253"/>
      <c r="P325" s="41"/>
      <c r="Q325" s="256" cm="1">
        <f t="array" ref="Q325">+SUMPRODUCT(('Réel 2023'!$A$8:$A$501=$A325)*('Réel 2023'!$C$3:$AO$3=Q$2),'Réel 2023'!$C$8:$AO$501)</f>
        <v>13668.609999999999</v>
      </c>
      <c r="R325" s="253"/>
      <c r="S325" s="276">
        <f t="shared" si="92"/>
        <v>2238.0700000000015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20980.313830461539</v>
      </c>
      <c r="G326" s="316"/>
      <c r="H326" s="315"/>
      <c r="I326" s="254"/>
      <c r="J326" s="241"/>
      <c r="K326" s="315"/>
      <c r="L326" s="272">
        <f>SUMIFS(BV_Data_An_Cour!$P:$P,BV_Data_An_Cour!$U:$U,$B326,BV_Data_An_Cour!$V:$V,$C326,BV_Data_An_Cour!$W:$W,$L$2)</f>
        <v>32141.449999999997</v>
      </c>
      <c r="M326" s="241"/>
      <c r="N326" s="317">
        <f t="shared" si="91"/>
        <v>11161.136169538458</v>
      </c>
      <c r="O326" s="241"/>
      <c r="P326" s="315"/>
      <c r="Q326" s="272" cm="1">
        <f t="array" ref="Q326">+SUMPRODUCT(('Réel 2023'!$A$8:$A$501=$A326)*('Réel 2023'!$C$3:$AO$3=Q$2),'Réel 2023'!$C$8:$AO$501)</f>
        <v>31091.59</v>
      </c>
      <c r="R326" s="241"/>
      <c r="S326" s="317">
        <f t="shared" si="92"/>
        <v>1049.8599999999969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10809.422560476924</v>
      </c>
      <c r="G327" s="298"/>
      <c r="H327" s="41"/>
      <c r="I327" s="254"/>
      <c r="J327" s="253"/>
      <c r="K327" s="41"/>
      <c r="L327" s="256">
        <f>SUMIFS(BV_Data_An_Cour!$P:$P,BV_Data_An_Cour!$U:$U,$B327,BV_Data_An_Cour!$V:$V,$C327,BV_Data_An_Cour!$W:$W,$L$2)</f>
        <v>5399.77</v>
      </c>
      <c r="M327" s="253"/>
      <c r="N327" s="276">
        <f t="shared" si="91"/>
        <v>-5409.6525604769231</v>
      </c>
      <c r="O327" s="253"/>
      <c r="P327" s="41"/>
      <c r="Q327" s="256" cm="1">
        <f t="array" ref="Q327">+SUMPRODUCT(('Réel 2023'!$A$8:$A$501=$A327)*('Réel 2023'!$C$3:$AO$3=Q$2),'Réel 2023'!$C$8:$AO$501)</f>
        <v>5559.07</v>
      </c>
      <c r="R327" s="253"/>
      <c r="S327" s="276">
        <f t="shared" si="92"/>
        <v>-159.29999999999927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4712.9690488717952</v>
      </c>
      <c r="G328" s="298"/>
      <c r="H328" s="41"/>
      <c r="I328" s="254"/>
      <c r="J328" s="253"/>
      <c r="K328" s="41"/>
      <c r="L328" s="256">
        <f>SUMIFS(BV_Data_An_Cour!$P:$P,BV_Data_An_Cour!$U:$U,$B328,BV_Data_An_Cour!$V:$V,$C328,BV_Data_An_Cour!$W:$W,$L$2)</f>
        <v>4241.72</v>
      </c>
      <c r="M328" s="253"/>
      <c r="N328" s="276">
        <f t="shared" si="91"/>
        <v>-471.24904887179491</v>
      </c>
      <c r="O328" s="253"/>
      <c r="P328" s="41"/>
      <c r="Q328" s="256" cm="1">
        <f t="array" ref="Q328">+SUMPRODUCT(('Réel 2023'!$A$8:$A$501=$A328)*('Réel 2023'!$C$3:$AO$3=Q$2),'Réel 2023'!$C$8:$AO$501)</f>
        <v>3235.5999999999913</v>
      </c>
      <c r="R328" s="253"/>
      <c r="S328" s="276">
        <f t="shared" si="92"/>
        <v>1006.120000000009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0.42652429668183878</v>
      </c>
      <c r="F330" s="307">
        <f>+SUM(F318:F329)</f>
        <v>194397.24638342566</v>
      </c>
      <c r="G330" s="308"/>
      <c r="H330" s="306"/>
      <c r="I330" s="307"/>
      <c r="J330" s="308" t="s">
        <v>119</v>
      </c>
      <c r="K330" s="306">
        <f>L330/L$314</f>
        <v>0.44090780674866842</v>
      </c>
      <c r="L330" s="307">
        <f>+SUM(L318:L329)</f>
        <v>194675.62</v>
      </c>
      <c r="M330" s="355"/>
      <c r="N330" s="320">
        <f t="shared" si="91"/>
        <v>278.37361657433212</v>
      </c>
      <c r="O330" s="308" t="s">
        <v>119</v>
      </c>
      <c r="P330" s="306">
        <f>Q330/Q$314</f>
        <v>0.42685307544485229</v>
      </c>
      <c r="Q330" s="307">
        <f>+SUM(Q318:Q329)</f>
        <v>181135.02999999997</v>
      </c>
      <c r="R330" s="355"/>
      <c r="S330" s="320">
        <f t="shared" si="92"/>
        <v>13540.590000000026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17806.272547083328</v>
      </c>
      <c r="G331" s="298"/>
      <c r="H331" s="41"/>
      <c r="I331" s="254"/>
      <c r="J331" s="253"/>
      <c r="K331" s="41"/>
      <c r="L331" s="256">
        <f>SUMIFS(BV_Data_An_Cour!$P:$P,BV_Data_An_Cour!$U:$U,$B331,BV_Data_An_Cour!$V:$V,$C331,BV_Data_An_Cour!$W:$W,$L$2)</f>
        <v>19030.91</v>
      </c>
      <c r="M331" s="253"/>
      <c r="N331" s="276">
        <f t="shared" si="91"/>
        <v>1224.6374529166715</v>
      </c>
      <c r="O331" s="253"/>
      <c r="P331" s="41"/>
      <c r="Q331" s="256" cm="1">
        <f t="array" ref="Q331">+SUMPRODUCT(('Réel 2023'!$A$8:$A$501=$A331)*('Réel 2023'!$C$3:$AO$3=Q$2),'Réel 2023'!$C$8:$AO$501)</f>
        <v>14453.730000000001</v>
      </c>
      <c r="R331" s="253"/>
      <c r="S331" s="276">
        <f t="shared" si="92"/>
        <v>4577.1799999999985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5939.0656258991448</v>
      </c>
      <c r="G332" s="298"/>
      <c r="H332" s="41"/>
      <c r="I332" s="254"/>
      <c r="J332" s="253"/>
      <c r="K332" s="41"/>
      <c r="L332" s="256">
        <f>SUMIFS(BV_Data_An_Cour!$P:$P,BV_Data_An_Cour!$U:$U,$B332,BV_Data_An_Cour!$V:$V,$C332,BV_Data_An_Cour!$W:$W,$L$2)</f>
        <v>-3613.35</v>
      </c>
      <c r="M332" s="253"/>
      <c r="N332" s="276">
        <f t="shared" si="91"/>
        <v>-9552.4156258991443</v>
      </c>
      <c r="O332" s="253"/>
      <c r="P332" s="41"/>
      <c r="Q332" s="256" cm="1">
        <f t="array" ref="Q332">+SUMPRODUCT(('Réel 2023'!$A$8:$A$501=$A332)*('Réel 2023'!$C$3:$AO$3=Q$2),'Réel 2023'!$C$8:$AO$501)</f>
        <v>8643.6999999999989</v>
      </c>
      <c r="R332" s="253"/>
      <c r="S332" s="276">
        <f t="shared" si="92"/>
        <v>-12257.05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4333.333333333333</v>
      </c>
      <c r="G333" s="300"/>
      <c r="H333" s="318"/>
      <c r="I333" s="248"/>
      <c r="J333" s="246"/>
      <c r="K333" s="318"/>
      <c r="L333" s="256">
        <f>SUMIFS(BV_Data_An_Cour!$P:$P,BV_Data_An_Cour!$U:$U,$B333,BV_Data_An_Cour!$V:$V,$C333,BV_Data_An_Cour!$W:$W,$L$2)</f>
        <v>5080.8500000000004</v>
      </c>
      <c r="M333" s="246"/>
      <c r="N333" s="296">
        <f t="shared" si="91"/>
        <v>747.51666666666733</v>
      </c>
      <c r="O333" s="246"/>
      <c r="P333" s="318"/>
      <c r="Q333" s="256" cm="1">
        <f t="array" ref="Q333">+SUMPRODUCT(('Réel 2023'!$A$8:$A$501=$A333)*('Réel 2023'!$C$3:$AO$3=Q$2),'Réel 2023'!$C$8:$AO$501)</f>
        <v>3075</v>
      </c>
      <c r="R333" s="246"/>
      <c r="S333" s="296">
        <f t="shared" si="92"/>
        <v>2005.8500000000004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15235.742811111109</v>
      </c>
      <c r="G334" s="298"/>
      <c r="H334" s="41"/>
      <c r="I334" s="254"/>
      <c r="J334" s="253"/>
      <c r="K334" s="41"/>
      <c r="L334" s="272">
        <f>SUMIFS(BV_Data_An_Cour!$P:$P,BV_Data_An_Cour!$U:$U,$B334,BV_Data_An_Cour!$V:$V,$C334,BV_Data_An_Cour!$W:$W,$L$2)</f>
        <v>18093.5</v>
      </c>
      <c r="M334" s="253"/>
      <c r="N334" s="276">
        <f t="shared" si="91"/>
        <v>2857.7571888888906</v>
      </c>
      <c r="O334" s="253"/>
      <c r="P334" s="41"/>
      <c r="Q334" s="272" cm="1">
        <f t="array" ref="Q334">+SUMPRODUCT(('Réel 2023'!$A$8:$A$501=$A334)*('Réel 2023'!$C$3:$AO$3=Q$2),'Réel 2023'!$C$8:$AO$501)</f>
        <v>15734.15</v>
      </c>
      <c r="R334" s="253"/>
      <c r="S334" s="276">
        <f t="shared" si="92"/>
        <v>2359.3500000000004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2742.4819867859874</v>
      </c>
      <c r="G335" s="298"/>
      <c r="H335" s="41"/>
      <c r="I335" s="254"/>
      <c r="J335" s="253"/>
      <c r="K335" s="41"/>
      <c r="L335" s="256">
        <f>SUMIFS(BV_Data_An_Cour!$P:$P,BV_Data_An_Cour!$U:$U,$B335,BV_Data_An_Cour!$V:$V,$C335,BV_Data_An_Cour!$W:$W,$L$2)</f>
        <v>3473.35</v>
      </c>
      <c r="M335" s="253"/>
      <c r="N335" s="276">
        <f t="shared" si="91"/>
        <v>730.86801321401254</v>
      </c>
      <c r="O335" s="253"/>
      <c r="P335" s="41"/>
      <c r="Q335" s="256" cm="1">
        <f t="array" ref="Q335">+SUMPRODUCT(('Réel 2023'!$A$8:$A$501=$A335)*('Réel 2023'!$C$3:$AO$3=Q$2),'Réel 2023'!$C$8:$AO$501)</f>
        <v>3728.12</v>
      </c>
      <c r="R335" s="253"/>
      <c r="S335" s="276">
        <f t="shared" si="92"/>
        <v>-254.76999999999998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49667.311002129631</v>
      </c>
      <c r="G336" s="300"/>
      <c r="H336" s="318"/>
      <c r="I336" s="248"/>
      <c r="J336" s="246"/>
      <c r="K336" s="318"/>
      <c r="L336" s="248">
        <f>SUMIFS(BV_Data_An_Cour!$P:$P,BV_Data_An_Cour!$U:$U,$B336,BV_Data_An_Cour!$V:$V,$C336,BV_Data_An_Cour!$W:$W,$L$2)</f>
        <v>52574.65</v>
      </c>
      <c r="M336" s="246"/>
      <c r="N336" s="296">
        <f t="shared" si="91"/>
        <v>2907.3389978703708</v>
      </c>
      <c r="O336" s="246"/>
      <c r="P336" s="318"/>
      <c r="Q336" s="248" cm="1">
        <f t="array" ref="Q336">+SUMPRODUCT(('Réel 2023'!$A$8:$A$501=$A336)*('Réel 2023'!$C$3:$AO$3=Q$2),'Réel 2023'!$C$8:$AO$501)</f>
        <v>62706.57</v>
      </c>
      <c r="R336" s="246"/>
      <c r="S336" s="296">
        <f t="shared" si="92"/>
        <v>-10131.919999999998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500</v>
      </c>
      <c r="G338" s="298"/>
      <c r="H338" s="41"/>
      <c r="I338" s="254"/>
      <c r="J338" s="253"/>
      <c r="K338" s="41"/>
      <c r="L338" s="256">
        <f>SUMIFS(BV_Data_An_Cour!$P:$P,BV_Data_An_Cour!$U:$U,$B338,BV_Data_An_Cour!$V:$V,$C338,BV_Data_An_Cour!$W:$W,$L$2)</f>
        <v>1577.01</v>
      </c>
      <c r="M338" s="253"/>
      <c r="N338" s="276">
        <f t="shared" si="91"/>
        <v>1077.01</v>
      </c>
      <c r="O338" s="253"/>
      <c r="P338" s="41"/>
      <c r="Q338" s="256" cm="1">
        <f t="array" ref="Q338">+SUMPRODUCT(('Réel 2023'!$A$8:$A$501=$A338)*('Réel 2023'!$C$3:$AO$3=Q$2),'Réel 2023'!$C$8:$AO$501)</f>
        <v>75.33</v>
      </c>
      <c r="R338" s="253"/>
      <c r="S338" s="276">
        <f t="shared" si="92"/>
        <v>1501.68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333.33333333333331</v>
      </c>
      <c r="G339" s="298"/>
      <c r="H339" s="41"/>
      <c r="I339" s="254"/>
      <c r="J339" s="253"/>
      <c r="K339" s="41"/>
      <c r="L339" s="256">
        <f>SUMIFS(BV_Data_An_Cour!$P:$P,BV_Data_An_Cour!$U:$U,$B339,BV_Data_An_Cour!$V:$V,$C339,BV_Data_An_Cour!$W:$W,$L$2)</f>
        <v>0</v>
      </c>
      <c r="M339" s="253"/>
      <c r="N339" s="276">
        <f t="shared" si="91"/>
        <v>-333.33333333333331</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2471.8117249000002</v>
      </c>
      <c r="G340" s="298"/>
      <c r="H340" s="41"/>
      <c r="I340" s="254"/>
      <c r="J340" s="253"/>
      <c r="K340" s="41"/>
      <c r="L340" s="256">
        <f>SUMIFS(BV_Data_An_Cour!$P:$P,BV_Data_An_Cour!$U:$U,$B340,BV_Data_An_Cour!$V:$V,$C340,BV_Data_An_Cour!$W:$W,$L$2)</f>
        <v>1815.57</v>
      </c>
      <c r="M340" s="253"/>
      <c r="N340" s="276">
        <f t="shared" si="91"/>
        <v>-656.24172490000024</v>
      </c>
      <c r="O340" s="253"/>
      <c r="P340" s="41"/>
      <c r="Q340" s="256" cm="1">
        <f t="array" ref="Q340">+SUMPRODUCT(('Réel 2023'!$A$8:$A$501=$A340)*('Réel 2023'!$C$3:$AO$3=Q$2),'Réel 2023'!$C$8:$AO$501)</f>
        <v>2096.25</v>
      </c>
      <c r="R340" s="253"/>
      <c r="S340" s="276">
        <f t="shared" si="92"/>
        <v>-280.68000000000006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525.43286579027779</v>
      </c>
      <c r="G341" s="298"/>
      <c r="H341" s="41"/>
      <c r="I341" s="254"/>
      <c r="J341" s="253"/>
      <c r="K341" s="41"/>
      <c r="L341" s="256">
        <f>SUMIFS(BV_Data_An_Cour!$P:$P,BV_Data_An_Cour!$U:$U,$B341,BV_Data_An_Cour!$V:$V,$C341,BV_Data_An_Cour!$W:$W,$L$2)</f>
        <v>404.71</v>
      </c>
      <c r="M341" s="253"/>
      <c r="N341" s="276">
        <f t="shared" si="91"/>
        <v>-120.72286579027781</v>
      </c>
      <c r="O341" s="253"/>
      <c r="P341" s="41"/>
      <c r="Q341" s="256" cm="1">
        <f t="array" ref="Q341">+SUMPRODUCT(('Réel 2023'!$A$8:$A$501=$A341)*('Réel 2023'!$C$3:$AO$3=Q$2),'Réel 2023'!$C$8:$AO$501)</f>
        <v>318.79000000000002</v>
      </c>
      <c r="R341" s="253"/>
      <c r="S341" s="276">
        <f t="shared" si="92"/>
        <v>85.919999999999959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641.18591220972212</v>
      </c>
      <c r="G342" s="298"/>
      <c r="H342" s="41"/>
      <c r="I342" s="254"/>
      <c r="J342" s="253"/>
      <c r="K342" s="41"/>
      <c r="L342" s="256">
        <f>SUMIFS(BV_Data_An_Cour!$P:$P,BV_Data_An_Cour!$U:$U,$B342,BV_Data_An_Cour!$V:$V,$C342,BV_Data_An_Cour!$W:$W,$L$2)</f>
        <v>-395.19</v>
      </c>
      <c r="M342" s="253"/>
      <c r="N342" s="276">
        <f t="shared" si="91"/>
        <v>-1036.3759122097222</v>
      </c>
      <c r="O342" s="253"/>
      <c r="P342" s="41"/>
      <c r="Q342" s="256" cm="1">
        <f t="array" ref="Q342">+SUMPRODUCT(('Réel 2023'!$A$8:$A$501=$A342)*('Réel 2023'!$C$3:$AO$3=Q$2),'Réel 2023'!$C$8:$AO$501)</f>
        <v>14.919999999999987</v>
      </c>
      <c r="R342" s="253"/>
      <c r="S342" s="276">
        <f t="shared" si="92"/>
        <v>-410.11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875.0579607347222</v>
      </c>
      <c r="G343" s="298"/>
      <c r="H343" s="41"/>
      <c r="I343" s="254"/>
      <c r="J343" s="253"/>
      <c r="K343" s="41"/>
      <c r="L343" s="256">
        <f>SUMIFS(BV_Data_An_Cour!$P:$P,BV_Data_An_Cour!$U:$U,$B343,BV_Data_An_Cour!$V:$V,$C343,BV_Data_An_Cour!$W:$W,$L$2)</f>
        <v>599.08000000000004</v>
      </c>
      <c r="M343" s="253"/>
      <c r="N343" s="276">
        <f t="shared" si="91"/>
        <v>-275.97796073472216</v>
      </c>
      <c r="O343" s="253"/>
      <c r="P343" s="41"/>
      <c r="Q343" s="256" cm="1">
        <f t="array" ref="Q343">+SUMPRODUCT(('Réel 2023'!$A$8:$A$501=$A343)*('Réel 2023'!$C$3:$AO$3=Q$2),'Réel 2023'!$C$8:$AO$501)</f>
        <v>807.52</v>
      </c>
      <c r="R343" s="253"/>
      <c r="S343" s="276">
        <f t="shared" si="92"/>
        <v>-208.43999999999994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3289.0361319330968</v>
      </c>
      <c r="G344" s="298"/>
      <c r="H344" s="41"/>
      <c r="I344" s="254"/>
      <c r="J344" s="253"/>
      <c r="K344" s="41"/>
      <c r="L344" s="256">
        <f>SUMIFS(BV_Data_An_Cour!$P:$P,BV_Data_An_Cour!$U:$U,$B344,BV_Data_An_Cour!$V:$V,$C344,BV_Data_An_Cour!$W:$W,$L$2)</f>
        <v>681.5</v>
      </c>
      <c r="M344" s="253"/>
      <c r="N344" s="276">
        <f t="shared" si="91"/>
        <v>-2607.5361319330968</v>
      </c>
      <c r="O344" s="253"/>
      <c r="P344" s="41"/>
      <c r="Q344" s="256" cm="1">
        <f t="array" ref="Q344">+SUMPRODUCT(('Réel 2023'!$A$8:$A$501=$A344)*('Réel 2023'!$C$3:$AO$3=Q$2),'Réel 2023'!$C$8:$AO$501)</f>
        <v>5303.25</v>
      </c>
      <c r="R344" s="253"/>
      <c r="S344" s="276">
        <f t="shared" si="92"/>
        <v>-4621.75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5918.6433959185815</v>
      </c>
      <c r="G345" s="298"/>
      <c r="H345" s="41"/>
      <c r="I345" s="254"/>
      <c r="J345" s="253"/>
      <c r="K345" s="41"/>
      <c r="L345" s="256">
        <f>SUMIFS(BV_Data_An_Cour!$P:$P,BV_Data_An_Cour!$U:$U,$B345,BV_Data_An_Cour!$V:$V,$C345,BV_Data_An_Cour!$W:$W,L$2)</f>
        <v>5785.39</v>
      </c>
      <c r="M345" s="253"/>
      <c r="N345" s="276">
        <f t="shared" si="91"/>
        <v>-133.25339591858119</v>
      </c>
      <c r="O345" s="253"/>
      <c r="P345" s="41"/>
      <c r="Q345" s="256" cm="1">
        <f t="array" ref="Q345">+SUMPRODUCT(('Réel 2023'!$A$8:$A$501=$A345)*('Réel 2023'!$C$3:$AO$3=Q$2),'Réel 2023'!$C$8:$AO$501)</f>
        <v>4003.45</v>
      </c>
      <c r="R345" s="253"/>
      <c r="S345" s="276">
        <f t="shared" si="92"/>
        <v>1781.9400000000005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0.24196098202499153</v>
      </c>
      <c r="F349" s="307">
        <f>+SUM(F331:F348)</f>
        <v>110278.70863116226</v>
      </c>
      <c r="G349" s="308"/>
      <c r="H349" s="306"/>
      <c r="I349" s="307"/>
      <c r="J349" s="308" t="s">
        <v>119</v>
      </c>
      <c r="K349" s="306">
        <f>L349/L$314</f>
        <v>0.23805204233371857</v>
      </c>
      <c r="L349" s="307">
        <f>+SUM(L331:L348)</f>
        <v>105107.98000000001</v>
      </c>
      <c r="M349" s="311"/>
      <c r="N349" s="307">
        <f>+SUM(N331:N348)</f>
        <v>-5170.7286311622656</v>
      </c>
      <c r="O349" s="308" t="s">
        <v>119</v>
      </c>
      <c r="P349" s="306">
        <f>Q349/Q$314</f>
        <v>0.28504967234227518</v>
      </c>
      <c r="Q349" s="307">
        <f>+SUM(Q331:Q348)</f>
        <v>120960.78</v>
      </c>
      <c r="R349" s="311"/>
      <c r="S349" s="307">
        <f>+SUM(S331:S348)</f>
        <v>-15852.799999999997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0.66848527870683028</v>
      </c>
      <c r="F351" s="307">
        <f>F330+F349</f>
        <v>304675.9550145879</v>
      </c>
      <c r="G351" s="308"/>
      <c r="H351" s="306"/>
      <c r="I351" s="307"/>
      <c r="J351" s="308" t="s">
        <v>119</v>
      </c>
      <c r="K351" s="306">
        <f>L351/L$314</f>
        <v>0.67895984908238693</v>
      </c>
      <c r="L351" s="307">
        <f>L330+L349</f>
        <v>299783.59999999998</v>
      </c>
      <c r="M351" s="311"/>
      <c r="N351" s="320">
        <f>L351-F351</f>
        <v>-4892.3550145879271</v>
      </c>
      <c r="O351" s="308" t="s">
        <v>119</v>
      </c>
      <c r="P351" s="306">
        <f>Q351/Q$314</f>
        <v>0.71190274778712737</v>
      </c>
      <c r="Q351" s="307">
        <f>Q330+Q349</f>
        <v>302095.80999999994</v>
      </c>
      <c r="R351" s="311"/>
      <c r="S351" s="320">
        <f>L351-Q351</f>
        <v>-2312.2099999999627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151094.6725809467</v>
      </c>
      <c r="G353" s="361"/>
      <c r="H353" s="333"/>
      <c r="I353" s="335"/>
      <c r="J353" s="332"/>
      <c r="K353" s="334"/>
      <c r="L353" s="335">
        <f>L314-L351</f>
        <v>141750.02000000002</v>
      </c>
      <c r="M353" s="332"/>
      <c r="N353" s="335">
        <f>L353-F353</f>
        <v>-9344.6525809466839</v>
      </c>
      <c r="O353" s="332"/>
      <c r="P353" s="334"/>
      <c r="Q353" s="335">
        <f>Q314-Q351</f>
        <v>122254.01999999944</v>
      </c>
      <c r="R353" s="332"/>
      <c r="S353" s="335">
        <f>L353-Q353</f>
        <v>19496.000000000582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3">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Avril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06" t="s">
        <v>343</v>
      </c>
      <c r="E358" s="1207"/>
      <c r="F358" s="1208"/>
      <c r="G358" s="1211"/>
      <c r="H358" s="1207"/>
      <c r="I358" s="1208"/>
      <c r="J358" s="1211" t="s">
        <v>344</v>
      </c>
      <c r="K358" s="1207"/>
      <c r="L358" s="1208"/>
      <c r="M358" s="1211"/>
      <c r="N358" s="1208"/>
      <c r="O358" s="1211" t="s">
        <v>345</v>
      </c>
      <c r="P358" s="1207"/>
      <c r="Q358" s="1208"/>
      <c r="R358" s="1211" t="s">
        <v>346</v>
      </c>
      <c r="S358" s="120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4"/>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5"/>
      <c r="N402" s="615"/>
      <c r="O402" s="615"/>
      <c r="P402" s="38"/>
      <c r="Q402" s="616"/>
      <c r="R402" s="38"/>
      <c r="U402" s="617"/>
      <c r="V402" s="949" t="str">
        <f>C1</f>
        <v>Volks</v>
      </c>
      <c r="W402" s="36"/>
      <c r="X402" s="36"/>
      <c r="Y402" s="36"/>
      <c r="Z402" s="36"/>
      <c r="AA402" s="36"/>
      <c r="AB402" s="36"/>
      <c r="AC402" s="36"/>
      <c r="AD402" s="36"/>
      <c r="AE402" s="9" t="s">
        <v>3311</v>
      </c>
      <c r="AF402" s="36"/>
      <c r="AG402" s="36"/>
      <c r="AH402" s="36"/>
      <c r="AI402" s="36"/>
      <c r="AJ402" s="957"/>
      <c r="AK402" s="958"/>
      <c r="AL402" s="959"/>
      <c r="AM402" s="959"/>
      <c r="AN402" s="959"/>
      <c r="AO402" s="961" t="str">
        <f>$S$1</f>
        <v>Réalisé AAJ, Avril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5"/>
      <c r="N403" s="615"/>
      <c r="O403" s="615"/>
      <c r="P403" s="557"/>
      <c r="Q403" s="616"/>
      <c r="R403" s="38"/>
      <c r="S403" s="618"/>
      <c r="T403" s="618"/>
      <c r="U403" s="617"/>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5"/>
      <c r="N404" s="615"/>
      <c r="O404" s="615"/>
      <c r="P404" s="557"/>
      <c r="Q404" s="616"/>
      <c r="R404" s="38"/>
      <c r="S404" s="618"/>
      <c r="T404" s="618"/>
      <c r="U404" s="617"/>
      <c r="V404" s="435"/>
      <c r="W404" s="436"/>
      <c r="X404" s="1215" t="s">
        <v>600</v>
      </c>
      <c r="Y404" s="1213"/>
      <c r="Z404" s="1216"/>
      <c r="AA404" s="1212"/>
      <c r="AB404" s="1213"/>
      <c r="AC404" s="1216"/>
      <c r="AD404" s="1212" t="s">
        <v>344</v>
      </c>
      <c r="AE404" s="1213"/>
      <c r="AF404" s="1216"/>
      <c r="AG404" s="1212" t="s">
        <v>3312</v>
      </c>
      <c r="AH404" s="1213"/>
      <c r="AI404" s="1216"/>
      <c r="AJ404" s="1212" t="s">
        <v>601</v>
      </c>
      <c r="AK404" s="1213"/>
      <c r="AL404" s="1213"/>
      <c r="AM404" s="1212" t="s">
        <v>602</v>
      </c>
      <c r="AN404" s="1213"/>
      <c r="AO404" s="1214"/>
      <c r="AP404" s="38"/>
      <c r="AQ404" s="619" t="s">
        <v>696</v>
      </c>
      <c r="AR404" s="620" t="s">
        <v>697</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21"/>
      <c r="N405" s="38"/>
      <c r="O405" s="621"/>
      <c r="P405" s="557"/>
      <c r="Q405" s="616"/>
      <c r="R405" s="38"/>
      <c r="S405" s="618"/>
      <c r="T405" s="618"/>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5"/>
      <c r="K406" s="617"/>
      <c r="L406" s="38"/>
      <c r="M406" s="615"/>
      <c r="N406" s="614"/>
      <c r="O406" s="614"/>
      <c r="P406" s="557"/>
      <c r="Q406" s="616"/>
      <c r="R406" s="38"/>
      <c r="S406" s="618"/>
      <c r="T406" s="618"/>
      <c r="U406" s="38"/>
      <c r="V406" s="313" t="s">
        <v>96</v>
      </c>
      <c r="W406" s="440"/>
      <c r="X406" s="440"/>
      <c r="Y406" s="440"/>
      <c r="Z406" s="441">
        <f>F5+F93+E194+E250+D314+D362</f>
        <v>18444449.697903473</v>
      </c>
      <c r="AA406" s="440"/>
      <c r="AB406" s="440"/>
      <c r="AC406" s="441"/>
      <c r="AD406" s="442"/>
      <c r="AE406" s="443"/>
      <c r="AF406" s="443">
        <f>L5+L93+K194+K250+J314+J362</f>
        <v>22110244.640000001</v>
      </c>
      <c r="AG406" s="442"/>
      <c r="AH406" s="443"/>
      <c r="AI406" s="444"/>
      <c r="AJ406" s="442"/>
      <c r="AK406" s="443"/>
      <c r="AL406" s="443">
        <f>Q5+Q93+P194+P250+O314+O362</f>
        <v>15273077.609999955</v>
      </c>
      <c r="AM406" s="445"/>
      <c r="AN406" s="443"/>
      <c r="AO406" s="446"/>
      <c r="AP406" s="38"/>
      <c r="AQ406" s="445">
        <v>54204064.640000001</v>
      </c>
      <c r="AR406" s="622">
        <f t="shared" ref="AR406:AR407" si="99">AF406-AQ406</f>
        <v>-32093820</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5"/>
      <c r="K407" s="617"/>
      <c r="L407" s="38"/>
      <c r="M407" s="615"/>
      <c r="N407" s="615"/>
      <c r="O407" s="615"/>
      <c r="P407" s="557"/>
      <c r="Q407" s="616"/>
      <c r="R407" s="38"/>
      <c r="U407" s="617"/>
      <c r="V407" s="447" t="s">
        <v>202</v>
      </c>
      <c r="W407" s="448"/>
      <c r="X407" s="475"/>
      <c r="Y407" s="448"/>
      <c r="Z407" s="449">
        <f>F27+F108+F194+F250+F314+F362</f>
        <v>2614517.8597283331</v>
      </c>
      <c r="AA407" s="448"/>
      <c r="AB407" s="448"/>
      <c r="AC407" s="449"/>
      <c r="AD407" s="475">
        <f>AF407/AF$406</f>
        <v>0.10459583499208182</v>
      </c>
      <c r="AE407" s="451"/>
      <c r="AF407" s="451">
        <f>L27+L108+L194+L250+L314+L362</f>
        <v>2312639.5000000014</v>
      </c>
      <c r="AG407" s="450"/>
      <c r="AH407" s="451">
        <f>AF407-Z407</f>
        <v>-301878.35972833168</v>
      </c>
      <c r="AI407" s="452">
        <f>AH407/Z407</f>
        <v>-0.11546234369946089</v>
      </c>
      <c r="AJ407" s="475">
        <f>+AL407/AL406</f>
        <v>0.13696511753664847</v>
      </c>
      <c r="AK407" s="451"/>
      <c r="AL407" s="451">
        <f>Q27+Q108+Q194+Q250+Q314+Q362</f>
        <v>2091878.869999998</v>
      </c>
      <c r="AM407" s="453"/>
      <c r="AN407" s="451">
        <f>AF407-AL407</f>
        <v>220760.63000000338</v>
      </c>
      <c r="AO407" s="454">
        <f>IF(AL407=0,0,AN407/AL407)</f>
        <v>0.10553222424394181</v>
      </c>
      <c r="AP407" s="94"/>
      <c r="AQ407" s="453">
        <v>7795760.1900000032</v>
      </c>
      <c r="AR407" s="623">
        <f t="shared" si="99"/>
        <v>-5483120.6900000013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7"/>
      <c r="L408" s="38"/>
      <c r="M408" s="615"/>
      <c r="N408" s="615"/>
      <c r="O408" s="615"/>
      <c r="P408" s="557"/>
      <c r="Q408" s="616"/>
      <c r="R408" s="38"/>
      <c r="S408" s="618"/>
      <c r="T408" s="618"/>
      <c r="U408" s="617"/>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5"/>
      <c r="K409" s="617"/>
      <c r="L409" s="38"/>
      <c r="M409" s="615"/>
      <c r="N409" s="615"/>
      <c r="O409" s="615"/>
      <c r="P409" s="557"/>
      <c r="Q409" s="616"/>
      <c r="R409" s="38"/>
      <c r="S409" s="618"/>
      <c r="T409" s="618"/>
      <c r="U409" s="617"/>
      <c r="V409" s="312" t="s">
        <v>111</v>
      </c>
      <c r="W409" s="463" t="s">
        <v>607</v>
      </c>
      <c r="X409" s="456"/>
      <c r="Y409" s="464">
        <f t="shared" ref="Y409:Y418" si="100">Z409/(D$13+D$97)</f>
        <v>819.73064038719463</v>
      </c>
      <c r="Z409" s="457">
        <f t="shared" ref="Z409:Z418" si="101">+SUMIF($C:$C,$V409,F:F)</f>
        <v>243341.13925214068</v>
      </c>
      <c r="AA409" s="456"/>
      <c r="AB409" s="464"/>
      <c r="AC409" s="457"/>
      <c r="AD409" s="465"/>
      <c r="AE409" s="464">
        <f t="shared" ref="AE409:AE414" si="102">IF(AF409=0,0,AF409/(J$13+J$97))</f>
        <v>712.5516863905325</v>
      </c>
      <c r="AF409" s="457">
        <f t="shared" ref="AF409:AF418" si="103">+SUMIF($C:$C,$V409,L:L)</f>
        <v>240842.47</v>
      </c>
      <c r="AG409" s="458">
        <f t="shared" ref="AG409:AG418" si="104">AE409-Y409</f>
        <v>-107.17895399666213</v>
      </c>
      <c r="AH409" s="459">
        <f t="shared" ref="AH409:AH418" si="105">AF409-Z409</f>
        <v>-2498.6692521406803</v>
      </c>
      <c r="AI409" s="460">
        <f t="shared" ref="AI409:AI418" si="106">IF(Z409=0,0,AH409/Z409)</f>
        <v>-1.0268174381938994E-2</v>
      </c>
      <c r="AJ409" s="465"/>
      <c r="AK409" s="459">
        <f t="shared" ref="AK409:AK418" si="107">AL409/(O$13+O$97)</f>
        <v>842.86236286919836</v>
      </c>
      <c r="AL409" s="457">
        <f t="shared" ref="AL409:AL418" si="108">+SUMIF($C:$C,$V409,Q:Q)</f>
        <v>199758.38</v>
      </c>
      <c r="AM409" s="461">
        <f t="shared" ref="AM409:AM418" si="109">AE409-Y409</f>
        <v>-107.17895399666213</v>
      </c>
      <c r="AN409" s="459">
        <f t="shared" ref="AN409:AN431" si="110">AF409-AL409</f>
        <v>41084.089999999997</v>
      </c>
      <c r="AO409" s="466">
        <f t="shared" ref="AO409:AO431" si="111">IF(AL409=0,0,AN409/AL409)</f>
        <v>0.20566891862058551</v>
      </c>
      <c r="AP409" s="94"/>
      <c r="AQ409" s="624">
        <v>778277.40999999992</v>
      </c>
      <c r="AR409" s="512">
        <f t="shared" ref="AR409:AR466" si="112">AF409-AQ409</f>
        <v>-537434.93999999994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5"/>
      <c r="K410" s="617"/>
      <c r="M410" s="621"/>
      <c r="N410" s="621"/>
      <c r="O410" s="621"/>
      <c r="Q410" s="616"/>
      <c r="R410" s="38"/>
      <c r="S410" s="618"/>
      <c r="T410" s="618"/>
      <c r="U410" s="38"/>
      <c r="V410" s="313" t="s">
        <v>112</v>
      </c>
      <c r="W410" s="467" t="s">
        <v>608</v>
      </c>
      <c r="X410" s="440"/>
      <c r="Y410" s="468">
        <f t="shared" si="100"/>
        <v>525.25643832847686</v>
      </c>
      <c r="Z410" s="441">
        <f t="shared" si="101"/>
        <v>155925</v>
      </c>
      <c r="AA410" s="440"/>
      <c r="AB410" s="468"/>
      <c r="AC410" s="441"/>
      <c r="AD410" s="469"/>
      <c r="AE410" s="468">
        <f t="shared" si="102"/>
        <v>308.39547337278105</v>
      </c>
      <c r="AF410" s="441">
        <f t="shared" si="103"/>
        <v>104237.67</v>
      </c>
      <c r="AG410" s="442">
        <f t="shared" si="104"/>
        <v>-216.86096495569581</v>
      </c>
      <c r="AH410" s="443">
        <f t="shared" si="105"/>
        <v>-51687.33</v>
      </c>
      <c r="AI410" s="470">
        <f t="shared" si="106"/>
        <v>-0.33148840788840789</v>
      </c>
      <c r="AJ410" s="469"/>
      <c r="AK410" s="443">
        <f t="shared" si="107"/>
        <v>497.96223628691985</v>
      </c>
      <c r="AL410" s="441">
        <f t="shared" si="108"/>
        <v>118017.05</v>
      </c>
      <c r="AM410" s="445">
        <f t="shared" si="109"/>
        <v>-216.86096495569581</v>
      </c>
      <c r="AN410" s="443">
        <f t="shared" si="110"/>
        <v>-13779.380000000005</v>
      </c>
      <c r="AO410" s="446">
        <f t="shared" si="111"/>
        <v>-0.11675753630513561</v>
      </c>
      <c r="AP410" s="94"/>
      <c r="AQ410" s="625">
        <v>469053.9</v>
      </c>
      <c r="AR410" s="622">
        <f t="shared" si="112"/>
        <v>-364816.23000000004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5"/>
      <c r="K411" s="38"/>
      <c r="L411" s="38"/>
      <c r="M411" s="621"/>
      <c r="N411" s="614"/>
      <c r="O411" s="614"/>
      <c r="P411" s="557"/>
      <c r="Q411" s="616"/>
      <c r="R411" s="38"/>
      <c r="S411" s="618"/>
      <c r="T411" s="618"/>
      <c r="U411" s="38"/>
      <c r="V411" s="312" t="s">
        <v>113</v>
      </c>
      <c r="W411" s="463" t="s">
        <v>609</v>
      </c>
      <c r="X411" s="456"/>
      <c r="Y411" s="464">
        <f t="shared" si="100"/>
        <v>74.374694716275613</v>
      </c>
      <c r="Z411" s="457">
        <f t="shared" si="101"/>
        <v>22078.5</v>
      </c>
      <c r="AA411" s="456"/>
      <c r="AB411" s="464"/>
      <c r="AC411" s="457"/>
      <c r="AD411" s="465"/>
      <c r="AE411" s="464">
        <f t="shared" si="102"/>
        <v>89.461745562130176</v>
      </c>
      <c r="AF411" s="457">
        <f t="shared" si="103"/>
        <v>30238.07</v>
      </c>
      <c r="AG411" s="458">
        <f t="shared" si="104"/>
        <v>15.087050845854563</v>
      </c>
      <c r="AH411" s="459">
        <f t="shared" si="105"/>
        <v>8159.57</v>
      </c>
      <c r="AI411" s="460">
        <f t="shared" si="106"/>
        <v>0.36957084946894037</v>
      </c>
      <c r="AJ411" s="465"/>
      <c r="AK411" s="459">
        <f t="shared" si="107"/>
        <v>64.417468354430369</v>
      </c>
      <c r="AL411" s="457">
        <f t="shared" si="108"/>
        <v>15266.939999999999</v>
      </c>
      <c r="AM411" s="461">
        <f t="shared" si="109"/>
        <v>15.087050845854563</v>
      </c>
      <c r="AN411" s="459">
        <f t="shared" si="110"/>
        <v>14971.130000000001</v>
      </c>
      <c r="AO411" s="466">
        <f t="shared" si="111"/>
        <v>0.98062414603057335</v>
      </c>
      <c r="AP411" s="94"/>
      <c r="AQ411" s="624">
        <v>56454.65</v>
      </c>
      <c r="AR411" s="512">
        <f t="shared" si="112"/>
        <v>-26216.58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5"/>
      <c r="N412" s="615"/>
      <c r="O412" s="615"/>
      <c r="P412" s="557"/>
      <c r="Q412" s="616"/>
      <c r="R412" s="38"/>
      <c r="U412" s="617"/>
      <c r="V412" s="312" t="s">
        <v>114</v>
      </c>
      <c r="W412" s="463" t="s">
        <v>610</v>
      </c>
      <c r="X412" s="456"/>
      <c r="Y412" s="464">
        <f t="shared" si="100"/>
        <v>4.8790655370467064</v>
      </c>
      <c r="Z412" s="457">
        <f t="shared" si="101"/>
        <v>1448.375</v>
      </c>
      <c r="AA412" s="456"/>
      <c r="AB412" s="464"/>
      <c r="AC412" s="457"/>
      <c r="AD412" s="465"/>
      <c r="AE412" s="464">
        <f t="shared" si="102"/>
        <v>22.328609467455621</v>
      </c>
      <c r="AF412" s="457">
        <f t="shared" si="103"/>
        <v>7547.07</v>
      </c>
      <c r="AG412" s="458">
        <f t="shared" si="104"/>
        <v>17.449543930408915</v>
      </c>
      <c r="AH412" s="459">
        <f t="shared" si="105"/>
        <v>6098.6949999999997</v>
      </c>
      <c r="AI412" s="460">
        <f t="shared" si="106"/>
        <v>4.2107154569776473</v>
      </c>
      <c r="AJ412" s="465"/>
      <c r="AK412" s="459">
        <f t="shared" si="107"/>
        <v>-5.1641772151898726</v>
      </c>
      <c r="AL412" s="457">
        <f t="shared" si="108"/>
        <v>-1223.9099999999999</v>
      </c>
      <c r="AM412" s="461">
        <f t="shared" si="109"/>
        <v>17.449543930408915</v>
      </c>
      <c r="AN412" s="459">
        <f t="shared" si="110"/>
        <v>8770.98</v>
      </c>
      <c r="AO412" s="466">
        <f t="shared" si="111"/>
        <v>-7.1663602715885979</v>
      </c>
      <c r="AP412" s="94"/>
      <c r="AQ412" s="624">
        <v>3117.25</v>
      </c>
      <c r="AR412" s="512">
        <f t="shared" si="112"/>
        <v>4429.82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5"/>
      <c r="N413" s="615"/>
      <c r="O413" s="615"/>
      <c r="P413" s="557"/>
      <c r="Q413" s="616"/>
      <c r="R413" s="38"/>
      <c r="S413" s="618"/>
      <c r="T413" s="618"/>
      <c r="U413" s="617"/>
      <c r="V413" s="313" t="s">
        <v>115</v>
      </c>
      <c r="W413" s="467"/>
      <c r="X413" s="440"/>
      <c r="Y413" s="468">
        <f t="shared" si="100"/>
        <v>122.42608849438277</v>
      </c>
      <c r="Z413" s="441">
        <f t="shared" si="101"/>
        <v>36342.796499999997</v>
      </c>
      <c r="AA413" s="440"/>
      <c r="AB413" s="468"/>
      <c r="AC413" s="441"/>
      <c r="AD413" s="469"/>
      <c r="AE413" s="468">
        <f t="shared" si="102"/>
        <v>136.40887573964497</v>
      </c>
      <c r="AF413" s="441">
        <f t="shared" si="103"/>
        <v>46106.2</v>
      </c>
      <c r="AG413" s="442">
        <f t="shared" si="104"/>
        <v>13.982787245262202</v>
      </c>
      <c r="AH413" s="443">
        <f t="shared" si="105"/>
        <v>9763.4035000000003</v>
      </c>
      <c r="AI413" s="470">
        <f t="shared" si="106"/>
        <v>0.26864755715757871</v>
      </c>
      <c r="AJ413" s="469"/>
      <c r="AK413" s="443">
        <f t="shared" si="107"/>
        <v>117.7431223628692</v>
      </c>
      <c r="AL413" s="441">
        <f t="shared" si="108"/>
        <v>27905.119999999999</v>
      </c>
      <c r="AM413" s="445">
        <f t="shared" si="109"/>
        <v>13.982787245262202</v>
      </c>
      <c r="AN413" s="443">
        <f t="shared" si="110"/>
        <v>18201.079999999998</v>
      </c>
      <c r="AO413" s="446">
        <f t="shared" si="111"/>
        <v>0.65224876295102829</v>
      </c>
      <c r="AP413" s="94"/>
      <c r="AQ413" s="625">
        <v>111419.39000000001</v>
      </c>
      <c r="AR413" s="622">
        <f t="shared" si="112"/>
        <v>-65313.190000000017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5"/>
      <c r="N414" s="615"/>
      <c r="O414" s="615"/>
      <c r="P414" s="557"/>
      <c r="Q414" s="616"/>
      <c r="R414" s="38"/>
      <c r="S414" s="618"/>
      <c r="T414" s="618"/>
      <c r="U414" s="617"/>
      <c r="V414" s="312" t="s">
        <v>116</v>
      </c>
      <c r="W414" s="463" t="s">
        <v>611</v>
      </c>
      <c r="X414" s="460"/>
      <c r="Y414" s="464">
        <f t="shared" si="100"/>
        <v>261.18306917518652</v>
      </c>
      <c r="Z414" s="457">
        <f t="shared" si="101"/>
        <v>77533.5</v>
      </c>
      <c r="AA414" s="460"/>
      <c r="AB414" s="464"/>
      <c r="AC414" s="457"/>
      <c r="AD414" s="465"/>
      <c r="AE414" s="464">
        <f t="shared" si="102"/>
        <v>220.51186390532544</v>
      </c>
      <c r="AF414" s="457">
        <f t="shared" si="103"/>
        <v>74533.009999999995</v>
      </c>
      <c r="AG414" s="458">
        <f t="shared" si="104"/>
        <v>-40.671205269861076</v>
      </c>
      <c r="AH414" s="459">
        <f t="shared" si="105"/>
        <v>-3000.4900000000052</v>
      </c>
      <c r="AI414" s="460">
        <f t="shared" si="106"/>
        <v>-3.8699271927618455E-2</v>
      </c>
      <c r="AJ414" s="465"/>
      <c r="AK414" s="459">
        <f t="shared" si="107"/>
        <v>224.85734177215187</v>
      </c>
      <c r="AL414" s="457">
        <f t="shared" si="108"/>
        <v>53291.189999999995</v>
      </c>
      <c r="AM414" s="461">
        <f t="shared" si="109"/>
        <v>-40.671205269861076</v>
      </c>
      <c r="AN414" s="459">
        <f t="shared" si="110"/>
        <v>21241.82</v>
      </c>
      <c r="AO414" s="466">
        <f t="shared" si="111"/>
        <v>0.39859909302081642</v>
      </c>
      <c r="AP414" s="94"/>
      <c r="AQ414" s="624">
        <v>186022.03999999998</v>
      </c>
      <c r="AR414" s="512">
        <f t="shared" si="112"/>
        <v>-111489.02999999998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5"/>
      <c r="N415" s="615"/>
      <c r="O415" s="615"/>
      <c r="Q415" s="616"/>
      <c r="R415" s="38"/>
      <c r="S415" s="618"/>
      <c r="T415" s="618"/>
      <c r="U415" s="38"/>
      <c r="V415" s="312" t="s">
        <v>117</v>
      </c>
      <c r="W415" s="463" t="s">
        <v>612</v>
      </c>
      <c r="X415" s="456"/>
      <c r="Y415" s="464">
        <f t="shared" si="100"/>
        <v>337.10859884124301</v>
      </c>
      <c r="Z415" s="457">
        <f t="shared" si="101"/>
        <v>100072.37310901721</v>
      </c>
      <c r="AA415" s="456"/>
      <c r="AB415" s="464"/>
      <c r="AC415" s="457"/>
      <c r="AD415" s="465"/>
      <c r="AE415" s="464">
        <f t="shared" ref="AE415:AE418" si="113">IF(AF415=0,0,AF415/(J$13+J$13))</f>
        <v>303.84100393700783</v>
      </c>
      <c r="AF415" s="457">
        <f t="shared" si="103"/>
        <v>154351.22999999998</v>
      </c>
      <c r="AG415" s="458">
        <f t="shared" si="104"/>
        <v>-33.267594904235182</v>
      </c>
      <c r="AH415" s="459">
        <f t="shared" si="105"/>
        <v>54278.856890982774</v>
      </c>
      <c r="AI415" s="460">
        <f t="shared" si="106"/>
        <v>0.54239602004693421</v>
      </c>
      <c r="AJ415" s="465"/>
      <c r="AK415" s="459">
        <f t="shared" si="107"/>
        <v>134.4336286919831</v>
      </c>
      <c r="AL415" s="457">
        <f t="shared" si="108"/>
        <v>31860.769999999997</v>
      </c>
      <c r="AM415" s="461">
        <f t="shared" si="109"/>
        <v>-33.267594904235182</v>
      </c>
      <c r="AN415" s="459">
        <f t="shared" si="110"/>
        <v>122490.45999999999</v>
      </c>
      <c r="AO415" s="466">
        <f t="shared" si="111"/>
        <v>3.844554290433031</v>
      </c>
      <c r="AP415" s="94"/>
      <c r="AQ415" s="624">
        <v>67811.08</v>
      </c>
      <c r="AR415" s="512">
        <f t="shared" si="112"/>
        <v>86540.14999999998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4"/>
      <c r="P416" s="557"/>
      <c r="Q416" s="616"/>
      <c r="R416" s="38"/>
      <c r="S416" s="618"/>
      <c r="T416" s="618"/>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4">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4"/>
      <c r="P417" s="557"/>
      <c r="Q417" s="616"/>
      <c r="R417" s="38"/>
      <c r="S417" s="618"/>
      <c r="T417" s="618"/>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4">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4"/>
      <c r="P418" s="557"/>
      <c r="Q418" s="616"/>
      <c r="R418" s="38"/>
      <c r="S418" s="618"/>
      <c r="T418" s="618"/>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4">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5"/>
      <c r="N419" s="614"/>
      <c r="O419" s="614"/>
      <c r="P419" s="557"/>
      <c r="Q419" s="616"/>
      <c r="R419" s="38"/>
      <c r="S419" s="618"/>
      <c r="T419" s="618"/>
      <c r="U419" s="38"/>
      <c r="V419" s="471" t="s">
        <v>118</v>
      </c>
      <c r="W419" s="472"/>
      <c r="X419" s="473">
        <f>Z419/Z407</f>
        <v>0.24354076660517432</v>
      </c>
      <c r="Y419" s="472"/>
      <c r="Z419" s="474">
        <f>SUM(Z409:Z418)</f>
        <v>636741.68386115786</v>
      </c>
      <c r="AA419" s="473"/>
      <c r="AB419" s="472"/>
      <c r="AC419" s="474"/>
      <c r="AD419" s="475">
        <f>AF419/AF$407</f>
        <v>0.28446098927221453</v>
      </c>
      <c r="AE419" s="472"/>
      <c r="AF419" s="474">
        <f>SUM(AF409:AF418)</f>
        <v>657855.72</v>
      </c>
      <c r="AG419" s="476"/>
      <c r="AH419" s="477">
        <f t="shared" ref="AH419:AH451" si="114">AF419-Z419</f>
        <v>21114.036138842115</v>
      </c>
      <c r="AI419" s="473">
        <f>AH419/Z419</f>
        <v>3.3159500428506655E-2</v>
      </c>
      <c r="AJ419" s="475">
        <f>IF($AL$407=0,0,AL419/$AL$407)</f>
        <v>0.2126679256528847</v>
      </c>
      <c r="AK419" s="472"/>
      <c r="AL419" s="474">
        <f>SUM(AL409:AL418)</f>
        <v>444875.54000000004</v>
      </c>
      <c r="AM419" s="478"/>
      <c r="AN419" s="477">
        <f t="shared" si="110"/>
        <v>212980.17999999993</v>
      </c>
      <c r="AO419" s="454">
        <f t="shared" si="111"/>
        <v>0.47874104294428038</v>
      </c>
      <c r="AP419" s="94"/>
      <c r="AQ419" s="626">
        <v>1672155.7200000002</v>
      </c>
      <c r="AR419" s="627">
        <f t="shared" si="112"/>
        <v>-1014300.0000000002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7"/>
      <c r="N420" s="557"/>
      <c r="O420" s="557"/>
      <c r="P420" s="557"/>
      <c r="Q420" s="616"/>
      <c r="R420" s="38"/>
      <c r="U420" s="617"/>
      <c r="V420" s="312" t="s">
        <v>204</v>
      </c>
      <c r="W420" s="463" t="s">
        <v>613</v>
      </c>
      <c r="X420" s="456"/>
      <c r="Y420" s="456"/>
      <c r="Z420" s="457" cm="1">
        <f t="array" ref="Z420">+SUMPRODUCT(('Budget original'!$A$8:$A$501=$A420)*('Budget original'!$C$3:$AO$3=Z$2),'Budget original'!$C$8:$AO$501)</f>
        <v>56548.799999999988</v>
      </c>
      <c r="AA420" s="456"/>
      <c r="AB420" s="456"/>
      <c r="AC420" s="457"/>
      <c r="AD420" s="465"/>
      <c r="AE420" s="464"/>
      <c r="AF420" s="457">
        <f>SUMIFS(BV_Data_An_Cour!$P:$P,BV_Data_An_Cour!$V:$V,$V420)</f>
        <v>62683.899999999994</v>
      </c>
      <c r="AG420" s="458"/>
      <c r="AH420" s="459">
        <f t="shared" si="114"/>
        <v>6135.1000000000058</v>
      </c>
      <c r="AI420" s="460">
        <f t="shared" ref="AI420:AI432" si="115">IF(Z420=0,0,AH420/Z420)</f>
        <v>0.10849213422742847</v>
      </c>
      <c r="AJ420" s="465"/>
      <c r="AK420" s="456"/>
      <c r="AL420" s="457" cm="1">
        <f t="array" ref="AL420">+SUMPRODUCT(('Réel 2023'!$A$8:$A$501=$A420)*('Réel 2023'!$C$3:$AO$3=Z$2),'Réel 2023'!$C$8:$AO$501)</f>
        <v>72360.549999999901</v>
      </c>
      <c r="AM420" s="461"/>
      <c r="AN420" s="459">
        <f t="shared" si="110"/>
        <v>-9676.6499999999069</v>
      </c>
      <c r="AO420" s="466">
        <f t="shared" si="111"/>
        <v>-0.13372825386208259</v>
      </c>
      <c r="AP420" s="94"/>
      <c r="AQ420" s="624">
        <v>196581.69999999998</v>
      </c>
      <c r="AR420" s="512">
        <f t="shared" si="112"/>
        <v>-133897.79999999999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7"/>
      <c r="N421" s="557"/>
      <c r="O421" s="557"/>
      <c r="P421" s="557"/>
      <c r="Q421" s="616"/>
      <c r="R421" s="38"/>
      <c r="S421" s="618"/>
      <c r="T421" s="618"/>
      <c r="U421" s="617"/>
      <c r="V421" s="312" t="s">
        <v>120</v>
      </c>
      <c r="W421" s="463" t="s">
        <v>614</v>
      </c>
      <c r="X421" s="456"/>
      <c r="Y421" s="456"/>
      <c r="Z421" s="457">
        <f t="shared" ref="Z421:Z432" si="116">+SUMIF($C:$C,$V421,F:F)</f>
        <v>222287.83974358978</v>
      </c>
      <c r="AA421" s="456"/>
      <c r="AB421" s="456"/>
      <c r="AC421" s="457"/>
      <c r="AD421" s="465"/>
      <c r="AE421" s="464"/>
      <c r="AF421" s="457">
        <f t="shared" ref="AF421:AF432" si="117">+SUMIF($C:$C,$V421,L:L)</f>
        <v>205564.38</v>
      </c>
      <c r="AG421" s="458"/>
      <c r="AH421" s="459">
        <f t="shared" si="114"/>
        <v>-16723.459743589774</v>
      </c>
      <c r="AI421" s="460">
        <f t="shared" si="115"/>
        <v>-7.5233354028184249E-2</v>
      </c>
      <c r="AJ421" s="465"/>
      <c r="AK421" s="456"/>
      <c r="AL421" s="457">
        <f t="shared" ref="AL421:AL432" si="118">+SUMIF($C:$C,$V421,Q:Q)</f>
        <v>135257.96000000002</v>
      </c>
      <c r="AM421" s="461"/>
      <c r="AN421" s="459">
        <f t="shared" si="110"/>
        <v>70306.419999999984</v>
      </c>
      <c r="AO421" s="466">
        <f t="shared" si="111"/>
        <v>0.51979506418697996</v>
      </c>
      <c r="AP421" s="94"/>
      <c r="AQ421" s="624">
        <v>480874.87</v>
      </c>
      <c r="AR421" s="512">
        <f t="shared" si="112"/>
        <v>-275310.49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7"/>
      <c r="N422" s="557"/>
      <c r="O422" s="557"/>
      <c r="P422" s="557"/>
      <c r="Q422" s="616"/>
      <c r="R422" s="38"/>
      <c r="S422" s="618"/>
      <c r="T422" s="618"/>
      <c r="U422" s="617"/>
      <c r="V422" s="313" t="s">
        <v>121</v>
      </c>
      <c r="W422" s="467" t="s">
        <v>615</v>
      </c>
      <c r="X422" s="440"/>
      <c r="Y422" s="440"/>
      <c r="Z422" s="441">
        <f t="shared" si="116"/>
        <v>234206.5446153846</v>
      </c>
      <c r="AA422" s="440"/>
      <c r="AB422" s="440"/>
      <c r="AC422" s="441"/>
      <c r="AD422" s="469"/>
      <c r="AE422" s="468"/>
      <c r="AF422" s="441">
        <f t="shared" si="117"/>
        <v>181738.83999999997</v>
      </c>
      <c r="AG422" s="442"/>
      <c r="AH422" s="443">
        <f t="shared" si="114"/>
        <v>-52467.704615384631</v>
      </c>
      <c r="AI422" s="470">
        <f t="shared" si="115"/>
        <v>-0.22402322147550321</v>
      </c>
      <c r="AJ422" s="469"/>
      <c r="AK422" s="440"/>
      <c r="AL422" s="441">
        <f t="shared" si="118"/>
        <v>187076.95</v>
      </c>
      <c r="AM422" s="445"/>
      <c r="AN422" s="443">
        <f t="shared" si="110"/>
        <v>-5338.1100000000442</v>
      </c>
      <c r="AO422" s="446">
        <f t="shared" si="111"/>
        <v>-2.8534300992185537E-2</v>
      </c>
      <c r="AP422" s="94"/>
      <c r="AQ422" s="625">
        <v>263830.23</v>
      </c>
      <c r="AR422" s="622">
        <f t="shared" si="112"/>
        <v>-82091.390000000014</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7"/>
      <c r="N423" s="557"/>
      <c r="O423" s="557"/>
      <c r="Q423" s="616"/>
      <c r="R423" s="38"/>
      <c r="S423" s="618"/>
      <c r="T423" s="618"/>
      <c r="U423" s="38"/>
      <c r="V423" s="312" t="s">
        <v>122</v>
      </c>
      <c r="W423" s="463" t="s">
        <v>616</v>
      </c>
      <c r="X423" s="456"/>
      <c r="Y423" s="456"/>
      <c r="Z423" s="457">
        <f t="shared" si="116"/>
        <v>109960.2</v>
      </c>
      <c r="AA423" s="456"/>
      <c r="AB423" s="456"/>
      <c r="AC423" s="457"/>
      <c r="AD423" s="465"/>
      <c r="AE423" s="464"/>
      <c r="AF423" s="457">
        <f t="shared" si="117"/>
        <v>108973.54000000001</v>
      </c>
      <c r="AG423" s="458"/>
      <c r="AH423" s="459">
        <f t="shared" si="114"/>
        <v>-986.65999999998894</v>
      </c>
      <c r="AI423" s="460">
        <f t="shared" si="115"/>
        <v>-8.9728829158185319E-3</v>
      </c>
      <c r="AJ423" s="465"/>
      <c r="AK423" s="456"/>
      <c r="AL423" s="457">
        <f t="shared" si="118"/>
        <v>130946.54</v>
      </c>
      <c r="AM423" s="461"/>
      <c r="AN423" s="459">
        <f t="shared" si="110"/>
        <v>-21972.999999999985</v>
      </c>
      <c r="AO423" s="466">
        <f t="shared" si="111"/>
        <v>-0.16780130273010641</v>
      </c>
      <c r="AP423" s="94"/>
      <c r="AQ423" s="624">
        <v>653651.56000000006</v>
      </c>
      <c r="AR423" s="512">
        <f t="shared" si="112"/>
        <v>-544678.02</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7"/>
      <c r="N424" s="614"/>
      <c r="O424" s="614"/>
      <c r="P424" s="557"/>
      <c r="Q424" s="616"/>
      <c r="R424" s="38"/>
      <c r="S424" s="618"/>
      <c r="T424" s="618"/>
      <c r="U424" s="38"/>
      <c r="V424" s="312" t="s">
        <v>123</v>
      </c>
      <c r="W424" s="463" t="s">
        <v>617</v>
      </c>
      <c r="X424" s="456"/>
      <c r="Y424" s="456"/>
      <c r="Z424" s="457">
        <f t="shared" si="116"/>
        <v>111368.59511172348</v>
      </c>
      <c r="AA424" s="456"/>
      <c r="AB424" s="456"/>
      <c r="AC424" s="457"/>
      <c r="AD424" s="465"/>
      <c r="AE424" s="464"/>
      <c r="AF424" s="457">
        <f t="shared" si="117"/>
        <v>108091</v>
      </c>
      <c r="AG424" s="458"/>
      <c r="AH424" s="459">
        <f t="shared" si="114"/>
        <v>-3277.5951117234799</v>
      </c>
      <c r="AI424" s="460">
        <f t="shared" si="115"/>
        <v>-2.943015585709275E-2</v>
      </c>
      <c r="AJ424" s="465"/>
      <c r="AK424" s="456"/>
      <c r="AL424" s="457">
        <f t="shared" si="118"/>
        <v>122944.09999999999</v>
      </c>
      <c r="AM424" s="461"/>
      <c r="AN424" s="459">
        <f t="shared" si="110"/>
        <v>-14853.099999999991</v>
      </c>
      <c r="AO424" s="466">
        <f t="shared" si="111"/>
        <v>-0.12081181610178929</v>
      </c>
      <c r="AP424" s="94"/>
      <c r="AQ424" s="624">
        <v>399727.32999999996</v>
      </c>
      <c r="AR424" s="512">
        <f t="shared" si="112"/>
        <v>-291636.32999999996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7"/>
      <c r="N425" s="94"/>
      <c r="O425" s="614"/>
      <c r="P425" s="557"/>
      <c r="Q425" s="616"/>
      <c r="R425" s="38"/>
      <c r="S425" s="618"/>
      <c r="T425" s="618"/>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4">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7"/>
      <c r="N426" s="94"/>
      <c r="O426" s="614"/>
      <c r="P426" s="557"/>
      <c r="Q426" s="616"/>
      <c r="R426" s="38"/>
      <c r="S426" s="618"/>
      <c r="T426" s="618"/>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4">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7"/>
      <c r="N427" s="94"/>
      <c r="O427" s="614"/>
      <c r="P427" s="557"/>
      <c r="Q427" s="616"/>
      <c r="R427" s="38"/>
      <c r="S427" s="618"/>
      <c r="T427" s="618"/>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4">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7"/>
      <c r="N428" s="94"/>
      <c r="O428" s="614"/>
      <c r="P428" s="557"/>
      <c r="Q428" s="616"/>
      <c r="R428" s="38"/>
      <c r="S428" s="618"/>
      <c r="T428" s="618"/>
      <c r="U428" s="38"/>
      <c r="V428" s="313" t="s">
        <v>124</v>
      </c>
      <c r="W428" s="467" t="s">
        <v>618</v>
      </c>
      <c r="X428" s="440"/>
      <c r="Y428" s="440"/>
      <c r="Z428" s="441">
        <f t="shared" si="116"/>
        <v>160067.05033479873</v>
      </c>
      <c r="AA428" s="440"/>
      <c r="AB428" s="440"/>
      <c r="AC428" s="441"/>
      <c r="AD428" s="469"/>
      <c r="AE428" s="468"/>
      <c r="AF428" s="441">
        <f t="shared" si="117"/>
        <v>146747.37</v>
      </c>
      <c r="AG428" s="442"/>
      <c r="AH428" s="443">
        <f t="shared" si="114"/>
        <v>-13319.68033479873</v>
      </c>
      <c r="AI428" s="470">
        <f t="shared" si="115"/>
        <v>-8.3213130415904335E-2</v>
      </c>
      <c r="AJ428" s="469"/>
      <c r="AK428" s="440"/>
      <c r="AL428" s="441">
        <f t="shared" si="118"/>
        <v>139263.81</v>
      </c>
      <c r="AM428" s="445"/>
      <c r="AN428" s="443">
        <f t="shared" si="110"/>
        <v>7483.5599999999977</v>
      </c>
      <c r="AO428" s="446">
        <f t="shared" si="111"/>
        <v>5.3736573773186282E-2</v>
      </c>
      <c r="AP428" s="94"/>
      <c r="AQ428" s="625">
        <v>484984.30000000005</v>
      </c>
      <c r="AR428" s="622">
        <f t="shared" si="112"/>
        <v>-338236.93000000005</v>
      </c>
      <c r="AS428" s="5" t="s">
        <v>698</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7"/>
      <c r="N429" s="557"/>
      <c r="O429" s="557"/>
      <c r="P429" s="557"/>
      <c r="Q429" s="616"/>
      <c r="R429" s="38"/>
      <c r="U429" s="617"/>
      <c r="V429" s="312" t="s">
        <v>125</v>
      </c>
      <c r="W429" s="463" t="s">
        <v>619</v>
      </c>
      <c r="X429" s="456"/>
      <c r="Y429" s="456"/>
      <c r="Z429" s="457">
        <f t="shared" si="116"/>
        <v>194618.96868900637</v>
      </c>
      <c r="AA429" s="456"/>
      <c r="AB429" s="456"/>
      <c r="AC429" s="457"/>
      <c r="AD429" s="465"/>
      <c r="AE429" s="464"/>
      <c r="AF429" s="457">
        <f t="shared" si="117"/>
        <v>217956.87</v>
      </c>
      <c r="AG429" s="458"/>
      <c r="AH429" s="459">
        <f t="shared" si="114"/>
        <v>23337.90131099362</v>
      </c>
      <c r="AI429" s="460">
        <f t="shared" si="115"/>
        <v>0.11991586158431806</v>
      </c>
      <c r="AJ429" s="465"/>
      <c r="AK429" s="456"/>
      <c r="AL429" s="457">
        <f t="shared" si="118"/>
        <v>201825.44</v>
      </c>
      <c r="AM429" s="461"/>
      <c r="AN429" s="459">
        <f t="shared" si="110"/>
        <v>16131.429999999993</v>
      </c>
      <c r="AO429" s="466">
        <f t="shared" si="111"/>
        <v>7.992763449444229E-2</v>
      </c>
      <c r="AP429" s="94"/>
      <c r="AQ429" s="624">
        <v>452089.25</v>
      </c>
      <c r="AR429" s="512">
        <f t="shared" si="112"/>
        <v>-234132.38</v>
      </c>
      <c r="AS429" s="5" t="s">
        <v>699</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7"/>
      <c r="N430" s="557"/>
      <c r="O430" s="557"/>
      <c r="P430" s="557"/>
      <c r="Q430" s="616"/>
      <c r="R430" s="38"/>
      <c r="S430" s="618"/>
      <c r="T430" s="618"/>
      <c r="U430" s="617"/>
      <c r="V430" s="312" t="s">
        <v>126</v>
      </c>
      <c r="W430" s="463" t="s">
        <v>620</v>
      </c>
      <c r="X430" s="456"/>
      <c r="Y430" s="456"/>
      <c r="Z430" s="457">
        <f t="shared" si="116"/>
        <v>100271.07734629241</v>
      </c>
      <c r="AA430" s="456"/>
      <c r="AB430" s="456"/>
      <c r="AC430" s="457"/>
      <c r="AD430" s="465"/>
      <c r="AE430" s="464"/>
      <c r="AF430" s="457">
        <f t="shared" si="117"/>
        <v>83876.100000000006</v>
      </c>
      <c r="AG430" s="458"/>
      <c r="AH430" s="459">
        <f t="shared" si="114"/>
        <v>-16394.977346292406</v>
      </c>
      <c r="AI430" s="460">
        <f t="shared" si="115"/>
        <v>-0.16350654426172495</v>
      </c>
      <c r="AJ430" s="465"/>
      <c r="AK430" s="456"/>
      <c r="AL430" s="457">
        <f t="shared" si="118"/>
        <v>83620.149999999994</v>
      </c>
      <c r="AM430" s="461"/>
      <c r="AN430" s="459">
        <f t="shared" si="110"/>
        <v>255.95000000001164</v>
      </c>
      <c r="AO430" s="466">
        <f t="shared" si="111"/>
        <v>3.0608651144492286E-3</v>
      </c>
      <c r="AP430" s="94"/>
      <c r="AQ430" s="624">
        <v>250596.99999999997</v>
      </c>
      <c r="AR430" s="512">
        <f t="shared" si="112"/>
        <v>-166720.89999999997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7"/>
      <c r="N431" s="557"/>
      <c r="O431" s="557"/>
      <c r="P431" s="557"/>
      <c r="Q431" s="616"/>
      <c r="R431" s="38"/>
      <c r="S431" s="618"/>
      <c r="T431" s="618"/>
      <c r="U431" s="617"/>
      <c r="V431" s="312" t="s">
        <v>127</v>
      </c>
      <c r="W431" s="463"/>
      <c r="X431" s="456"/>
      <c r="Y431" s="456"/>
      <c r="Z431" s="457">
        <f t="shared" si="116"/>
        <v>43718.753835936222</v>
      </c>
      <c r="AA431" s="456"/>
      <c r="AB431" s="456"/>
      <c r="AC431" s="457"/>
      <c r="AD431" s="465"/>
      <c r="AE431" s="464"/>
      <c r="AF431" s="457">
        <f t="shared" si="117"/>
        <v>36763.46</v>
      </c>
      <c r="AG431" s="458"/>
      <c r="AH431" s="459">
        <f t="shared" si="114"/>
        <v>-6955.2938359362233</v>
      </c>
      <c r="AI431" s="479">
        <f t="shared" si="115"/>
        <v>-0.15909176784950047</v>
      </c>
      <c r="AJ431" s="465"/>
      <c r="AK431" s="456"/>
      <c r="AL431" s="457">
        <f t="shared" si="118"/>
        <v>30930.689999999991</v>
      </c>
      <c r="AM431" s="461"/>
      <c r="AN431" s="459">
        <f t="shared" si="110"/>
        <v>5832.7700000000077</v>
      </c>
      <c r="AO431" s="466">
        <f t="shared" si="111"/>
        <v>0.18857548926325307</v>
      </c>
      <c r="AP431" s="94"/>
      <c r="AQ431" s="624">
        <v>185602.45</v>
      </c>
      <c r="AR431" s="512">
        <f t="shared" si="112"/>
        <v>-148838.99000000002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7"/>
      <c r="Q432" s="616"/>
      <c r="R432" s="38"/>
      <c r="S432" s="618"/>
      <c r="T432" s="618"/>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4">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8"/>
      <c r="R433" s="38"/>
      <c r="S433" s="618"/>
      <c r="T433" s="618"/>
      <c r="U433" s="38"/>
      <c r="V433" s="471" t="s">
        <v>128</v>
      </c>
      <c r="W433" s="472"/>
      <c r="X433" s="473">
        <f>Z433/Z407</f>
        <v>0.47161576085192786</v>
      </c>
      <c r="Y433" s="472"/>
      <c r="Z433" s="474">
        <f>SUM(Z420:Z432)</f>
        <v>1233047.8296767317</v>
      </c>
      <c r="AA433" s="473"/>
      <c r="AB433" s="472"/>
      <c r="AC433" s="474"/>
      <c r="AD433" s="475">
        <f>AF433/AF407</f>
        <v>0.49830311209334582</v>
      </c>
      <c r="AE433" s="480"/>
      <c r="AF433" s="474">
        <f>SUM(AF420:AF432)</f>
        <v>1152395.46</v>
      </c>
      <c r="AG433" s="481"/>
      <c r="AH433" s="477">
        <f t="shared" si="114"/>
        <v>-80652.36967673176</v>
      </c>
      <c r="AI433" s="473">
        <f>AH433/Z433</f>
        <v>-6.5408954734445621E-2</v>
      </c>
      <c r="AJ433" s="475">
        <f>IF($AL$407=0,0,AL433/$AL$407)</f>
        <v>0.52786335090234016</v>
      </c>
      <c r="AK433" s="472"/>
      <c r="AL433" s="474">
        <f>SUM(AL420:AL432)</f>
        <v>1104226.1899999997</v>
      </c>
      <c r="AM433" s="482"/>
      <c r="AN433" s="477">
        <f t="shared" ref="AN433:AN451" si="119">AF433-AL433</f>
        <v>48169.270000000251</v>
      </c>
      <c r="AO433" s="454">
        <f t="shared" ref="AO433:AO461" si="120">IF(AL433=0,0,AN433/AL433)</f>
        <v>4.3622647638886618E-2</v>
      </c>
      <c r="AP433" s="94"/>
      <c r="AQ433" s="626">
        <v>3367938.6900000004</v>
      </c>
      <c r="AR433" s="627">
        <f t="shared" si="112"/>
        <v>-2215543.2300000004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4"/>
      <c r="O434" s="629"/>
      <c r="P434" s="557"/>
      <c r="Q434" s="616"/>
      <c r="R434" s="38"/>
      <c r="U434" s="38"/>
      <c r="V434" s="406" t="s">
        <v>129</v>
      </c>
      <c r="W434" s="483" t="s">
        <v>611</v>
      </c>
      <c r="X434" s="484"/>
      <c r="Y434" s="484"/>
      <c r="Z434" s="485">
        <f t="shared" ref="Z434:Z451" si="121">+SUMIF($C:$C,$V434,F:F)</f>
        <v>59354.241823611097</v>
      </c>
      <c r="AA434" s="484"/>
      <c r="AB434" s="484"/>
      <c r="AC434" s="485"/>
      <c r="AD434" s="486"/>
      <c r="AE434" s="487"/>
      <c r="AF434" s="485">
        <f t="shared" ref="AF434:AF447" si="122">+SUMIF($C:$C,$V434,L:L)</f>
        <v>67008.570000000007</v>
      </c>
      <c r="AG434" s="486"/>
      <c r="AH434" s="488">
        <f t="shared" si="114"/>
        <v>7654.3281763889099</v>
      </c>
      <c r="AI434" s="489">
        <f t="shared" ref="AI434:AI451" si="123">IF(Z434=0,0,AH434/Z434)</f>
        <v>0.12896008678092524</v>
      </c>
      <c r="AJ434" s="486"/>
      <c r="AK434" s="484"/>
      <c r="AL434" s="485">
        <f t="shared" ref="AL434:AL447" si="124">+SUMIF($C:$C,$V434,Q:Q)</f>
        <v>58606.18</v>
      </c>
      <c r="AM434" s="490"/>
      <c r="AN434" s="488">
        <f t="shared" si="119"/>
        <v>8402.3900000000067</v>
      </c>
      <c r="AO434" s="462">
        <f t="shared" si="120"/>
        <v>0.14337037493315563</v>
      </c>
      <c r="AP434" s="94"/>
      <c r="AQ434" s="630">
        <v>176878.05000000002</v>
      </c>
      <c r="AR434" s="506">
        <f t="shared" si="112"/>
        <v>-109869.48000000001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4"/>
      <c r="P435" s="147"/>
      <c r="Q435" s="616"/>
      <c r="R435" s="38"/>
      <c r="U435" s="38"/>
      <c r="V435" s="312" t="s">
        <v>130</v>
      </c>
      <c r="W435" s="463" t="s">
        <v>621</v>
      </c>
      <c r="X435" s="456"/>
      <c r="Y435" s="456"/>
      <c r="Z435" s="457">
        <f t="shared" si="121"/>
        <v>23756.262503596579</v>
      </c>
      <c r="AA435" s="456"/>
      <c r="AB435" s="456"/>
      <c r="AC435" s="457"/>
      <c r="AD435" s="465"/>
      <c r="AE435" s="464"/>
      <c r="AF435" s="457">
        <f t="shared" si="122"/>
        <v>5521.2199999999993</v>
      </c>
      <c r="AG435" s="458"/>
      <c r="AH435" s="459">
        <f t="shared" si="114"/>
        <v>-18235.042503596582</v>
      </c>
      <c r="AI435" s="460">
        <f t="shared" si="123"/>
        <v>-0.76758886212997046</v>
      </c>
      <c r="AJ435" s="465"/>
      <c r="AK435" s="456"/>
      <c r="AL435" s="457">
        <f t="shared" si="124"/>
        <v>15832.179999999989</v>
      </c>
      <c r="AM435" s="461"/>
      <c r="AN435" s="459">
        <f t="shared" si="119"/>
        <v>-10310.95999999999</v>
      </c>
      <c r="AO435" s="466">
        <f t="shared" si="120"/>
        <v>-0.65126596589983166</v>
      </c>
      <c r="AP435" s="94"/>
      <c r="AQ435" s="624">
        <v>67659.239999999991</v>
      </c>
      <c r="AR435" s="512">
        <f t="shared" si="112"/>
        <v>-62138.01999999999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7"/>
      <c r="N436" s="557"/>
      <c r="O436" s="557"/>
      <c r="P436" s="147"/>
      <c r="Q436" s="616"/>
      <c r="R436" s="38"/>
      <c r="U436" s="38"/>
      <c r="V436" s="313" t="s">
        <v>131</v>
      </c>
      <c r="W436" s="467" t="s">
        <v>622</v>
      </c>
      <c r="X436" s="440"/>
      <c r="Y436" s="440"/>
      <c r="Z436" s="441">
        <f t="shared" si="121"/>
        <v>104300</v>
      </c>
      <c r="AA436" s="440"/>
      <c r="AB436" s="440"/>
      <c r="AC436" s="441"/>
      <c r="AD436" s="469"/>
      <c r="AE436" s="468"/>
      <c r="AF436" s="441">
        <f t="shared" si="122"/>
        <v>83026.62</v>
      </c>
      <c r="AG436" s="442"/>
      <c r="AH436" s="443">
        <f t="shared" si="114"/>
        <v>-21273.380000000005</v>
      </c>
      <c r="AI436" s="470">
        <f t="shared" si="123"/>
        <v>-0.20396337488015345</v>
      </c>
      <c r="AJ436" s="469"/>
      <c r="AK436" s="440"/>
      <c r="AL436" s="441">
        <f t="shared" si="124"/>
        <v>82021.349999999991</v>
      </c>
      <c r="AM436" s="445"/>
      <c r="AN436" s="443">
        <f t="shared" si="119"/>
        <v>1005.2700000000041</v>
      </c>
      <c r="AO436" s="446">
        <f t="shared" si="120"/>
        <v>1.2256199148148673E-2</v>
      </c>
      <c r="AP436" s="94"/>
      <c r="AQ436" s="625">
        <v>276796.59999999998</v>
      </c>
      <c r="AR436" s="622">
        <f t="shared" si="112"/>
        <v>-193769.97999999998</v>
      </c>
      <c r="AS436" s="5" t="s">
        <v>700</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7"/>
      <c r="N437" s="557"/>
      <c r="O437" s="557"/>
      <c r="P437" s="147"/>
      <c r="Q437" s="616"/>
      <c r="R437" s="38"/>
      <c r="U437" s="38"/>
      <c r="V437" s="312" t="s">
        <v>132</v>
      </c>
      <c r="W437" s="463" t="s">
        <v>623</v>
      </c>
      <c r="X437" s="456"/>
      <c r="Y437" s="456"/>
      <c r="Z437" s="457">
        <f t="shared" si="121"/>
        <v>89082.754044444431</v>
      </c>
      <c r="AA437" s="456"/>
      <c r="AB437" s="456"/>
      <c r="AC437" s="457"/>
      <c r="AD437" s="465"/>
      <c r="AE437" s="464"/>
      <c r="AF437" s="457">
        <f t="shared" si="122"/>
        <v>86572.12</v>
      </c>
      <c r="AG437" s="458"/>
      <c r="AH437" s="459">
        <f t="shared" si="114"/>
        <v>-2510.6340444444359</v>
      </c>
      <c r="AI437" s="460">
        <f t="shared" si="123"/>
        <v>-2.818316599408064E-2</v>
      </c>
      <c r="AJ437" s="465"/>
      <c r="AK437" s="456"/>
      <c r="AL437" s="457">
        <f t="shared" si="124"/>
        <v>79378.929999999993</v>
      </c>
      <c r="AM437" s="461"/>
      <c r="AN437" s="459">
        <f t="shared" si="119"/>
        <v>7193.1900000000023</v>
      </c>
      <c r="AO437" s="466">
        <f t="shared" si="120"/>
        <v>9.0618379461653145E-2</v>
      </c>
      <c r="AP437" s="94"/>
      <c r="AQ437" s="624">
        <v>239193.79</v>
      </c>
      <c r="AR437" s="512">
        <f t="shared" si="112"/>
        <v>-152621.67000000001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7"/>
      <c r="N438" s="557"/>
      <c r="O438" s="557"/>
      <c r="P438" s="147"/>
      <c r="Q438" s="616"/>
      <c r="R438" s="38"/>
      <c r="U438" s="38"/>
      <c r="V438" s="312" t="s">
        <v>133</v>
      </c>
      <c r="W438" s="463" t="s">
        <v>624</v>
      </c>
      <c r="X438" s="456"/>
      <c r="Y438" s="456"/>
      <c r="Z438" s="457">
        <f t="shared" si="121"/>
        <v>14359.076852777778</v>
      </c>
      <c r="AA438" s="456"/>
      <c r="AB438" s="456"/>
      <c r="AC438" s="457"/>
      <c r="AD438" s="465"/>
      <c r="AE438" s="464"/>
      <c r="AF438" s="457">
        <f t="shared" si="122"/>
        <v>15254.720000000001</v>
      </c>
      <c r="AG438" s="458"/>
      <c r="AH438" s="459">
        <f t="shared" si="114"/>
        <v>895.64314722222298</v>
      </c>
      <c r="AI438" s="460">
        <f t="shared" si="123"/>
        <v>6.2374702524762925E-2</v>
      </c>
      <c r="AJ438" s="465"/>
      <c r="AK438" s="456"/>
      <c r="AL438" s="457">
        <f t="shared" si="124"/>
        <v>19272.48</v>
      </c>
      <c r="AM438" s="461"/>
      <c r="AN438" s="459">
        <f t="shared" si="119"/>
        <v>-4017.7599999999984</v>
      </c>
      <c r="AO438" s="466">
        <f t="shared" si="120"/>
        <v>-0.20847135397208863</v>
      </c>
      <c r="AP438" s="94"/>
      <c r="AQ438" s="624">
        <v>42486.400000000001</v>
      </c>
      <c r="AR438" s="512">
        <f t="shared" si="112"/>
        <v>-27231.68</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7"/>
      <c r="P439" s="147"/>
      <c r="Q439" s="616"/>
      <c r="R439" s="38"/>
      <c r="U439" s="38"/>
      <c r="V439" s="312" t="s">
        <v>134</v>
      </c>
      <c r="W439" s="463" t="s">
        <v>625</v>
      </c>
      <c r="X439" s="456"/>
      <c r="Y439" s="456"/>
      <c r="Z439" s="457">
        <f t="shared" si="121"/>
        <v>106744.6426061574</v>
      </c>
      <c r="AA439" s="456"/>
      <c r="AB439" s="456"/>
      <c r="AC439" s="457"/>
      <c r="AD439" s="465"/>
      <c r="AE439" s="464"/>
      <c r="AF439" s="457">
        <f t="shared" si="122"/>
        <v>128965.32</v>
      </c>
      <c r="AG439" s="458"/>
      <c r="AH439" s="459">
        <f t="shared" si="114"/>
        <v>22220.677393842605</v>
      </c>
      <c r="AI439" s="460">
        <f t="shared" si="123"/>
        <v>0.20816667564130137</v>
      </c>
      <c r="AJ439" s="465"/>
      <c r="AK439" s="456"/>
      <c r="AL439" s="457">
        <f t="shared" si="124"/>
        <v>110624.59</v>
      </c>
      <c r="AM439" s="461"/>
      <c r="AN439" s="459">
        <f t="shared" si="119"/>
        <v>18340.73000000001</v>
      </c>
      <c r="AO439" s="466">
        <f t="shared" si="120"/>
        <v>0.16579252406720793</v>
      </c>
      <c r="AP439" s="94"/>
      <c r="AQ439" s="624">
        <v>240398.68</v>
      </c>
      <c r="AR439" s="512">
        <f t="shared" si="112"/>
        <v>-111433.35999999999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4"/>
      <c r="O440" s="614"/>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30">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9" si="125">+U441&amp;V441</f>
        <v>Fournitures autres</v>
      </c>
      <c r="B441" s="3"/>
      <c r="C441" s="38"/>
      <c r="D441" s="38"/>
      <c r="E441" s="38"/>
      <c r="F441" s="38"/>
      <c r="G441" s="38"/>
      <c r="H441" s="38"/>
      <c r="I441" s="38"/>
      <c r="J441" s="38"/>
      <c r="K441" s="38"/>
      <c r="L441" s="38"/>
      <c r="M441" s="38"/>
      <c r="N441" s="38"/>
      <c r="O441" s="38"/>
      <c r="P441" s="631"/>
      <c r="Q441" s="94"/>
      <c r="R441" s="38"/>
      <c r="S441" s="38"/>
      <c r="T441" s="38"/>
      <c r="U441" s="38"/>
      <c r="V441" s="312" t="s">
        <v>135</v>
      </c>
      <c r="W441" s="463" t="s">
        <v>626</v>
      </c>
      <c r="X441" s="456"/>
      <c r="Y441" s="464"/>
      <c r="Z441" s="457">
        <f t="shared" si="121"/>
        <v>24333.333333333332</v>
      </c>
      <c r="AA441" s="456"/>
      <c r="AB441" s="464"/>
      <c r="AC441" s="457"/>
      <c r="AD441" s="465"/>
      <c r="AE441" s="464"/>
      <c r="AF441" s="457">
        <f t="shared" si="122"/>
        <v>22806.12</v>
      </c>
      <c r="AG441" s="458"/>
      <c r="AH441" s="459">
        <f t="shared" si="114"/>
        <v>-1527.2133333333331</v>
      </c>
      <c r="AI441" s="460">
        <f t="shared" si="123"/>
        <v>-6.2762191780821916E-2</v>
      </c>
      <c r="AJ441" s="465"/>
      <c r="AK441" s="456"/>
      <c r="AL441" s="457">
        <f t="shared" si="124"/>
        <v>17087.210000000003</v>
      </c>
      <c r="AM441" s="461"/>
      <c r="AN441" s="459">
        <f t="shared" si="119"/>
        <v>5718.9099999999962</v>
      </c>
      <c r="AO441" s="466">
        <f t="shared" si="120"/>
        <v>0.33468951338457215</v>
      </c>
      <c r="AP441" s="94"/>
      <c r="AQ441" s="624">
        <v>30518.469999999998</v>
      </c>
      <c r="AR441" s="512">
        <f t="shared" si="112"/>
        <v>-7712.3499999999985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6221.0998837617717</v>
      </c>
      <c r="AA442" s="456"/>
      <c r="AB442" s="456"/>
      <c r="AC442" s="457"/>
      <c r="AD442" s="465"/>
      <c r="AE442" s="464"/>
      <c r="AF442" s="457">
        <f t="shared" si="122"/>
        <v>3865.85</v>
      </c>
      <c r="AG442" s="458"/>
      <c r="AH442" s="459">
        <f t="shared" si="114"/>
        <v>-2355.2498837617718</v>
      </c>
      <c r="AI442" s="479">
        <f t="shared" si="123"/>
        <v>-0.37859059133729911</v>
      </c>
      <c r="AJ442" s="465"/>
      <c r="AK442" s="456"/>
      <c r="AL442" s="457">
        <f t="shared" si="124"/>
        <v>7903.54</v>
      </c>
      <c r="AM442" s="461"/>
      <c r="AN442" s="459">
        <f t="shared" si="119"/>
        <v>-4037.69</v>
      </c>
      <c r="AO442" s="466">
        <f t="shared" si="120"/>
        <v>-0.51087107802326548</v>
      </c>
      <c r="AP442" s="94"/>
      <c r="AQ442" s="624">
        <v>14808.84</v>
      </c>
      <c r="AR442" s="512">
        <f t="shared" si="112"/>
        <v>-10942.99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31"/>
      <c r="Q443" s="94"/>
      <c r="R443" s="38"/>
      <c r="S443" s="38"/>
      <c r="T443" s="38"/>
      <c r="U443" s="38"/>
      <c r="V443" s="312" t="s">
        <v>137</v>
      </c>
      <c r="W443" s="463" t="s">
        <v>628</v>
      </c>
      <c r="X443" s="456"/>
      <c r="Y443" s="456"/>
      <c r="Z443" s="457">
        <f t="shared" si="121"/>
        <v>10349.7862996</v>
      </c>
      <c r="AA443" s="456"/>
      <c r="AB443" s="456"/>
      <c r="AC443" s="457"/>
      <c r="AD443" s="465"/>
      <c r="AE443" s="464"/>
      <c r="AF443" s="457">
        <f t="shared" si="122"/>
        <v>8235.7199999999993</v>
      </c>
      <c r="AG443" s="458"/>
      <c r="AH443" s="459">
        <f t="shared" si="114"/>
        <v>-2114.066299600001</v>
      </c>
      <c r="AI443" s="460">
        <f t="shared" si="123"/>
        <v>-0.20426183095990164</v>
      </c>
      <c r="AJ443" s="465"/>
      <c r="AK443" s="456"/>
      <c r="AL443" s="457">
        <f t="shared" si="124"/>
        <v>10574.41</v>
      </c>
      <c r="AM443" s="461"/>
      <c r="AN443" s="459">
        <f t="shared" si="119"/>
        <v>-2338.6900000000005</v>
      </c>
      <c r="AO443" s="466">
        <f t="shared" si="120"/>
        <v>-0.22116505790866825</v>
      </c>
      <c r="AP443" s="94"/>
      <c r="AQ443" s="624">
        <v>30323.510000000002</v>
      </c>
      <c r="AR443" s="512">
        <f t="shared" si="112"/>
        <v>-22087.79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3112.4630631611112</v>
      </c>
      <c r="AA444" s="456"/>
      <c r="AB444" s="456"/>
      <c r="AC444" s="457"/>
      <c r="AD444" s="465"/>
      <c r="AE444" s="464"/>
      <c r="AF444" s="457">
        <f t="shared" si="122"/>
        <v>2758.0400000000004</v>
      </c>
      <c r="AG444" s="458"/>
      <c r="AH444" s="459">
        <f t="shared" si="114"/>
        <v>-354.4230631611108</v>
      </c>
      <c r="AI444" s="479">
        <f t="shared" si="123"/>
        <v>-0.11387221501711511</v>
      </c>
      <c r="AJ444" s="465"/>
      <c r="AK444" s="456"/>
      <c r="AL444" s="457">
        <f t="shared" si="124"/>
        <v>2702.9599999999996</v>
      </c>
      <c r="AM444" s="461"/>
      <c r="AN444" s="459">
        <f t="shared" si="119"/>
        <v>55.080000000000837</v>
      </c>
      <c r="AO444" s="466">
        <f t="shared" si="120"/>
        <v>2.0377660046763862E-2</v>
      </c>
      <c r="AP444" s="94"/>
      <c r="AQ444" s="624">
        <v>8588.4900000000016</v>
      </c>
      <c r="AR444" s="512">
        <f t="shared" si="112"/>
        <v>-5830.4500000000007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1849.1048488388888</v>
      </c>
      <c r="AA445" s="456"/>
      <c r="AB445" s="456"/>
      <c r="AC445" s="457"/>
      <c r="AD445" s="465"/>
      <c r="AE445" s="464"/>
      <c r="AF445" s="457">
        <f t="shared" si="122"/>
        <v>1298.29</v>
      </c>
      <c r="AG445" s="458"/>
      <c r="AH445" s="459">
        <f t="shared" si="114"/>
        <v>-550.81484883888879</v>
      </c>
      <c r="AI445" s="460">
        <f t="shared" si="123"/>
        <v>-0.29788189089697253</v>
      </c>
      <c r="AJ445" s="465"/>
      <c r="AK445" s="456"/>
      <c r="AL445" s="457">
        <f t="shared" si="124"/>
        <v>1343.42</v>
      </c>
      <c r="AM445" s="461"/>
      <c r="AN445" s="459">
        <f t="shared" si="119"/>
        <v>-45.130000000000109</v>
      </c>
      <c r="AO445" s="466">
        <f t="shared" si="120"/>
        <v>-3.3593366184811978E-2</v>
      </c>
      <c r="AP445" s="94"/>
      <c r="AQ445" s="624">
        <v>3965.16</v>
      </c>
      <c r="AR445" s="512">
        <f t="shared" si="112"/>
        <v>-2666.87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4609.9170429388887</v>
      </c>
      <c r="AA446" s="456"/>
      <c r="AB446" s="464"/>
      <c r="AC446" s="457"/>
      <c r="AD446" s="465"/>
      <c r="AE446" s="464"/>
      <c r="AF446" s="457">
        <f t="shared" si="122"/>
        <v>2396.38</v>
      </c>
      <c r="AG446" s="458"/>
      <c r="AH446" s="459">
        <f t="shared" si="114"/>
        <v>-2213.5370429388886</v>
      </c>
      <c r="AI446" s="479">
        <f t="shared" si="123"/>
        <v>-0.4801685198065358</v>
      </c>
      <c r="AJ446" s="465"/>
      <c r="AK446" s="456"/>
      <c r="AL446" s="457">
        <f t="shared" si="124"/>
        <v>6465.02</v>
      </c>
      <c r="AM446" s="461"/>
      <c r="AN446" s="459">
        <f t="shared" si="119"/>
        <v>-4068.6400000000003</v>
      </c>
      <c r="AO446" s="466">
        <f t="shared" si="120"/>
        <v>-0.62933138644582698</v>
      </c>
      <c r="AP446" s="94"/>
      <c r="AQ446" s="624">
        <v>9676.7800000000007</v>
      </c>
      <c r="AR446" s="512">
        <f t="shared" si="112"/>
        <v>-7280.4000000000005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30577.514041773728</v>
      </c>
      <c r="AA447" s="456"/>
      <c r="AB447" s="464"/>
      <c r="AC447" s="457"/>
      <c r="AD447" s="465"/>
      <c r="AE447" s="464"/>
      <c r="AF447" s="457">
        <f t="shared" si="122"/>
        <v>18161.78</v>
      </c>
      <c r="AG447" s="458"/>
      <c r="AH447" s="1018">
        <f t="shared" si="114"/>
        <v>-12415.734041773729</v>
      </c>
      <c r="AI447" s="460">
        <f t="shared" si="123"/>
        <v>-0.40604131600796156</v>
      </c>
      <c r="AJ447" s="465"/>
      <c r="AK447" s="456"/>
      <c r="AL447" s="457">
        <f t="shared" si="124"/>
        <v>45915.62000000001</v>
      </c>
      <c r="AM447" s="461"/>
      <c r="AN447" s="459">
        <f t="shared" si="119"/>
        <v>-27753.840000000011</v>
      </c>
      <c r="AO447" s="466">
        <f t="shared" si="120"/>
        <v>-0.60445312510208959</v>
      </c>
      <c r="AP447" s="94"/>
      <c r="AQ447" s="624">
        <v>39202.850000000006</v>
      </c>
      <c r="AR447" s="512">
        <f t="shared" si="112"/>
        <v>-21041.070000000007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31121.105142994918</v>
      </c>
      <c r="AA448" s="456"/>
      <c r="AB448" s="464"/>
      <c r="AC448" s="457"/>
      <c r="AD448" s="465"/>
      <c r="AE448" s="464"/>
      <c r="AF448" s="441">
        <f>SUMIFS(BV_Data_An_Cour!$P:$P,BV_Data_An_Cour!$V:$V,$V448)</f>
        <v>28956.69</v>
      </c>
      <c r="AG448" s="458"/>
      <c r="AH448" s="964">
        <f t="shared" si="114"/>
        <v>-2164.4151429949197</v>
      </c>
      <c r="AI448" s="460">
        <f t="shared" si="123"/>
        <v>-6.9548145319707905E-2</v>
      </c>
      <c r="AJ448" s="465"/>
      <c r="AK448" s="456"/>
      <c r="AL448" s="457" cm="1">
        <f t="array" ref="AL448">+SUMPRODUCT(('Réel 2023'!$A$8:$A$501=$A448)*('Réel 2023'!$C$3:$AO$3=Z$2),'Réel 2023'!$C$8:$AO$501)</f>
        <v>20017.43</v>
      </c>
      <c r="AM448" s="461"/>
      <c r="AN448" s="459">
        <f t="shared" si="119"/>
        <v>8939.2599999999984</v>
      </c>
      <c r="AO448" s="466">
        <f t="shared" si="120"/>
        <v>0.44657381092377985</v>
      </c>
      <c r="AP448" s="94"/>
      <c r="AQ448" s="625">
        <v>99368.799999999988</v>
      </c>
      <c r="AR448" s="622">
        <f t="shared" si="112"/>
        <v>-70412.109999999986</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4">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4">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31"/>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4">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0.19497717316796556</v>
      </c>
      <c r="Y452" s="472"/>
      <c r="Z452" s="474">
        <f>+SUM(Z434:Z451)</f>
        <v>509771.30148698989</v>
      </c>
      <c r="AA452" s="473"/>
      <c r="AB452" s="472"/>
      <c r="AC452" s="474"/>
      <c r="AD452" s="475">
        <f>AF452/AF407</f>
        <v>0.20531839917116335</v>
      </c>
      <c r="AE452" s="472"/>
      <c r="AF452" s="474">
        <f>+SUM(AF434:AF451)</f>
        <v>474827.43999999989</v>
      </c>
      <c r="AG452" s="481"/>
      <c r="AH452" s="1015">
        <f>+SUM(AH434:AH451)</f>
        <v>-34943.861486989925</v>
      </c>
      <c r="AI452" s="473">
        <f>AH452/Z452</f>
        <v>-6.8548114389844178E-2</v>
      </c>
      <c r="AJ452" s="475">
        <f>IF($AL$407=0,0,AL452/$AL$407)</f>
        <v>0.22838096739320304</v>
      </c>
      <c r="AK452" s="473"/>
      <c r="AL452" s="474">
        <f>+SUM(AL434:AL451)</f>
        <v>477745.31999999995</v>
      </c>
      <c r="AM452" s="482"/>
      <c r="AN452" s="477">
        <f>+SUM(AN434:AN451)</f>
        <v>-2917.8799999999756</v>
      </c>
      <c r="AO452" s="495">
        <f t="shared" si="120"/>
        <v>-6.1076056171517823E-3</v>
      </c>
      <c r="AP452" s="94"/>
      <c r="AQ452" s="626">
        <v>1279865.6600000001</v>
      </c>
      <c r="AR452" s="627">
        <f t="shared" si="112"/>
        <v>-805038.2200000002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144000</v>
      </c>
      <c r="AA453" s="456"/>
      <c r="AB453" s="464"/>
      <c r="AC453" s="457"/>
      <c r="AD453" s="465"/>
      <c r="AE453" s="464"/>
      <c r="AF453" s="457">
        <f>SUMIFS(BV_Data_An_Cour!$P:$P,BV_Data_An_Cour!$V:$V,$V453)</f>
        <v>144000</v>
      </c>
      <c r="AG453" s="458"/>
      <c r="AH453" s="459">
        <f t="shared" ref="AH453:AH461" si="126">AF453-Z453</f>
        <v>0</v>
      </c>
      <c r="AI453" s="460">
        <f t="shared" ref="AI453:AI461" si="127">IF(Z453=0,0,AH453/Z453)</f>
        <v>0</v>
      </c>
      <c r="AJ453" s="465"/>
      <c r="AK453" s="456"/>
      <c r="AL453" s="457" cm="1">
        <f t="array" ref="AL453">+SUMPRODUCT(('Réel 2023'!$A$8:$A$501=$A453)*('Réel 2023'!$C$3:$AO$3=Z$2),'Réel 2023'!$C$8:$AO$501)</f>
        <v>104000</v>
      </c>
      <c r="AM453" s="461"/>
      <c r="AN453" s="459">
        <f t="shared" ref="AN453:AN461" si="128">AF453-AL453</f>
        <v>40000</v>
      </c>
      <c r="AO453" s="466">
        <f t="shared" si="120"/>
        <v>0.38461538461538464</v>
      </c>
      <c r="AP453" s="94"/>
      <c r="AQ453" s="624">
        <v>312000</v>
      </c>
      <c r="AR453" s="512">
        <f t="shared" si="112"/>
        <v>-168000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20707.68</v>
      </c>
      <c r="AA454" s="456"/>
      <c r="AB454" s="464"/>
      <c r="AC454" s="457"/>
      <c r="AD454" s="465"/>
      <c r="AE454" s="464"/>
      <c r="AF454" s="457">
        <f>SUMIFS(BV_Data_An_Cour!$P:$P,BV_Data_An_Cour!$V:$V,$V454)</f>
        <v>20708</v>
      </c>
      <c r="AG454" s="458"/>
      <c r="AH454" s="459">
        <f t="shared" si="126"/>
        <v>0.31999999999970896</v>
      </c>
      <c r="AI454" s="460">
        <f t="shared" si="127"/>
        <v>1.5453203835471139E-5</v>
      </c>
      <c r="AJ454" s="465"/>
      <c r="AK454" s="456"/>
      <c r="AL454" s="457" cm="1">
        <f t="array" ref="AL454">+SUMPRODUCT(('Réel 2023'!$A$8:$A$501=$A454)*('Réel 2023'!$C$3:$AO$3=Z$2),'Réel 2023'!$C$8:$AO$501)</f>
        <v>19720</v>
      </c>
      <c r="AM454" s="461"/>
      <c r="AN454" s="459">
        <f t="shared" si="128"/>
        <v>988</v>
      </c>
      <c r="AO454" s="466">
        <f t="shared" si="120"/>
        <v>5.0101419878296145E-2</v>
      </c>
      <c r="AP454" s="94"/>
      <c r="AQ454" s="624">
        <v>59160</v>
      </c>
      <c r="AR454" s="512">
        <f t="shared" si="112"/>
        <v>-38452</v>
      </c>
      <c r="AS454" s="38" t="s">
        <v>701</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13779.360000000002</v>
      </c>
      <c r="AA455" s="440"/>
      <c r="AB455" s="468"/>
      <c r="AC455" s="441"/>
      <c r="AD455" s="469"/>
      <c r="AE455" s="468"/>
      <c r="AF455" s="441">
        <f>SUMIFS(BV_Data_An_Cour!$P:$P,BV_Data_An_Cour!$V:$V,$V455)</f>
        <v>13780.000000000002</v>
      </c>
      <c r="AG455" s="442"/>
      <c r="AH455" s="443">
        <f t="shared" si="126"/>
        <v>0.63999999999941792</v>
      </c>
      <c r="AI455" s="470">
        <f t="shared" si="127"/>
        <v>4.6446279072425558E-5</v>
      </c>
      <c r="AJ455" s="469"/>
      <c r="AK455" s="440"/>
      <c r="AL455" s="441" cm="1">
        <f t="array" ref="AL455">+SUMPRODUCT(('Réel 2023'!$A$8:$A$501=$A455)*('Réel 2023'!$C$3:$AO$3=Z$2),'Réel 2023'!$C$8:$AO$501)</f>
        <v>13744.99999999996</v>
      </c>
      <c r="AM455" s="445"/>
      <c r="AN455" s="443">
        <f t="shared" si="128"/>
        <v>35.000000000041837</v>
      </c>
      <c r="AO455" s="446">
        <f t="shared" si="120"/>
        <v>2.5463805020037788E-3</v>
      </c>
      <c r="AP455" s="94"/>
      <c r="AQ455" s="625">
        <v>39360</v>
      </c>
      <c r="AR455" s="622">
        <f t="shared" si="112"/>
        <v>-25580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4">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15572.333333333332</v>
      </c>
      <c r="AA457" s="440"/>
      <c r="AB457" s="468"/>
      <c r="AC457" s="441"/>
      <c r="AD457" s="469"/>
      <c r="AE457" s="468"/>
      <c r="AF457" s="441">
        <f>SUMIF(BV_Data_An_Cour!$V:$V,Print_AAD!$V457,BV_Data_An_Cour!$P:$P)</f>
        <v>15572.32</v>
      </c>
      <c r="AG457" s="442"/>
      <c r="AH457" s="443">
        <f t="shared" si="126"/>
        <v>-1.3333333332411712E-2</v>
      </c>
      <c r="AI457" s="470">
        <f t="shared" si="127"/>
        <v>-8.5621936334172008E-7</v>
      </c>
      <c r="AJ457" s="469"/>
      <c r="AK457" s="440"/>
      <c r="AL457" s="441" cm="1">
        <f t="array" ref="AL457">+SUMPRODUCT(('Réel 2023'!$A$8:$A$501=$A457)*('Réel 2023'!$C$3:$AO$3=Z$2),'Réel 2023'!$C$8:$AO$501)</f>
        <v>17084</v>
      </c>
      <c r="AM457" s="445"/>
      <c r="AN457" s="443">
        <f t="shared" si="128"/>
        <v>-1511.6800000000003</v>
      </c>
      <c r="AO457" s="446">
        <f t="shared" si="120"/>
        <v>-8.8485132287520502E-2</v>
      </c>
      <c r="AP457" s="94"/>
      <c r="AQ457" s="625">
        <v>51252</v>
      </c>
      <c r="AR457" s="622">
        <f t="shared" si="112"/>
        <v>-35679.68</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13805.000000000002</v>
      </c>
      <c r="AA458" s="496"/>
      <c r="AB458" s="497"/>
      <c r="AC458" s="457"/>
      <c r="AD458" s="465"/>
      <c r="AE458" s="464"/>
      <c r="AF458" s="457">
        <f>SUMIFS(BV_Data_An_Cour!$P:$P,BV_Data_An_Cour!$V:$V,$V458)</f>
        <v>21304.27</v>
      </c>
      <c r="AG458" s="458"/>
      <c r="AH458" s="459">
        <f t="shared" si="126"/>
        <v>7499.2699999999986</v>
      </c>
      <c r="AI458" s="460">
        <f t="shared" si="127"/>
        <v>0.54322854038391866</v>
      </c>
      <c r="AJ458" s="465"/>
      <c r="AK458" s="456"/>
      <c r="AL458" s="457" cm="1">
        <f t="array" ref="AL458">+SUMPRODUCT(('Réel 2023'!$A$8:$A$501=$A458)*('Réel 2023'!$C$3:$AO$3=Z$2),'Réel 2023'!$C$8:$AO$501)</f>
        <v>11971.719999999981</v>
      </c>
      <c r="AM458" s="461"/>
      <c r="AN458" s="459">
        <f t="shared" si="128"/>
        <v>9332.5500000000193</v>
      </c>
      <c r="AO458" s="466">
        <f t="shared" si="120"/>
        <v>0.77954963864841764</v>
      </c>
      <c r="AP458" s="94"/>
      <c r="AQ458" s="624">
        <v>28763.690000000002</v>
      </c>
      <c r="AR458" s="512">
        <f t="shared" si="112"/>
        <v>-7459.4200000000019</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27136.2</v>
      </c>
      <c r="AA459" s="456"/>
      <c r="AB459" s="464"/>
      <c r="AC459" s="457"/>
      <c r="AD459" s="465"/>
      <c r="AE459" s="464"/>
      <c r="AF459" s="457">
        <f>SUMIFS(BV_Data_An_Cour!$P:$P,BV_Data_An_Cour!$V:$V,$V459)</f>
        <v>25693.319999999996</v>
      </c>
      <c r="AG459" s="458"/>
      <c r="AH459" s="459">
        <f t="shared" si="126"/>
        <v>-1442.8800000000047</v>
      </c>
      <c r="AI459" s="460">
        <f t="shared" si="127"/>
        <v>-5.3171777920269038E-2</v>
      </c>
      <c r="AJ459" s="465"/>
      <c r="AK459" s="456"/>
      <c r="AL459" s="457" cm="1">
        <f t="array" ref="AL459">+SUMPRODUCT(('Réel 2023'!$A$8:$A$501=$A459)*('Réel 2023'!$C$3:$AO$3=Z$2),'Réel 2023'!$C$8:$AO$501)</f>
        <v>26920.48</v>
      </c>
      <c r="AM459" s="461"/>
      <c r="AN459" s="459">
        <f t="shared" si="128"/>
        <v>-1227.1600000000035</v>
      </c>
      <c r="AO459" s="466">
        <f t="shared" si="120"/>
        <v>-4.5584625534165937E-2</v>
      </c>
      <c r="AP459" s="94"/>
      <c r="AQ459" s="624">
        <v>73723.959999999992</v>
      </c>
      <c r="AR459" s="512">
        <f t="shared" si="112"/>
        <v>-48030.64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7787.6846265222202</v>
      </c>
      <c r="AA460" s="440"/>
      <c r="AB460" s="468"/>
      <c r="AC460" s="441"/>
      <c r="AD460" s="469"/>
      <c r="AE460" s="468"/>
      <c r="AF460" s="441">
        <f>SUMIFS(BV_Data_An_Cour!$P:$P,BV_Data_An_Cour!$V:$V,$V460)</f>
        <v>1746.7</v>
      </c>
      <c r="AG460" s="442"/>
      <c r="AH460" s="443">
        <f t="shared" si="126"/>
        <v>-6040.9846265222204</v>
      </c>
      <c r="AI460" s="470">
        <f t="shared" si="127"/>
        <v>-0.7757099723772416</v>
      </c>
      <c r="AJ460" s="469"/>
      <c r="AK460" s="440"/>
      <c r="AL460" s="441" cm="1">
        <f t="array" ref="AL460">+SUMPRODUCT(('Réel 2023'!$A$8:$A$501=$A460)*('Réel 2023'!$C$3:$AO$3=Z$2),'Réel 2023'!$C$8:$AO$501)</f>
        <v>6055.74</v>
      </c>
      <c r="AM460" s="445"/>
      <c r="AN460" s="443">
        <f t="shared" si="128"/>
        <v>-4309.04</v>
      </c>
      <c r="AO460" s="446">
        <f t="shared" si="120"/>
        <v>-0.71156291386354109</v>
      </c>
      <c r="AP460" s="94"/>
      <c r="AQ460" s="625">
        <v>18683.22</v>
      </c>
      <c r="AR460" s="622">
        <f t="shared" si="112"/>
        <v>-16936.52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4000</v>
      </c>
      <c r="AA461" s="456"/>
      <c r="AB461" s="464"/>
      <c r="AC461" s="457"/>
      <c r="AD461" s="465"/>
      <c r="AE461" s="464"/>
      <c r="AF461" s="457">
        <f>SUMIFS(BV_Data_An_Cour!$P:$P,BV_Data_An_Cour!$V:$V,$V461)</f>
        <v>3731</v>
      </c>
      <c r="AG461" s="458"/>
      <c r="AH461" s="459">
        <f t="shared" si="126"/>
        <v>-269</v>
      </c>
      <c r="AI461" s="498">
        <f t="shared" si="127"/>
        <v>-6.7250000000000004E-2</v>
      </c>
      <c r="AJ461" s="456"/>
      <c r="AK461" s="456"/>
      <c r="AL461" s="457" cm="1">
        <f t="array" ref="AL461">+SUMPRODUCT(('Réel 2023'!$A$8:$A$501=$A461)*('Réel 2023'!$C$3:$AO$3=Z$2),'Réel 2023'!$C$8:$AO$501)</f>
        <v>857.82</v>
      </c>
      <c r="AM461" s="461"/>
      <c r="AN461" s="459">
        <f t="shared" si="128"/>
        <v>2873.18</v>
      </c>
      <c r="AO461" s="466">
        <f t="shared" si="120"/>
        <v>3.3493973094588605</v>
      </c>
      <c r="AP461" s="94"/>
      <c r="AQ461" s="624">
        <v>0</v>
      </c>
      <c r="AR461" s="512">
        <f t="shared" si="112"/>
        <v>3731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4">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4">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4">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4">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9.439149824185887E-2</v>
      </c>
      <c r="Y466" s="472"/>
      <c r="Z466" s="474">
        <f>SUM(Z453:Z465)</f>
        <v>246788.25795985557</v>
      </c>
      <c r="AA466" s="473"/>
      <c r="AB466" s="472"/>
      <c r="AC466" s="474"/>
      <c r="AD466" s="475">
        <f>AF466/AF407</f>
        <v>0.10660356272562146</v>
      </c>
      <c r="AE466" s="472"/>
      <c r="AF466" s="474">
        <f>SUM(AF453:AF465)</f>
        <v>246535.61000000002</v>
      </c>
      <c r="AG466" s="481"/>
      <c r="AH466" s="1015">
        <f>SUM(AH453:AH465)</f>
        <v>-252.64795985555975</v>
      </c>
      <c r="AI466" s="473">
        <f>IF(Z466=0,0,AH466/Z466)</f>
        <v>-1.0237438439905733E-3</v>
      </c>
      <c r="AJ466" s="475">
        <f>IF($AL$407=0,0,AL466/$AL$407)</f>
        <v>9.5777419464063013E-2</v>
      </c>
      <c r="AK466" s="473"/>
      <c r="AL466" s="474">
        <f>SUM(AL453:AL465)</f>
        <v>200354.75999999995</v>
      </c>
      <c r="AM466" s="482"/>
      <c r="AN466" s="477">
        <f>SUM(AN453:AN465)</f>
        <v>46180.850000000057</v>
      </c>
      <c r="AO466" s="495">
        <f t="shared" ref="AO466:AO483" si="129">IF(AL466=0,0,AN466/AL466)</f>
        <v>0.23049539726433288</v>
      </c>
      <c r="AP466" s="94"/>
      <c r="AQ466" s="626">
        <v>582942.87</v>
      </c>
      <c r="AR466" s="627">
        <f t="shared" si="112"/>
        <v>-336407.26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2"/>
      <c r="AR467" s="633"/>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1.0045251988669266</v>
      </c>
      <c r="Y468" s="472"/>
      <c r="Z468" s="474">
        <f>Z419+Z433+Z452+Z466</f>
        <v>2626349.072984735</v>
      </c>
      <c r="AA468" s="473"/>
      <c r="AB468" s="472"/>
      <c r="AC468" s="474"/>
      <c r="AD468" s="475">
        <f>AF468/AF407</f>
        <v>1.094686063262345</v>
      </c>
      <c r="AE468" s="472"/>
      <c r="AF468" s="474">
        <f>AF419+AF433+AF452+AF466</f>
        <v>2531614.2299999995</v>
      </c>
      <c r="AG468" s="481"/>
      <c r="AH468" s="477">
        <f t="shared" si="130"/>
        <v>-94734.8429847355</v>
      </c>
      <c r="AI468" s="473">
        <f>AH468/Z468</f>
        <v>-3.6070925970656802E-2</v>
      </c>
      <c r="AJ468" s="475">
        <f>IF($AL$407=0,0,AL468/$AL$407)</f>
        <v>1.0646896634124909</v>
      </c>
      <c r="AK468" s="473"/>
      <c r="AL468" s="474">
        <f>AL419+AL433+AL452+AL466</f>
        <v>2227201.8099999996</v>
      </c>
      <c r="AM468" s="482"/>
      <c r="AN468" s="477">
        <f t="shared" si="131"/>
        <v>304412.41999999993</v>
      </c>
      <c r="AO468" s="454">
        <f t="shared" si="129"/>
        <v>0.13667931600684177</v>
      </c>
      <c r="AP468" s="94"/>
      <c r="AQ468" s="626">
        <v>6902902.9400000004</v>
      </c>
      <c r="AR468" s="627">
        <f t="shared" ref="AR468:AR481" si="132">AF468-AQ468</f>
        <v>-4371288.7100000009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22097.857499999998</v>
      </c>
      <c r="AA469" s="502"/>
      <c r="AB469" s="503"/>
      <c r="AC469" s="485"/>
      <c r="AD469" s="504"/>
      <c r="AE469" s="503"/>
      <c r="AF469" s="457">
        <f>-SUMIFS(BV_Data_An_Cour!$P:$P,BV_Data_An_Cour!$V:$V,$V469)</f>
        <v>71847.53</v>
      </c>
      <c r="AG469" s="505"/>
      <c r="AH469" s="459">
        <f t="shared" si="130"/>
        <v>49749.672500000001</v>
      </c>
      <c r="AI469" s="498">
        <f>IF(AH469=0,0,AH469/Z469)</f>
        <v>2.2513346599325299</v>
      </c>
      <c r="AJ469" s="504"/>
      <c r="AK469" s="502"/>
      <c r="AL469" s="506" cm="1">
        <f t="array" ref="AL469">+SUMPRODUCT(('Réel 2023'!$A$8:$A$501=$A469)*('Réel 2023'!$C$3:$AO$3=Z$2),'Réel 2023'!$C$8:$AO$501)</f>
        <v>231926.41</v>
      </c>
      <c r="AM469" s="507"/>
      <c r="AN469" s="459">
        <f t="shared" si="131"/>
        <v>-160078.88</v>
      </c>
      <c r="AO469" s="466">
        <f t="shared" si="129"/>
        <v>-0.69021410713855313</v>
      </c>
      <c r="AP469" s="94"/>
      <c r="AQ469" s="624">
        <v>275258.11</v>
      </c>
      <c r="AR469" s="512">
        <f t="shared" si="132"/>
        <v>-203410.58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242517.91506840268</v>
      </c>
      <c r="AA470" s="496"/>
      <c r="AB470" s="497"/>
      <c r="AC470" s="457"/>
      <c r="AD470" s="511"/>
      <c r="AE470" s="497"/>
      <c r="AF470" s="457">
        <f t="shared" ref="AF470:AF480" si="134">+SUMIF($C:$C,$V470,L:L)</f>
        <v>333038.7</v>
      </c>
      <c r="AG470" s="510"/>
      <c r="AH470" s="459">
        <f t="shared" si="130"/>
        <v>90520.784931597329</v>
      </c>
      <c r="AI470" s="479">
        <f>IF(Z470=0,0,AH470/Z470)</f>
        <v>0.37325401262032848</v>
      </c>
      <c r="AJ470" s="511"/>
      <c r="AK470" s="496"/>
      <c r="AL470" s="512">
        <f t="shared" ref="AL470:AL476" si="135">+SUMIF($C:$C,$V470,Q:Q)</f>
        <v>154255.43</v>
      </c>
      <c r="AM470" s="508"/>
      <c r="AN470" s="459">
        <f t="shared" si="131"/>
        <v>178783.27000000002</v>
      </c>
      <c r="AO470" s="466">
        <f t="shared" si="129"/>
        <v>1.1590079519404926</v>
      </c>
      <c r="AP470" s="94"/>
      <c r="AQ470" s="624">
        <v>693962.92</v>
      </c>
      <c r="AR470" s="512">
        <f t="shared" si="132"/>
        <v>-360924.22000000003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20000</v>
      </c>
      <c r="AA471" s="496"/>
      <c r="AB471" s="497"/>
      <c r="AC471" s="457"/>
      <c r="AD471" s="511"/>
      <c r="AE471" s="497"/>
      <c r="AF471" s="457">
        <f t="shared" si="134"/>
        <v>695</v>
      </c>
      <c r="AG471" s="510"/>
      <c r="AH471" s="459">
        <f t="shared" si="130"/>
        <v>-19305</v>
      </c>
      <c r="AI471" s="479">
        <f t="shared" ref="AI471:AI480" si="136">IF(AH471=0,0,AH471/Z471)</f>
        <v>-0.96525000000000005</v>
      </c>
      <c r="AJ471" s="511"/>
      <c r="AK471" s="496"/>
      <c r="AL471" s="512">
        <f t="shared" si="135"/>
        <v>0</v>
      </c>
      <c r="AM471" s="508"/>
      <c r="AN471" s="459">
        <f t="shared" si="131"/>
        <v>695</v>
      </c>
      <c r="AO471" s="466">
        <f t="shared" si="129"/>
        <v>0</v>
      </c>
      <c r="AP471" s="94"/>
      <c r="AQ471" s="624">
        <v>43300</v>
      </c>
      <c r="AR471" s="512">
        <f t="shared" si="132"/>
        <v>-42605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4">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4">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4">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4">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4">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4">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4">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4">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147043.19925000001</v>
      </c>
      <c r="AA480" s="496"/>
      <c r="AB480" s="497"/>
      <c r="AC480" s="457"/>
      <c r="AD480" s="511"/>
      <c r="AE480" s="497"/>
      <c r="AF480" s="457">
        <f t="shared" si="134"/>
        <v>149987</v>
      </c>
      <c r="AG480" s="510"/>
      <c r="AH480" s="459">
        <f t="shared" si="130"/>
        <v>2943.8007499999949</v>
      </c>
      <c r="AI480" s="479">
        <f t="shared" si="136"/>
        <v>2.0019972123940268E-2</v>
      </c>
      <c r="AJ480" s="511"/>
      <c r="AK480" s="496"/>
      <c r="AL480" s="512" cm="1">
        <f t="array" ref="AL480">+SUMPRODUCT(('Réel 2023'!$A$8:$A$501=$A480)*('Réel 2023'!$C$3:$AO$3=Z$2),'Réel 2023'!$C$8:$AO$501)</f>
        <v>95189</v>
      </c>
      <c r="AM480" s="508"/>
      <c r="AN480" s="459">
        <f t="shared" si="131"/>
        <v>54798</v>
      </c>
      <c r="AO480" s="466">
        <f t="shared" si="129"/>
        <v>0.57567576085472061</v>
      </c>
      <c r="AP480" s="94"/>
      <c r="AQ480" s="624">
        <v>331468.49</v>
      </c>
      <c r="AR480" s="512">
        <f t="shared" si="132"/>
        <v>-181481.49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0.16510079294820926</v>
      </c>
      <c r="Y481" s="493"/>
      <c r="Z481" s="474">
        <f>SUM(Z469:Z480)</f>
        <v>431658.9718184027</v>
      </c>
      <c r="AA481" s="473"/>
      <c r="AB481" s="493"/>
      <c r="AC481" s="474"/>
      <c r="AD481" s="473">
        <f>AF481/+AF407</f>
        <v>0.24023122929449214</v>
      </c>
      <c r="AE481" s="493"/>
      <c r="AF481" s="474">
        <f>SUM(AF469:AF480)</f>
        <v>555568.23</v>
      </c>
      <c r="AG481" s="481"/>
      <c r="AH481" s="477">
        <f t="shared" si="130"/>
        <v>123909.25818159728</v>
      </c>
      <c r="AI481" s="473">
        <f>AH481/Z481</f>
        <v>0.28705359154153165</v>
      </c>
      <c r="AJ481" s="514"/>
      <c r="AK481" s="515"/>
      <c r="AL481" s="474">
        <f>SUM(AL469:AL480)</f>
        <v>481370.83999999997</v>
      </c>
      <c r="AM481" s="516"/>
      <c r="AN481" s="477">
        <f t="shared" si="131"/>
        <v>74197.390000000014</v>
      </c>
      <c r="AO481" s="495">
        <f t="shared" si="129"/>
        <v>0.15413769143141287</v>
      </c>
      <c r="AP481" s="94"/>
      <c r="AQ481" s="626">
        <v>1343989.52</v>
      </c>
      <c r="AR481" s="627">
        <f t="shared" si="132"/>
        <v>-788421.29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4"/>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2.2761739462995274E-2</v>
      </c>
      <c r="Z483" s="534">
        <f>Z407-Z468+Z481</f>
        <v>419827.75856200076</v>
      </c>
      <c r="AA483" s="532"/>
      <c r="AB483" s="533"/>
      <c r="AC483" s="534"/>
      <c r="AD483" s="532" t="s">
        <v>219</v>
      </c>
      <c r="AE483" s="533">
        <f>AF483/AF406</f>
        <v>1.522341817019361E-2</v>
      </c>
      <c r="AF483" s="535">
        <f>AF407-AF468+AF481</f>
        <v>336593.50000000186</v>
      </c>
      <c r="AG483" s="536"/>
      <c r="AH483" s="536">
        <f>AF483-Z483</f>
        <v>-83234.258561998897</v>
      </c>
      <c r="AI483" s="537">
        <f>AH483/Z483</f>
        <v>-0.19825811148622929</v>
      </c>
      <c r="AJ483" s="538" t="s">
        <v>219</v>
      </c>
      <c r="AK483" s="533">
        <f>IF($AL$406=0,0,AL483/$AL$406)</f>
        <v>2.2657378482345013E-2</v>
      </c>
      <c r="AL483" s="535">
        <f>AL407-AL468+AL481</f>
        <v>346047.89999999839</v>
      </c>
      <c r="AM483" s="539"/>
      <c r="AN483" s="535">
        <f t="shared" si="131"/>
        <v>-9454.3999999965308</v>
      </c>
      <c r="AO483" s="540">
        <f t="shared" si="129"/>
        <v>-2.7321073180899449E-2</v>
      </c>
      <c r="AP483" s="94"/>
      <c r="AQ483" s="539">
        <v>2236846.7700000028</v>
      </c>
      <c r="AR483" s="543">
        <f>AF483-AQ483</f>
        <v>-1900253.2700000009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5"/>
      <c r="AR484" s="636"/>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Avril 2024</v>
      </c>
      <c r="AP485" s="94"/>
      <c r="AQ485" s="637"/>
      <c r="AR485" s="638"/>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5"/>
      <c r="AR486" s="636"/>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5"/>
      <c r="AR487" s="636"/>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25"/>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94"/>
      <c r="AQ488" s="635"/>
      <c r="AR488" s="636"/>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2.2761739462995274E-2</v>
      </c>
      <c r="Z489" s="534">
        <f>Z483</f>
        <v>419827.75856200076</v>
      </c>
      <c r="AA489" s="532"/>
      <c r="AB489" s="533"/>
      <c r="AC489" s="534"/>
      <c r="AD489" s="532" t="s">
        <v>219</v>
      </c>
      <c r="AE489" s="533">
        <f>AF489/AF406</f>
        <v>1.522341817019361E-2</v>
      </c>
      <c r="AF489" s="534">
        <f>AF483</f>
        <v>336593.50000000186</v>
      </c>
      <c r="AG489" s="535"/>
      <c r="AH489" s="536">
        <f>AF489-Z489</f>
        <v>-83234.258561998897</v>
      </c>
      <c r="AI489" s="537">
        <f>AH489/Z489</f>
        <v>-0.19825811148622929</v>
      </c>
      <c r="AJ489" s="532" t="s">
        <v>219</v>
      </c>
      <c r="AK489" s="533">
        <f>IF($AL$406=0,0,AL489/$AL$406)</f>
        <v>2.2657378482345013E-2</v>
      </c>
      <c r="AL489" s="543">
        <f>AL483</f>
        <v>346047.89999999839</v>
      </c>
      <c r="AM489" s="544"/>
      <c r="AN489" s="545">
        <f>AF489-AL489</f>
        <v>-9454.3999999965308</v>
      </c>
      <c r="AO489" s="546">
        <f>IF(AL489=0,0,AN489/AL489)</f>
        <v>-2.7321073180899449E-2</v>
      </c>
      <c r="AP489" s="94"/>
      <c r="AQ489" s="639">
        <v>2236846.7700000028</v>
      </c>
      <c r="AR489" s="543">
        <f>AF489-AQ489</f>
        <v>-1900253.2700000009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40"/>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25260</v>
      </c>
      <c r="AA491" s="456"/>
      <c r="AB491" s="464"/>
      <c r="AC491" s="457"/>
      <c r="AD491" s="456"/>
      <c r="AE491" s="464"/>
      <c r="AF491" s="457">
        <f>SUMIFS(BV_Data_An_Cour!$P:$P,BV_Data_An_Cour!$V:$V,$V491)</f>
        <v>25260</v>
      </c>
      <c r="AG491" s="456"/>
      <c r="AH491" s="459">
        <f t="shared" ref="AH491:AH498" si="137">AF491-Z491</f>
        <v>0</v>
      </c>
      <c r="AI491" s="479">
        <f t="shared" ref="AI491:AI497" si="138">IF(Z491=0,0,AH491/Z491)</f>
        <v>0</v>
      </c>
      <c r="AJ491" s="456"/>
      <c r="AK491" s="456"/>
      <c r="AL491" s="457" cm="1">
        <f t="array" ref="AL491">+SUMPRODUCT(('Réel 2023'!$A$8:$A$501=$A491)*('Réel 2023'!$C$3:$AO$3=Z$2),'Réel 2023'!$C$8:$AO$501)</f>
        <v>17258</v>
      </c>
      <c r="AM491" s="461"/>
      <c r="AN491" s="459">
        <f t="shared" ref="AN491:AN498" si="139">AF491-AL491</f>
        <v>8002</v>
      </c>
      <c r="AO491" s="466">
        <f t="shared" ref="AO491:AO498" si="140">IF(AL491=0,0,AN491/AL491)</f>
        <v>0.46366902306176844</v>
      </c>
      <c r="AP491" s="94"/>
      <c r="AQ491" s="624">
        <v>51774</v>
      </c>
      <c r="AR491" s="512">
        <f t="shared" ref="AR491:AR493" si="141">AF491-AQ491</f>
        <v>-26514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37"/>
        <v>0</v>
      </c>
      <c r="AI492" s="479">
        <f t="shared" si="138"/>
        <v>0</v>
      </c>
      <c r="AJ492" s="38"/>
      <c r="AK492" s="38"/>
      <c r="AL492" s="457" cm="1">
        <f t="array" ref="AL492">+SUMPRODUCT(('Réel 2023'!$A$8:$A$501=$A492)*('Réel 2023'!$C$3:$AO$3=Z$2),'Réel 2023'!$C$8:$AO$501)</f>
        <v>0</v>
      </c>
      <c r="AM492" s="551"/>
      <c r="AN492" s="459">
        <f t="shared" si="139"/>
        <v>0</v>
      </c>
      <c r="AO492" s="466">
        <f t="shared" si="140"/>
        <v>0</v>
      </c>
      <c r="AP492" s="94"/>
      <c r="AQ492" s="624">
        <v>0</v>
      </c>
      <c r="AR492" s="512">
        <f t="shared" si="141"/>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-917.02</v>
      </c>
      <c r="AG493" s="38"/>
      <c r="AH493" s="459">
        <f t="shared" si="137"/>
        <v>-917.02</v>
      </c>
      <c r="AI493" s="479">
        <f t="shared" si="138"/>
        <v>0</v>
      </c>
      <c r="AJ493" s="38"/>
      <c r="AK493" s="38"/>
      <c r="AL493" s="457" cm="1">
        <f t="array" ref="AL493">+SUMPRODUCT(('Réel 2023'!$A$8:$A$501=$A493)*('Réel 2023'!$C$3:$AO$3=Z$2),'Réel 2023'!$C$8:$AO$501)</f>
        <v>0</v>
      </c>
      <c r="AM493" s="551"/>
      <c r="AN493" s="459">
        <f t="shared" si="139"/>
        <v>-917.02</v>
      </c>
      <c r="AO493" s="466">
        <f t="shared" si="140"/>
        <v>0</v>
      </c>
      <c r="AP493" s="94"/>
      <c r="AQ493" s="624">
        <v>5121.4799999999996</v>
      </c>
      <c r="AR493" s="512">
        <f t="shared" si="141"/>
        <v>-6038.5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37"/>
        <v>0</v>
      </c>
      <c r="AI494" s="479">
        <f t="shared" si="138"/>
        <v>0</v>
      </c>
      <c r="AJ494" s="38"/>
      <c r="AK494" s="38"/>
      <c r="AL494" s="457" cm="1">
        <f t="array" ref="AL494">+SUMPRODUCT(('Réel 2023'!$A$8:$A$501=$A494)*('Réel 2023'!$C$3:$AO$3=Z$2),'Réel 2023'!$C$8:$AO$501)</f>
        <v>0</v>
      </c>
      <c r="AM494" s="551"/>
      <c r="AN494" s="459">
        <f t="shared" si="139"/>
        <v>0</v>
      </c>
      <c r="AO494" s="466">
        <f t="shared" si="140"/>
        <v>0</v>
      </c>
      <c r="AP494" s="94"/>
      <c r="AQ494" s="624">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37"/>
        <v>0</v>
      </c>
      <c r="AI495" s="479">
        <f t="shared" si="138"/>
        <v>0</v>
      </c>
      <c r="AJ495" s="38"/>
      <c r="AK495" s="38"/>
      <c r="AL495" s="457" cm="1">
        <f t="array" ref="AL495">+SUMPRODUCT(('Réel 2023'!$A$8:$A$501=$A495)*('Réel 2023'!$C$3:$AO$3=Z$2),'Réel 2023'!$C$8:$AO$501)</f>
        <v>0</v>
      </c>
      <c r="AM495" s="551"/>
      <c r="AN495" s="459">
        <f t="shared" si="139"/>
        <v>0</v>
      </c>
      <c r="AO495" s="466">
        <f t="shared" si="140"/>
        <v>0</v>
      </c>
      <c r="AP495" s="94"/>
      <c r="AQ495" s="624">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3869</v>
      </c>
      <c r="W496" s="41"/>
      <c r="X496" s="41"/>
      <c r="Y496" s="41"/>
      <c r="Z496" s="457" cm="1">
        <f t="array" ref="Z496">+SUMPRODUCT(('Budget original'!$A$8:$A$501=$A496)*('Budget original'!$C$3:$AO$3=Z$2),'Budget original'!$C$8:$AO$501)</f>
        <v>-18666.666666666668</v>
      </c>
      <c r="AA496" s="38"/>
      <c r="AB496" s="38"/>
      <c r="AC496" s="457"/>
      <c r="AD496" s="38"/>
      <c r="AE496" s="41"/>
      <c r="AF496" s="457">
        <f>SUMIFS(BV_Data_An_Cour!$P:$P,BV_Data_An_Cour!$V:$V,$V496)</f>
        <v>-20166.759999999998</v>
      </c>
      <c r="AG496" s="38"/>
      <c r="AH496" s="459">
        <f t="shared" si="137"/>
        <v>-1500.0933333333305</v>
      </c>
      <c r="AI496" s="479">
        <f t="shared" si="138"/>
        <v>8.0362142857142702E-2</v>
      </c>
      <c r="AJ496" s="38"/>
      <c r="AK496" s="38"/>
      <c r="AL496" s="457" cm="1">
        <f t="array" ref="AL496">+SUMPRODUCT(('Réel 2023'!$A$8:$A$501=$A496)*('Réel 2023'!$C$3:$AO$3=Z$2),'Réel 2023'!$C$8:$AO$501)</f>
        <v>0</v>
      </c>
      <c r="AM496" s="551"/>
      <c r="AN496" s="459">
        <f t="shared" si="139"/>
        <v>-20166.759999999998</v>
      </c>
      <c r="AO496" s="466">
        <f t="shared" si="140"/>
        <v>0</v>
      </c>
      <c r="AP496" s="94"/>
      <c r="AQ496" s="624">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37"/>
        <v>0</v>
      </c>
      <c r="AI497" s="479">
        <f t="shared" si="138"/>
        <v>0</v>
      </c>
      <c r="AJ497" s="38"/>
      <c r="AK497" s="38"/>
      <c r="AL497" s="457" cm="1">
        <f t="array" ref="AL497">+SUMPRODUCT(('Réel 2023'!$A$8:$A$501=$A497)*('Réel 2023'!$C$3:$AO$3=Z$2),'Réel 2023'!$C$8:$AO$501)</f>
        <v>0</v>
      </c>
      <c r="AM497" s="551"/>
      <c r="AN497" s="459">
        <f t="shared" si="139"/>
        <v>0</v>
      </c>
      <c r="AO497" s="466">
        <f t="shared" si="140"/>
        <v>0</v>
      </c>
      <c r="AP497" s="94"/>
      <c r="AQ497" s="624">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2.2404269685293923E-2</v>
      </c>
      <c r="Z498" s="534">
        <f>Z489-Z491-Z492-Z493-Z497-Z496</f>
        <v>413234.42522866745</v>
      </c>
      <c r="AA498" s="532"/>
      <c r="AB498" s="533"/>
      <c r="AC498" s="534"/>
      <c r="AD498" s="532" t="s">
        <v>219</v>
      </c>
      <c r="AE498" s="533">
        <f>AF498/AF406</f>
        <v>1.5034536497105075E-2</v>
      </c>
      <c r="AF498" s="535">
        <f>AF489-AF491-AF492-AF493-AF497-AF496</f>
        <v>332417.28000000189</v>
      </c>
      <c r="AG498" s="536"/>
      <c r="AH498" s="536">
        <f t="shared" si="137"/>
        <v>-80817.145228665555</v>
      </c>
      <c r="AI498" s="537">
        <f>AH498/Z498</f>
        <v>-0.1955721505630722</v>
      </c>
      <c r="AJ498" s="538" t="s">
        <v>219</v>
      </c>
      <c r="AK498" s="533">
        <f>IF($AL$406=0,0,AL498/$AL$406)</f>
        <v>2.1527416307026766E-2</v>
      </c>
      <c r="AL498" s="535">
        <f>AL489-AL491-AL492-AL493-AL497-AL496</f>
        <v>328789.89999999839</v>
      </c>
      <c r="AM498" s="539"/>
      <c r="AN498" s="535">
        <f t="shared" si="139"/>
        <v>3627.3800000034971</v>
      </c>
      <c r="AO498" s="553">
        <f t="shared" si="140"/>
        <v>1.1032516509793989E-2</v>
      </c>
      <c r="AP498" s="94"/>
      <c r="AQ498" s="544">
        <v>2179951.2900000028</v>
      </c>
      <c r="AR498" s="641">
        <f>AF498-AQ498</f>
        <v>-1847534.0100000009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tr">
        <f t="shared" si="125"/>
        <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413234.42522866745</v>
      </c>
      <c r="AA500" s="38"/>
      <c r="AB500" s="38"/>
      <c r="AC500" s="94"/>
      <c r="AD500" s="38"/>
      <c r="AE500" s="962"/>
      <c r="AF500" s="962"/>
      <c r="AG500" s="962"/>
      <c r="AH500" s="962"/>
      <c r="AI500" s="38"/>
      <c r="AJ500" s="38"/>
      <c r="AK500" s="556"/>
      <c r="AL500" s="1005"/>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2">
        <f>+Z498-Z500</f>
        <v>0</v>
      </c>
      <c r="AA501" s="38"/>
      <c r="AB501" s="38"/>
      <c r="AC501" s="642"/>
      <c r="AD501" s="38"/>
      <c r="AE501" s="962"/>
      <c r="AF501" s="962"/>
      <c r="AG501" s="962"/>
      <c r="AH501" s="962"/>
      <c r="AI501" s="38"/>
      <c r="AJ501" s="38"/>
      <c r="AK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2"/>
      <c r="AF502" s="962"/>
      <c r="AG502" s="962"/>
      <c r="AH502" s="962"/>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2"/>
      <c r="AF503" s="962"/>
      <c r="AG503" s="962"/>
      <c r="AH503" s="962"/>
      <c r="AI503" s="38"/>
      <c r="AJ503" s="38"/>
      <c r="AK503" s="1004"/>
      <c r="AL503" s="1005"/>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2"/>
      <c r="AF504" s="962"/>
      <c r="AG504" s="962"/>
      <c r="AH504" s="962"/>
      <c r="AI504" s="38"/>
      <c r="AJ504" s="38"/>
      <c r="AK504" s="1004"/>
      <c r="AL504" s="1005"/>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2"/>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9"/>
      <c r="AG506" s="38"/>
      <c r="AH506" s="38"/>
      <c r="AI506" s="38"/>
      <c r="AJ506" s="38"/>
      <c r="AK506" s="1004"/>
      <c r="AL506" s="1005"/>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2"/>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9"/>
      <c r="AG508" s="1080"/>
      <c r="AH508" s="107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2"/>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2"/>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2"/>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3"/>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4"/>
      <c r="E531" s="86"/>
      <c r="F531" s="86"/>
      <c r="G531" s="644"/>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5"/>
      <c r="G540" s="80"/>
      <c r="H540" s="88"/>
      <c r="I540" s="645"/>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5"/>
      <c r="G547" s="80"/>
      <c r="H547" s="88"/>
      <c r="I547" s="645"/>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5"/>
      <c r="G548" s="80"/>
      <c r="H548" s="88"/>
      <c r="I548" s="645"/>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6"/>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7"/>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8"/>
      <c r="G649" s="83"/>
      <c r="H649" s="83"/>
      <c r="I649" s="648"/>
      <c r="J649" s="86"/>
      <c r="K649" s="86"/>
      <c r="L649" s="92"/>
      <c r="M649" s="86"/>
      <c r="N649" s="86"/>
      <c r="O649" s="86"/>
      <c r="P649" s="86"/>
      <c r="Q649" s="643"/>
      <c r="R649" s="83"/>
      <c r="S649" s="64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33" t="s">
        <v>682</v>
      </c>
      <c r="C2" s="1234"/>
      <c r="D2" s="1235"/>
      <c r="E2" s="3"/>
      <c r="F2" s="1233" t="s">
        <v>683</v>
      </c>
      <c r="G2" s="1234"/>
      <c r="H2" s="1235"/>
      <c r="I2" s="3"/>
      <c r="J2" s="591" t="s">
        <v>655</v>
      </c>
      <c r="K2" s="3"/>
      <c r="L2" s="591" t="s">
        <v>684</v>
      </c>
      <c r="M2" s="3"/>
      <c r="N2" s="591" t="s">
        <v>685</v>
      </c>
      <c r="O2" s="3"/>
      <c r="P2" s="1233" t="s">
        <v>686</v>
      </c>
      <c r="Q2" s="1235"/>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559" t="s">
        <v>530</v>
      </c>
      <c r="Q3" s="559" t="s">
        <v>687</v>
      </c>
      <c r="R3" s="3"/>
      <c r="S3" s="3"/>
      <c r="T3" s="3"/>
      <c r="U3" s="3"/>
      <c r="V3" s="3"/>
      <c r="W3" s="3"/>
      <c r="X3" s="3"/>
      <c r="Y3" s="3"/>
      <c r="Z3" s="3"/>
    </row>
    <row r="4" spans="1:26" ht="14.4">
      <c r="A4" s="3" t="s">
        <v>182</v>
      </c>
      <c r="B4" s="567">
        <f>+Print_Mois!J295</f>
        <v>94158.54</v>
      </c>
      <c r="C4" s="592">
        <f t="shared" ref="C4:C9" si="0">D4/B4</f>
        <v>0.39031595009863151</v>
      </c>
      <c r="D4" s="567">
        <f>+Print_Mois!L295</f>
        <v>36751.579999999994</v>
      </c>
      <c r="E4" s="3"/>
      <c r="F4" s="567">
        <f>+Print_Mois!G295</f>
        <v>0</v>
      </c>
      <c r="G4" s="592" t="e">
        <f t="shared" ref="G4:G9" si="1">H4/F4</f>
        <v>#DIV/0!</v>
      </c>
      <c r="H4" s="567">
        <f>+Print_Mois!I295</f>
        <v>0</v>
      </c>
      <c r="I4" s="3"/>
      <c r="J4" s="568">
        <f t="shared" ref="J4:J11" si="2">+D4-H4</f>
        <v>36751.579999999994</v>
      </c>
      <c r="K4" s="3"/>
      <c r="L4" s="568" t="e">
        <f t="shared" ref="L4:L9" si="3">(B4-F4)*G4</f>
        <v>#DIV/0!</v>
      </c>
      <c r="M4" s="3"/>
      <c r="N4" s="568" t="e">
        <f t="shared" ref="N4:N9" si="4">B4*(C4-G4)</f>
        <v>#DIV/0!</v>
      </c>
      <c r="O4" s="3"/>
      <c r="P4" s="569" t="e">
        <f t="shared" ref="P4:P9" si="5">+B4/F4</f>
        <v>#DIV/0!</v>
      </c>
      <c r="Q4" s="569" t="e">
        <f t="shared" ref="Q4:Q10" si="6">+D4/H4</f>
        <v>#DIV/0!</v>
      </c>
      <c r="R4" s="3"/>
      <c r="S4" s="3"/>
      <c r="T4" s="3"/>
      <c r="U4" s="3"/>
      <c r="V4" s="3"/>
      <c r="W4" s="3"/>
      <c r="X4" s="3"/>
      <c r="Y4" s="3"/>
      <c r="Z4" s="3"/>
    </row>
    <row r="5" spans="1:26" ht="14.4">
      <c r="A5" s="3" t="s">
        <v>183</v>
      </c>
      <c r="B5" s="567">
        <f>+Print_Mois!J296</f>
        <v>39357.14</v>
      </c>
      <c r="C5" s="592">
        <f t="shared" si="0"/>
        <v>0.23324890985473021</v>
      </c>
      <c r="D5" s="567">
        <f>+Print_Mois!L296</f>
        <v>9180.0099999999966</v>
      </c>
      <c r="E5" s="3"/>
      <c r="F5" s="567">
        <f>+Print_Mois!G296</f>
        <v>0</v>
      </c>
      <c r="G5" s="592" t="e">
        <f t="shared" si="1"/>
        <v>#DIV/0!</v>
      </c>
      <c r="H5" s="567">
        <f>+Print_Mois!I296</f>
        <v>0</v>
      </c>
      <c r="I5" s="3"/>
      <c r="J5" s="568">
        <f t="shared" si="2"/>
        <v>9180.0099999999966</v>
      </c>
      <c r="K5" s="3"/>
      <c r="L5" s="568" t="e">
        <f t="shared" si="3"/>
        <v>#DIV/0!</v>
      </c>
      <c r="M5" s="3"/>
      <c r="N5" s="568" t="e">
        <f t="shared" si="4"/>
        <v>#DIV/0!</v>
      </c>
      <c r="O5" s="3"/>
      <c r="P5" s="569" t="e">
        <f t="shared" si="5"/>
        <v>#DIV/0!</v>
      </c>
      <c r="Q5" s="569" t="e">
        <f t="shared" si="6"/>
        <v>#DIV/0!</v>
      </c>
      <c r="R5" s="3"/>
      <c r="S5" s="3"/>
      <c r="T5" s="3"/>
      <c r="U5" s="3"/>
      <c r="V5" s="3"/>
      <c r="W5" s="3"/>
      <c r="X5" s="3"/>
      <c r="Y5" s="3"/>
      <c r="Z5" s="3"/>
    </row>
    <row r="6" spans="1:26" ht="14.4">
      <c r="A6" s="3" t="s">
        <v>184</v>
      </c>
      <c r="B6" s="567">
        <f>+Print_Mois!J297</f>
        <v>30357.78</v>
      </c>
      <c r="C6" s="592">
        <f t="shared" si="0"/>
        <v>0.24208786017949929</v>
      </c>
      <c r="D6" s="567">
        <f>+Print_Mois!L297</f>
        <v>7349.25</v>
      </c>
      <c r="E6" s="3"/>
      <c r="F6" s="567">
        <f>+Print_Mois!G297</f>
        <v>0</v>
      </c>
      <c r="G6" s="592" t="e">
        <f t="shared" si="1"/>
        <v>#DIV/0!</v>
      </c>
      <c r="H6" s="567">
        <f>+Print_Mois!I297</f>
        <v>0</v>
      </c>
      <c r="I6" s="3"/>
      <c r="J6" s="568">
        <f t="shared" si="2"/>
        <v>7349.25</v>
      </c>
      <c r="K6" s="3"/>
      <c r="L6" s="568" t="e">
        <f t="shared" si="3"/>
        <v>#DIV/0!</v>
      </c>
      <c r="M6" s="3"/>
      <c r="N6" s="568" t="e">
        <f t="shared" si="4"/>
        <v>#DIV/0!</v>
      </c>
      <c r="O6" s="3"/>
      <c r="P6" s="569" t="e">
        <f t="shared" si="5"/>
        <v>#DIV/0!</v>
      </c>
      <c r="Q6" s="569" t="e">
        <f t="shared" si="6"/>
        <v>#DIV/0!</v>
      </c>
      <c r="R6" s="3"/>
      <c r="S6" s="3"/>
      <c r="T6" s="3"/>
      <c r="U6" s="3"/>
      <c r="V6" s="3"/>
      <c r="W6" s="3"/>
      <c r="X6" s="3"/>
      <c r="Y6" s="3"/>
      <c r="Z6" s="3"/>
    </row>
    <row r="7" spans="1:26" ht="14.4">
      <c r="A7" s="3" t="s">
        <v>185</v>
      </c>
      <c r="B7" s="567">
        <f>+Print_Mois!J298</f>
        <v>42372.56</v>
      </c>
      <c r="C7" s="592">
        <f t="shared" si="0"/>
        <v>0.28409588658320384</v>
      </c>
      <c r="D7" s="567">
        <f>+Print_Mois!L298</f>
        <v>12037.869999999999</v>
      </c>
      <c r="E7" s="3"/>
      <c r="F7" s="567">
        <f>+Print_Mois!G298</f>
        <v>0</v>
      </c>
      <c r="G7" s="592" t="e">
        <f t="shared" si="1"/>
        <v>#DIV/0!</v>
      </c>
      <c r="H7" s="567">
        <f>+Print_Mois!I298</f>
        <v>0</v>
      </c>
      <c r="I7" s="3"/>
      <c r="J7" s="568">
        <f t="shared" si="2"/>
        <v>12037.869999999999</v>
      </c>
      <c r="K7" s="3"/>
      <c r="L7" s="568" t="e">
        <f t="shared" si="3"/>
        <v>#DIV/0!</v>
      </c>
      <c r="M7" s="3"/>
      <c r="N7" s="568" t="e">
        <f t="shared" si="4"/>
        <v>#DIV/0!</v>
      </c>
      <c r="O7" s="3"/>
      <c r="P7" s="569" t="e">
        <f t="shared" si="5"/>
        <v>#DIV/0!</v>
      </c>
      <c r="Q7" s="569" t="e">
        <f t="shared" si="6"/>
        <v>#DIV/0!</v>
      </c>
      <c r="R7" s="3"/>
      <c r="S7" s="3"/>
      <c r="T7" s="3"/>
      <c r="U7" s="3"/>
      <c r="V7" s="3"/>
      <c r="W7" s="3"/>
      <c r="X7" s="3"/>
      <c r="Y7" s="3"/>
      <c r="Z7" s="3"/>
    </row>
    <row r="8" spans="1:26" ht="14.4">
      <c r="A8" s="3" t="s">
        <v>186</v>
      </c>
      <c r="B8" s="567">
        <f>+Print_Mois!J299</f>
        <v>21891.26</v>
      </c>
      <c r="C8" s="592">
        <f t="shared" si="0"/>
        <v>0.31894829260627294</v>
      </c>
      <c r="D8" s="567">
        <f>+Print_Mois!L299</f>
        <v>6982.1799999999985</v>
      </c>
      <c r="E8" s="3"/>
      <c r="F8" s="567">
        <f>+Print_Mois!G299</f>
        <v>0</v>
      </c>
      <c r="G8" s="592" t="e">
        <f t="shared" si="1"/>
        <v>#DIV/0!</v>
      </c>
      <c r="H8" s="567">
        <f>+Print_Mois!I299</f>
        <v>0</v>
      </c>
      <c r="I8" s="3"/>
      <c r="J8" s="568">
        <f t="shared" si="2"/>
        <v>6982.1799999999985</v>
      </c>
      <c r="K8" s="3"/>
      <c r="L8" s="568" t="e">
        <f t="shared" si="3"/>
        <v>#DIV/0!</v>
      </c>
      <c r="M8" s="3"/>
      <c r="N8" s="568" t="e">
        <f t="shared" si="4"/>
        <v>#DIV/0!</v>
      </c>
      <c r="O8" s="3"/>
      <c r="P8" s="569" t="e">
        <f t="shared" si="5"/>
        <v>#DIV/0!</v>
      </c>
      <c r="Q8" s="569" t="e">
        <f t="shared" si="6"/>
        <v>#DIV/0!</v>
      </c>
      <c r="R8" s="3"/>
      <c r="S8" s="3"/>
      <c r="T8" s="3"/>
      <c r="U8" s="3"/>
      <c r="V8" s="3"/>
      <c r="W8" s="3"/>
      <c r="X8" s="3"/>
      <c r="Y8" s="3"/>
      <c r="Z8" s="3"/>
    </row>
    <row r="9" spans="1:26" ht="14.4">
      <c r="A9" s="3" t="s">
        <v>187</v>
      </c>
      <c r="B9" s="567">
        <f>+Print_Mois!J300</f>
        <v>169839.65</v>
      </c>
      <c r="C9" s="592">
        <f t="shared" si="0"/>
        <v>0.13764453706775762</v>
      </c>
      <c r="D9" s="567">
        <f>+Print_Mois!L300</f>
        <v>23377.499999999978</v>
      </c>
      <c r="E9" s="3"/>
      <c r="F9" s="567">
        <f>+Print_Mois!G300</f>
        <v>0</v>
      </c>
      <c r="G9" s="592" t="e">
        <f t="shared" si="1"/>
        <v>#DIV/0!</v>
      </c>
      <c r="H9" s="567">
        <f>+Print_Mois!I300</f>
        <v>0</v>
      </c>
      <c r="I9" s="3"/>
      <c r="J9" s="568">
        <f t="shared" si="2"/>
        <v>23377.499999999978</v>
      </c>
      <c r="K9" s="3"/>
      <c r="L9" s="568" t="e">
        <f t="shared" si="3"/>
        <v>#DIV/0!</v>
      </c>
      <c r="M9" s="3"/>
      <c r="N9" s="568" t="e">
        <f t="shared" si="4"/>
        <v>#DIV/0!</v>
      </c>
      <c r="O9" s="3"/>
      <c r="P9" s="569" t="e">
        <f t="shared" si="5"/>
        <v>#DIV/0!</v>
      </c>
      <c r="Q9" s="569" t="e">
        <f t="shared" si="6"/>
        <v>#DIV/0!</v>
      </c>
      <c r="R9" s="3"/>
      <c r="S9" s="3"/>
      <c r="T9" s="3"/>
      <c r="U9" s="3"/>
      <c r="V9" s="3"/>
      <c r="W9" s="3"/>
      <c r="X9" s="3"/>
      <c r="Y9" s="3"/>
      <c r="Z9" s="3"/>
    </row>
    <row r="10" spans="1:26" ht="14.4">
      <c r="A10" s="3" t="s">
        <v>188</v>
      </c>
      <c r="B10" s="567"/>
      <c r="C10" s="592"/>
      <c r="D10" s="567">
        <f>+Print_Mois!L302</f>
        <v>17862.830000000002</v>
      </c>
      <c r="E10" s="3"/>
      <c r="F10" s="567"/>
      <c r="G10" s="592"/>
      <c r="H10" s="567">
        <f>+Print_Mois!I302</f>
        <v>0</v>
      </c>
      <c r="I10" s="3"/>
      <c r="J10" s="568">
        <f t="shared" si="2"/>
        <v>17862.830000000002</v>
      </c>
      <c r="K10" s="3"/>
      <c r="L10" s="568" t="e">
        <f>(H10/(H4+H5+H6+H7+H8+H9)*(D4+D5+D6+D7+D8+D9))-D10</f>
        <v>#DIV/0!</v>
      </c>
      <c r="M10" s="3"/>
      <c r="N10" s="568" t="e">
        <f t="shared" ref="N10:N11" si="7">+J10-L10</f>
        <v>#DIV/0!</v>
      </c>
      <c r="O10" s="3"/>
      <c r="P10" s="569"/>
      <c r="Q10" s="569" t="e">
        <f t="shared" si="6"/>
        <v>#DIV/0!</v>
      </c>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7"/>
        <v>0</v>
      </c>
      <c r="O11" s="3"/>
      <c r="P11" s="33"/>
      <c r="Q11" s="33"/>
      <c r="R11" s="3"/>
      <c r="S11" s="3"/>
      <c r="T11" s="3"/>
      <c r="U11" s="3"/>
      <c r="V11" s="3"/>
      <c r="W11" s="3"/>
      <c r="X11" s="3"/>
      <c r="Y11" s="3"/>
      <c r="Z11" s="3"/>
    </row>
    <row r="12" spans="1:26" ht="14.4">
      <c r="A12" s="3" t="s">
        <v>190</v>
      </c>
      <c r="B12" s="593">
        <f>SUM(B4:B11)</f>
        <v>397976.93</v>
      </c>
      <c r="C12" s="594">
        <f>+D12/B12</f>
        <v>0.28529598436773701</v>
      </c>
      <c r="D12" s="593">
        <f>SUM(D4:D11)</f>
        <v>113541.21999999996</v>
      </c>
      <c r="E12" s="3"/>
      <c r="F12" s="593">
        <f>SUM(F4:F11)</f>
        <v>0</v>
      </c>
      <c r="G12" s="594" t="e">
        <f>+H12/F12</f>
        <v>#DIV/0!</v>
      </c>
      <c r="H12" s="593">
        <f>SUM(H4:H11)</f>
        <v>0</v>
      </c>
      <c r="I12" s="3"/>
      <c r="J12" s="593">
        <f>SUM(J4:J11)</f>
        <v>113541.21999999996</v>
      </c>
      <c r="K12" s="3"/>
      <c r="L12" s="593" t="e">
        <f>SUM(L4:L11)</f>
        <v>#DIV/0!</v>
      </c>
      <c r="M12" s="3"/>
      <c r="N12" s="593" t="e">
        <f>SUM(N4:N11)</f>
        <v>#DIV/0!</v>
      </c>
      <c r="O12" s="3"/>
      <c r="P12" s="594" t="e">
        <f>+B12/F12</f>
        <v>#DIV/0!</v>
      </c>
      <c r="Q12" s="594" t="e">
        <f>+D12/H12</f>
        <v>#DIV/0!</v>
      </c>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3"/>
      <c r="Q13" s="33"/>
      <c r="R13" s="3"/>
      <c r="S13" s="3"/>
      <c r="T13" s="3"/>
      <c r="U13" s="3"/>
      <c r="V13" s="3"/>
      <c r="W13" s="3"/>
      <c r="X13" s="3"/>
      <c r="Y13" s="3"/>
      <c r="Z13" s="3"/>
    </row>
    <row r="14" spans="1:26" ht="14.4">
      <c r="A14" s="3" t="s">
        <v>191</v>
      </c>
      <c r="B14" s="567">
        <f>+Print_Mois!J307</f>
        <v>33810.450000000004</v>
      </c>
      <c r="C14" s="592">
        <f t="shared" ref="C14:C15" si="8">D14/B14</f>
        <v>0.15712154082539578</v>
      </c>
      <c r="D14" s="567">
        <f>+Print_Mois!L307</f>
        <v>5312.350000000004</v>
      </c>
      <c r="E14" s="3"/>
      <c r="F14" s="567">
        <f>+Print_Mois!G307</f>
        <v>0</v>
      </c>
      <c r="G14" s="592" t="e">
        <f t="shared" ref="G14:G15" si="9">H14/F14</f>
        <v>#DIV/0!</v>
      </c>
      <c r="H14" s="567">
        <f>+Print_Mois!I307</f>
        <v>0</v>
      </c>
      <c r="I14" s="3"/>
      <c r="J14" s="568">
        <f t="shared" ref="J14:J15" si="10">+D14-H14</f>
        <v>5312.350000000004</v>
      </c>
      <c r="K14" s="3"/>
      <c r="L14" s="568" t="e">
        <f t="shared" ref="L14:L15" si="11">(B14-F14)*G14</f>
        <v>#DIV/0!</v>
      </c>
      <c r="M14" s="3"/>
      <c r="N14" s="568" t="e">
        <f t="shared" ref="N14:N15" si="12">B14*(C14-G14)</f>
        <v>#DIV/0!</v>
      </c>
      <c r="O14" s="3"/>
      <c r="P14" s="569" t="e">
        <f t="shared" ref="P14:P16" si="13">+B14/F14</f>
        <v>#DIV/0!</v>
      </c>
      <c r="Q14" s="569" t="e">
        <f t="shared" ref="Q14:Q16" si="14">+D14/H14</f>
        <v>#DIV/0!</v>
      </c>
      <c r="R14" s="3"/>
      <c r="S14" s="3"/>
      <c r="T14" s="3"/>
      <c r="U14" s="3"/>
      <c r="V14" s="3"/>
      <c r="W14" s="3"/>
      <c r="X14" s="3"/>
      <c r="Y14" s="3"/>
      <c r="Z14" s="3"/>
    </row>
    <row r="15" spans="1:26" ht="14.4">
      <c r="A15" s="3" t="s">
        <v>192</v>
      </c>
      <c r="B15" s="567">
        <f>+Print_Mois!J308</f>
        <v>27235.040000000001</v>
      </c>
      <c r="C15" s="592">
        <f t="shared" si="8"/>
        <v>0.26812554708933783</v>
      </c>
      <c r="D15" s="567">
        <f>+Print_Mois!L308</f>
        <v>7302.41</v>
      </c>
      <c r="E15" s="3"/>
      <c r="F15" s="567">
        <f>+Print_Mois!G308</f>
        <v>0</v>
      </c>
      <c r="G15" s="592" t="e">
        <f t="shared" si="9"/>
        <v>#DIV/0!</v>
      </c>
      <c r="H15" s="567">
        <f>+Print_Mois!I308</f>
        <v>0</v>
      </c>
      <c r="I15" s="3"/>
      <c r="J15" s="568">
        <f t="shared" si="10"/>
        <v>7302.41</v>
      </c>
      <c r="K15" s="3"/>
      <c r="L15" s="568" t="e">
        <f t="shared" si="11"/>
        <v>#DIV/0!</v>
      </c>
      <c r="M15" s="3"/>
      <c r="N15" s="568" t="e">
        <f t="shared" si="12"/>
        <v>#DIV/0!</v>
      </c>
      <c r="O15" s="3"/>
      <c r="P15" s="569" t="e">
        <f t="shared" si="13"/>
        <v>#DIV/0!</v>
      </c>
      <c r="Q15" s="569" t="e">
        <f t="shared" si="14"/>
        <v>#DIV/0!</v>
      </c>
      <c r="R15" s="3"/>
      <c r="S15" s="3"/>
      <c r="T15" s="3"/>
      <c r="U15" s="3"/>
      <c r="V15" s="3"/>
      <c r="W15" s="3"/>
      <c r="X15" s="3"/>
      <c r="Y15" s="3"/>
      <c r="Z15" s="3"/>
    </row>
    <row r="16" spans="1:26" ht="14.4">
      <c r="A16" s="3" t="s">
        <v>193</v>
      </c>
      <c r="B16" s="595">
        <f>SUM(B14:B15)</f>
        <v>61045.490000000005</v>
      </c>
      <c r="C16" s="596">
        <f>+D16/B16</f>
        <v>0.2066452411144542</v>
      </c>
      <c r="D16" s="595">
        <f>SUM(D14:D15)</f>
        <v>12614.760000000004</v>
      </c>
      <c r="E16" s="3"/>
      <c r="F16" s="595">
        <f>SUM(F14:F15)</f>
        <v>0</v>
      </c>
      <c r="G16" s="596" t="e">
        <f>+H16/F16</f>
        <v>#DIV/0!</v>
      </c>
      <c r="H16" s="595">
        <f>SUM(H14:H15)</f>
        <v>0</v>
      </c>
      <c r="I16" s="3"/>
      <c r="J16" s="595">
        <f>SUM(J14:J15)</f>
        <v>12614.760000000004</v>
      </c>
      <c r="K16" s="3"/>
      <c r="L16" s="595" t="e">
        <f>SUM(L14:L15)</f>
        <v>#DIV/0!</v>
      </c>
      <c r="M16" s="3"/>
      <c r="N16" s="595" t="e">
        <f>SUM(N14:N15)</f>
        <v>#DIV/0!</v>
      </c>
      <c r="O16" s="3"/>
      <c r="P16" s="596" t="e">
        <f t="shared" si="13"/>
        <v>#DIV/0!</v>
      </c>
      <c r="Q16" s="596" t="e">
        <f t="shared" si="14"/>
        <v>#DIV/0!</v>
      </c>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569"/>
      <c r="Q17" s="569"/>
      <c r="R17" s="3"/>
      <c r="S17" s="3"/>
      <c r="T17" s="3"/>
      <c r="U17" s="3"/>
      <c r="V17" s="3"/>
      <c r="W17" s="3"/>
      <c r="X17" s="3"/>
      <c r="Y17" s="3"/>
      <c r="Z17" s="3"/>
    </row>
    <row r="18" spans="1:26" ht="14.4">
      <c r="A18" s="3" t="s">
        <v>688</v>
      </c>
      <c r="B18" s="597">
        <f>+B12+B16</f>
        <v>459022.42</v>
      </c>
      <c r="C18" s="598">
        <f>+D18/B18</f>
        <v>0.27483620516836621</v>
      </c>
      <c r="D18" s="597">
        <f>+D12+D16</f>
        <v>126155.97999999997</v>
      </c>
      <c r="E18" s="3"/>
      <c r="F18" s="597">
        <f>+F12+F16</f>
        <v>0</v>
      </c>
      <c r="G18" s="598" t="e">
        <f>+H18/F18</f>
        <v>#DIV/0!</v>
      </c>
      <c r="H18" s="597">
        <f>+H12+H16</f>
        <v>0</v>
      </c>
      <c r="I18" s="3"/>
      <c r="J18" s="597">
        <f>+J12+J16</f>
        <v>126155.97999999997</v>
      </c>
      <c r="K18" s="3"/>
      <c r="L18" s="597" t="e">
        <f>+L12+L16</f>
        <v>#DIV/0!</v>
      </c>
      <c r="M18" s="3"/>
      <c r="N18" s="597" t="e">
        <f>+N12+N16</f>
        <v>#DIV/0!</v>
      </c>
      <c r="O18" s="3"/>
      <c r="P18" s="598" t="e">
        <f>+B18/F18</f>
        <v>#DIV/0!</v>
      </c>
      <c r="Q18" s="598"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459022.42</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60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0" t="s">
        <v>702</v>
      </c>
      <c r="C1" s="1231"/>
      <c r="D1" s="1231"/>
      <c r="E1" s="1231"/>
      <c r="F1" s="1231"/>
      <c r="G1" s="1231"/>
      <c r="H1" s="1231"/>
      <c r="I1" s="1231"/>
      <c r="J1" s="1231"/>
      <c r="K1" s="1231"/>
      <c r="L1" s="1231"/>
      <c r="M1" s="1231"/>
      <c r="N1" s="1231"/>
      <c r="O1" s="1231"/>
      <c r="P1" s="1231"/>
      <c r="Q1" s="1231"/>
      <c r="R1" s="1231"/>
      <c r="S1" s="1231"/>
      <c r="T1" s="123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Print_AAD!J27</f>
        <v>268</v>
      </c>
      <c r="D5" s="562">
        <f>Print_AAD!L27/Print_AAD!J27</f>
        <v>3495.6482835820934</v>
      </c>
      <c r="E5" s="563">
        <f t="shared" ref="E5:E6" si="0">+C5*D5</f>
        <v>936833.74000000104</v>
      </c>
      <c r="F5" s="3"/>
      <c r="G5" s="231" t="s">
        <v>656</v>
      </c>
      <c r="H5" s="561">
        <f>Print_AAD!J108</f>
        <v>227</v>
      </c>
      <c r="I5" s="562">
        <f>Print_AAD!L108/Print_AAD!J108</f>
        <v>751.64828193832727</v>
      </c>
      <c r="J5" s="563">
        <f t="shared" ref="J5:J6" si="1">+H5*I5</f>
        <v>170624.16000000029</v>
      </c>
      <c r="K5" s="3"/>
      <c r="L5" s="231" t="s">
        <v>656</v>
      </c>
      <c r="M5" s="562">
        <f>Print_AAD!K194</f>
        <v>1026425.98</v>
      </c>
      <c r="N5" s="564">
        <f t="shared" ref="N5:N6" si="2">O5/M5</f>
        <v>0.69604041004496009</v>
      </c>
      <c r="O5" s="562">
        <f>Print_AAD!L194</f>
        <v>714433.96</v>
      </c>
      <c r="P5" s="3"/>
      <c r="Q5" s="231" t="s">
        <v>656</v>
      </c>
      <c r="R5" s="565">
        <f>Print_AAD!J185</f>
        <v>3000</v>
      </c>
      <c r="S5" s="562">
        <f>Print_AAD!K185/Print_AAD!J185</f>
        <v>313.34120000000001</v>
      </c>
      <c r="T5" s="563">
        <f t="shared" ref="T5:T6" si="3">+R5*S5</f>
        <v>940023.60000000009</v>
      </c>
      <c r="U5" s="3"/>
      <c r="V5" s="3"/>
      <c r="W5" s="3"/>
      <c r="X5" s="3"/>
      <c r="Y5" s="3"/>
      <c r="Z5" s="3"/>
    </row>
    <row r="6" spans="1:26" ht="14.4">
      <c r="A6" s="3"/>
      <c r="B6" s="133" t="s">
        <v>286</v>
      </c>
      <c r="C6" s="566">
        <f>Print_AAD!G27</f>
        <v>0</v>
      </c>
      <c r="D6" s="567" t="e">
        <f>Print_AAD!I27/Print_AAD!G27</f>
        <v>#DIV/0!</v>
      </c>
      <c r="E6" s="568" t="e">
        <f t="shared" si="0"/>
        <v>#DIV/0!</v>
      </c>
      <c r="F6" s="3"/>
      <c r="G6" s="133" t="s">
        <v>286</v>
      </c>
      <c r="H6" s="566">
        <f>Print_AAD!G108</f>
        <v>0</v>
      </c>
      <c r="I6" s="567" t="e">
        <f>Print_AAD!I108/Print_AAD!G108</f>
        <v>#DIV/0!</v>
      </c>
      <c r="J6" s="568" t="e">
        <f t="shared" si="1"/>
        <v>#DIV/0!</v>
      </c>
      <c r="K6" s="3"/>
      <c r="L6" s="133" t="s">
        <v>286</v>
      </c>
      <c r="M6" s="567">
        <f>Print_AAD!H194</f>
        <v>0</v>
      </c>
      <c r="N6" s="569" t="e">
        <f t="shared" si="2"/>
        <v>#DIV/0!</v>
      </c>
      <c r="O6" s="567">
        <f>Print_AAD!I194</f>
        <v>0</v>
      </c>
      <c r="P6" s="3"/>
      <c r="Q6" s="133" t="s">
        <v>286</v>
      </c>
      <c r="R6" s="570">
        <f>Print_AAD!G185</f>
        <v>0</v>
      </c>
      <c r="S6" s="567" t="e">
        <f>Print_AAD!H185/Print_AAD!G185</f>
        <v>#DIV/0!</v>
      </c>
      <c r="T6" s="568" t="e">
        <f t="shared" si="3"/>
        <v>#DIV/0!</v>
      </c>
      <c r="U6" s="3"/>
      <c r="V6" s="3"/>
      <c r="W6" s="3"/>
      <c r="X6" s="3"/>
      <c r="Y6" s="3"/>
      <c r="Z6" s="3"/>
    </row>
    <row r="7" spans="1:26" ht="14.4">
      <c r="A7" s="3"/>
      <c r="B7" s="133" t="s">
        <v>655</v>
      </c>
      <c r="C7" s="571">
        <f t="shared" ref="C7:E7" si="4">+C5-C6</f>
        <v>268</v>
      </c>
      <c r="D7" s="572" t="e">
        <f t="shared" si="4"/>
        <v>#DIV/0!</v>
      </c>
      <c r="E7" s="573" t="e">
        <f t="shared" si="4"/>
        <v>#DIV/0!</v>
      </c>
      <c r="F7" s="3"/>
      <c r="G7" s="133" t="s">
        <v>655</v>
      </c>
      <c r="H7" s="571">
        <f t="shared" ref="H7:J7" si="5">+H5-H6</f>
        <v>227</v>
      </c>
      <c r="I7" s="572" t="e">
        <f t="shared" si="5"/>
        <v>#DIV/0!</v>
      </c>
      <c r="J7" s="573" t="e">
        <f t="shared" si="5"/>
        <v>#DIV/0!</v>
      </c>
      <c r="K7" s="3"/>
      <c r="L7" s="133" t="s">
        <v>655</v>
      </c>
      <c r="M7" s="572">
        <f t="shared" ref="M7:O7" si="6">+M5-M6</f>
        <v>1026425.98</v>
      </c>
      <c r="N7" s="574" t="e">
        <f t="shared" si="6"/>
        <v>#DIV/0!</v>
      </c>
      <c r="O7" s="573">
        <f t="shared" si="6"/>
        <v>714433.96</v>
      </c>
      <c r="P7" s="3"/>
      <c r="Q7" s="133" t="s">
        <v>655</v>
      </c>
      <c r="R7" s="575">
        <f t="shared" ref="R7:T7" si="7">+R5-R6</f>
        <v>3000</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703</v>
      </c>
      <c r="C10" s="579">
        <f t="shared" ref="C10:D10" si="12">+C5</f>
        <v>268</v>
      </c>
      <c r="D10" s="563">
        <f t="shared" si="12"/>
        <v>3495.6482835820934</v>
      </c>
      <c r="E10" s="568">
        <f>+C10*D10</f>
        <v>936833.74000000104</v>
      </c>
      <c r="F10" s="3"/>
      <c r="G10" s="133" t="s">
        <v>704</v>
      </c>
      <c r="H10" s="579">
        <f t="shared" ref="H10:I10" si="13">+H5</f>
        <v>227</v>
      </c>
      <c r="I10" s="563">
        <f t="shared" si="13"/>
        <v>751.64828193832727</v>
      </c>
      <c r="J10" s="568">
        <f>+H10*I10</f>
        <v>170624.16000000029</v>
      </c>
      <c r="K10" s="3"/>
      <c r="L10" s="133" t="s">
        <v>705</v>
      </c>
      <c r="M10" s="563">
        <f t="shared" ref="M10:N10" si="14">+M5</f>
        <v>1026425.98</v>
      </c>
      <c r="N10" s="564">
        <f t="shared" si="14"/>
        <v>0.69604041004496009</v>
      </c>
      <c r="O10" s="568">
        <f>+M10*N10</f>
        <v>714433.96</v>
      </c>
      <c r="P10" s="3"/>
      <c r="Q10" s="133" t="s">
        <v>706</v>
      </c>
      <c r="R10" s="580">
        <f t="shared" ref="R10:S10" si="15">+R5</f>
        <v>3000</v>
      </c>
      <c r="S10" s="563">
        <f t="shared" si="15"/>
        <v>313.34120000000001</v>
      </c>
      <c r="T10" s="568">
        <f>+R10*S10</f>
        <v>940023.60000000009</v>
      </c>
      <c r="U10" s="3"/>
      <c r="V10" s="3"/>
      <c r="W10" s="3"/>
      <c r="X10" s="3"/>
      <c r="Y10" s="3"/>
      <c r="Z10" s="3"/>
    </row>
    <row r="11" spans="1:26" ht="14.4">
      <c r="A11" s="3"/>
      <c r="B11" s="133" t="s">
        <v>663</v>
      </c>
      <c r="C11" s="579">
        <f>+C5</f>
        <v>268</v>
      </c>
      <c r="D11" s="568" t="e">
        <f>+D6</f>
        <v>#DIV/0!</v>
      </c>
      <c r="E11" s="568" t="e">
        <f>C11*D11</f>
        <v>#DIV/0!</v>
      </c>
      <c r="F11" s="3"/>
      <c r="G11" s="133" t="s">
        <v>663</v>
      </c>
      <c r="H11" s="579">
        <f>+H5</f>
        <v>227</v>
      </c>
      <c r="I11" s="568" t="e">
        <f>+I6</f>
        <v>#DIV/0!</v>
      </c>
      <c r="J11" s="568" t="e">
        <f>H11*I11</f>
        <v>#DIV/0!</v>
      </c>
      <c r="K11" s="3"/>
      <c r="L11" s="133" t="s">
        <v>663</v>
      </c>
      <c r="M11" s="563">
        <f>+M5</f>
        <v>1026425.98</v>
      </c>
      <c r="N11" s="569" t="e">
        <f>+N6</f>
        <v>#DIV/0!</v>
      </c>
      <c r="O11" s="568" t="e">
        <f>M11*N11</f>
        <v>#DIV/0!</v>
      </c>
      <c r="P11" s="3"/>
      <c r="Q11" s="133" t="s">
        <v>664</v>
      </c>
      <c r="R11" s="580">
        <f>+R5</f>
        <v>3000</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707</v>
      </c>
      <c r="C15" s="579">
        <f t="shared" ref="C15:C16" si="20">+C5</f>
        <v>268</v>
      </c>
      <c r="D15" s="568" t="e">
        <f>+D6</f>
        <v>#DIV/0!</v>
      </c>
      <c r="E15" s="568" t="e">
        <f>+C15*D15</f>
        <v>#DIV/0!</v>
      </c>
      <c r="F15" s="3"/>
      <c r="G15" s="133" t="s">
        <v>708</v>
      </c>
      <c r="H15" s="579">
        <f t="shared" ref="H15:H16" si="21">+H5</f>
        <v>227</v>
      </c>
      <c r="I15" s="568" t="e">
        <f>+I6</f>
        <v>#DIV/0!</v>
      </c>
      <c r="J15" s="568" t="e">
        <f>+H15*I15</f>
        <v>#DIV/0!</v>
      </c>
      <c r="K15" s="3"/>
      <c r="L15" s="133" t="s">
        <v>709</v>
      </c>
      <c r="M15" s="563">
        <f t="shared" ref="M15:M16" si="22">+M5</f>
        <v>1026425.98</v>
      </c>
      <c r="N15" s="569" t="e">
        <f>+N6</f>
        <v>#DIV/0!</v>
      </c>
      <c r="O15" s="568" t="e">
        <f>+M15*N15</f>
        <v>#DIV/0!</v>
      </c>
      <c r="P15" s="3"/>
      <c r="Q15" s="133" t="s">
        <v>710</v>
      </c>
      <c r="R15" s="580">
        <f t="shared" ref="R15:R16" si="23">+R5</f>
        <v>3000</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268</v>
      </c>
      <c r="D17" s="572" t="e">
        <f t="shared" si="24"/>
        <v>#DIV/0!</v>
      </c>
      <c r="E17" s="573" t="e">
        <f t="shared" si="24"/>
        <v>#DIV/0!</v>
      </c>
      <c r="F17" s="3"/>
      <c r="G17" s="133" t="s">
        <v>665</v>
      </c>
      <c r="H17" s="571">
        <f t="shared" ref="H17:J17" si="25">+H15-H16</f>
        <v>227</v>
      </c>
      <c r="I17" s="572" t="e">
        <f t="shared" si="25"/>
        <v>#DIV/0!</v>
      </c>
      <c r="J17" s="573" t="e">
        <f t="shared" si="25"/>
        <v>#DIV/0!</v>
      </c>
      <c r="K17" s="3"/>
      <c r="L17" s="133" t="s">
        <v>665</v>
      </c>
      <c r="M17" s="572">
        <f t="shared" ref="M17:O17" si="26">+M15-M16</f>
        <v>1026425.98</v>
      </c>
      <c r="N17" s="574" t="e">
        <f t="shared" si="26"/>
        <v>#DIV/0!</v>
      </c>
      <c r="O17" s="573" t="e">
        <f t="shared" si="26"/>
        <v>#DIV/0!</v>
      </c>
      <c r="P17" s="3"/>
      <c r="Q17" s="133" t="s">
        <v>665</v>
      </c>
      <c r="R17" s="575">
        <f t="shared" ref="R17:T17" si="27">+R15-R16</f>
        <v>3000</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268</v>
      </c>
      <c r="D20" s="568" t="e">
        <f t="shared" si="28"/>
        <v>#DIV/0!</v>
      </c>
      <c r="E20" s="568" t="e">
        <f>+C20*D20</f>
        <v>#DIV/0!</v>
      </c>
      <c r="F20" s="3"/>
      <c r="G20" s="133" t="s">
        <v>672</v>
      </c>
      <c r="H20" s="581">
        <f t="shared" ref="H20:I20" si="29">MAX(H5:H6)</f>
        <v>227</v>
      </c>
      <c r="I20" s="568" t="e">
        <f t="shared" si="29"/>
        <v>#DIV/0!</v>
      </c>
      <c r="J20" s="568" t="e">
        <f>+H20*I20</f>
        <v>#DIV/0!</v>
      </c>
      <c r="K20" s="3"/>
      <c r="L20" s="133" t="s">
        <v>672</v>
      </c>
      <c r="M20" s="568">
        <f t="shared" ref="M20:N20" si="30">MAX(M5:M6)</f>
        <v>1026425.98</v>
      </c>
      <c r="N20" s="569" t="e">
        <f t="shared" si="30"/>
        <v>#DIV/0!</v>
      </c>
      <c r="O20" s="568" t="e">
        <f>+M20*N20</f>
        <v>#DIV/0!</v>
      </c>
      <c r="P20" s="3"/>
      <c r="Q20" s="133" t="s">
        <v>672</v>
      </c>
      <c r="R20" s="582">
        <f t="shared" ref="R20:S20" si="31">MAX(R5:R6)</f>
        <v>3000</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268</v>
      </c>
      <c r="D23" s="572" t="e">
        <f t="shared" si="36"/>
        <v>#DIV/0!</v>
      </c>
      <c r="E23" s="572" t="e">
        <f t="shared" si="36"/>
        <v>#DIV/0!</v>
      </c>
      <c r="F23" s="3"/>
      <c r="G23" s="133" t="s">
        <v>674</v>
      </c>
      <c r="H23" s="571">
        <f t="shared" ref="H23:J23" si="37">+H20-H22</f>
        <v>227</v>
      </c>
      <c r="I23" s="572" t="e">
        <f t="shared" si="37"/>
        <v>#DIV/0!</v>
      </c>
      <c r="J23" s="572" t="e">
        <f t="shared" si="37"/>
        <v>#DIV/0!</v>
      </c>
      <c r="K23" s="3"/>
      <c r="L23" s="133" t="s">
        <v>674</v>
      </c>
      <c r="M23" s="572">
        <f t="shared" ref="M23:O23" si="38">+M20-M22</f>
        <v>1026425.98</v>
      </c>
      <c r="N23" s="574" t="e">
        <f t="shared" si="38"/>
        <v>#DIV/0!</v>
      </c>
      <c r="O23" s="572" t="e">
        <f t="shared" si="38"/>
        <v>#DIV/0!</v>
      </c>
      <c r="P23" s="3"/>
      <c r="Q23" s="133" t="s">
        <v>674</v>
      </c>
      <c r="R23" s="575">
        <f t="shared" ref="R23:T23" si="39">+R20-R22</f>
        <v>3000</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268</v>
      </c>
      <c r="D32" s="568">
        <f t="shared" ref="D32:D33" si="40">+E32/C32</f>
        <v>337.76412287909449</v>
      </c>
      <c r="E32" s="568">
        <f>+Print_AAD!N78</f>
        <v>90520.784931597329</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268</v>
      </c>
      <c r="D33" s="568">
        <f t="shared" si="40"/>
        <v>149.77217723880594</v>
      </c>
      <c r="E33" s="568">
        <f>+Print_AAD!N82</f>
        <v>40138.943499999994</v>
      </c>
      <c r="F33" s="3"/>
      <c r="G33" s="133" t="s">
        <v>681</v>
      </c>
      <c r="H33" s="590">
        <f>+H17</f>
        <v>227</v>
      </c>
      <c r="I33" s="568">
        <f>+J33/H33</f>
        <v>-163.85525440528633</v>
      </c>
      <c r="J33" s="568">
        <f>+Print_AAD!N159</f>
        <v>-37195.142749999999</v>
      </c>
      <c r="K33" s="3"/>
      <c r="L33" s="3"/>
      <c r="M33" s="3"/>
      <c r="N33" s="3"/>
      <c r="O33" s="3"/>
      <c r="P33" s="3"/>
      <c r="Q33" s="3"/>
      <c r="R33" s="3"/>
      <c r="S33" s="3"/>
      <c r="T33" s="3"/>
      <c r="U33" s="3"/>
      <c r="V33" s="3"/>
      <c r="W33" s="3"/>
      <c r="X33" s="3"/>
      <c r="Y33" s="3"/>
      <c r="Z33" s="3"/>
    </row>
    <row r="34" spans="1:26" ht="15.75" customHeight="1">
      <c r="A34" s="3"/>
      <c r="B34" s="3"/>
      <c r="C34" s="3"/>
      <c r="D34" s="3"/>
      <c r="E34" s="572">
        <f>SUM(E32:E33)</f>
        <v>130659.72843159732</v>
      </c>
      <c r="F34" s="3"/>
      <c r="G34" s="3"/>
      <c r="H34" s="3"/>
      <c r="I34" s="3"/>
      <c r="J34" s="572">
        <f>SUM(J32:J33)</f>
        <v>-37195.142749999999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33" t="s">
        <v>682</v>
      </c>
      <c r="C2" s="1234"/>
      <c r="D2" s="1235"/>
      <c r="E2" s="3"/>
      <c r="F2" s="1233" t="s">
        <v>683</v>
      </c>
      <c r="G2" s="1234"/>
      <c r="H2" s="1235"/>
      <c r="I2" s="3"/>
      <c r="J2" s="591" t="s">
        <v>655</v>
      </c>
      <c r="K2" s="3"/>
      <c r="L2" s="591" t="s">
        <v>684</v>
      </c>
      <c r="M2" s="3"/>
      <c r="N2" s="591" t="s">
        <v>685</v>
      </c>
      <c r="O2" s="3"/>
      <c r="P2" s="3"/>
      <c r="Q2" s="3"/>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3"/>
      <c r="Q3" s="3"/>
      <c r="R3" s="3"/>
      <c r="S3" s="3"/>
      <c r="T3" s="3"/>
      <c r="U3" s="3"/>
      <c r="V3" s="3"/>
      <c r="W3" s="3"/>
      <c r="X3" s="3"/>
      <c r="Y3" s="3"/>
      <c r="Z3" s="3"/>
    </row>
    <row r="4" spans="1:26" ht="14.4">
      <c r="A4" s="3" t="s">
        <v>182</v>
      </c>
      <c r="B4" s="567">
        <f>+Print_AAD!J295</f>
        <v>287635.40000000002</v>
      </c>
      <c r="C4" s="592">
        <f t="shared" ref="C4:C9" si="0">D4/B4</f>
        <v>0.36874560641701271</v>
      </c>
      <c r="D4" s="567">
        <f>+Print_AAD!L295</f>
        <v>106064.29000000002</v>
      </c>
      <c r="E4" s="3"/>
      <c r="F4" s="567">
        <f>+Print_AAD!G295</f>
        <v>0</v>
      </c>
      <c r="G4" s="592" t="e">
        <f t="shared" ref="G4:G9" si="1">H4/F4</f>
        <v>#DIV/0!</v>
      </c>
      <c r="H4" s="567">
        <f>+Print_AAD!I295</f>
        <v>0</v>
      </c>
      <c r="I4" s="3"/>
      <c r="J4" s="568">
        <f t="shared" ref="J4:J11" si="2">+D4-H4</f>
        <v>106064.29000000002</v>
      </c>
      <c r="K4" s="3"/>
      <c r="L4" s="568" t="e">
        <f t="shared" ref="L4:L9" si="3">(B4-F4)*G4</f>
        <v>#DIV/0!</v>
      </c>
      <c r="M4" s="3"/>
      <c r="N4" s="568" t="e">
        <f t="shared" ref="N4:N9" si="4">B4*(C4-G4)</f>
        <v>#DIV/0!</v>
      </c>
      <c r="O4" s="3"/>
      <c r="P4" s="3"/>
      <c r="Q4" s="3"/>
      <c r="R4" s="3"/>
      <c r="S4" s="3"/>
      <c r="T4" s="3"/>
      <c r="U4" s="3"/>
      <c r="V4" s="3"/>
      <c r="W4" s="3"/>
      <c r="X4" s="3"/>
      <c r="Y4" s="3"/>
      <c r="Z4" s="3"/>
    </row>
    <row r="5" spans="1:26" ht="14.4">
      <c r="A5" s="3" t="s">
        <v>183</v>
      </c>
      <c r="B5" s="567">
        <f>+Print_AAD!J296</f>
        <v>163972.52000000002</v>
      </c>
      <c r="C5" s="592">
        <f t="shared" si="0"/>
        <v>0.24872118816006494</v>
      </c>
      <c r="D5" s="567">
        <f>+Print_AAD!L296</f>
        <v>40783.440000000017</v>
      </c>
      <c r="E5" s="3"/>
      <c r="F5" s="567">
        <f>+Print_AAD!G296</f>
        <v>0</v>
      </c>
      <c r="G5" s="592" t="e">
        <f t="shared" si="1"/>
        <v>#DIV/0!</v>
      </c>
      <c r="H5" s="567">
        <f>+Print_AAD!I296</f>
        <v>0</v>
      </c>
      <c r="I5" s="3"/>
      <c r="J5" s="568">
        <f t="shared" si="2"/>
        <v>40783.440000000017</v>
      </c>
      <c r="K5" s="3"/>
      <c r="L5" s="568" t="e">
        <f t="shared" si="3"/>
        <v>#DIV/0!</v>
      </c>
      <c r="M5" s="3"/>
      <c r="N5" s="568" t="e">
        <f t="shared" si="4"/>
        <v>#DIV/0!</v>
      </c>
      <c r="O5" s="3"/>
      <c r="P5" s="3"/>
      <c r="Q5" s="3"/>
      <c r="R5" s="3"/>
      <c r="S5" s="3"/>
      <c r="T5" s="3"/>
      <c r="U5" s="3"/>
      <c r="V5" s="3"/>
      <c r="W5" s="3"/>
      <c r="X5" s="3"/>
      <c r="Y5" s="3"/>
      <c r="Z5" s="3"/>
    </row>
    <row r="6" spans="1:26" ht="14.4">
      <c r="A6" s="3" t="s">
        <v>184</v>
      </c>
      <c r="B6" s="567">
        <f>+Print_AAD!J297</f>
        <v>118614.72</v>
      </c>
      <c r="C6" s="592">
        <f t="shared" si="0"/>
        <v>0.23659845928060191</v>
      </c>
      <c r="D6" s="567">
        <f>+Print_AAD!L297</f>
        <v>28064.059999999998</v>
      </c>
      <c r="E6" s="3"/>
      <c r="F6" s="567">
        <f>+Print_AAD!G297</f>
        <v>0</v>
      </c>
      <c r="G6" s="592" t="e">
        <f t="shared" si="1"/>
        <v>#DIV/0!</v>
      </c>
      <c r="H6" s="567">
        <f>+Print_AAD!I297</f>
        <v>0</v>
      </c>
      <c r="I6" s="3"/>
      <c r="J6" s="568">
        <f t="shared" si="2"/>
        <v>28064.059999999998</v>
      </c>
      <c r="K6" s="3"/>
      <c r="L6" s="568" t="e">
        <f t="shared" si="3"/>
        <v>#DIV/0!</v>
      </c>
      <c r="M6" s="3"/>
      <c r="N6" s="568" t="e">
        <f t="shared" si="4"/>
        <v>#DIV/0!</v>
      </c>
      <c r="O6" s="3"/>
      <c r="P6" s="3"/>
      <c r="Q6" s="3"/>
      <c r="R6" s="3"/>
      <c r="S6" s="3"/>
      <c r="T6" s="3"/>
      <c r="U6" s="3"/>
      <c r="V6" s="3"/>
      <c r="W6" s="3"/>
      <c r="X6" s="3"/>
      <c r="Y6" s="3"/>
      <c r="Z6" s="3"/>
    </row>
    <row r="7" spans="1:26" ht="14.4">
      <c r="A7" s="3" t="s">
        <v>185</v>
      </c>
      <c r="B7" s="567">
        <f>+Print_AAD!J298</f>
        <v>206424.65</v>
      </c>
      <c r="C7" s="592">
        <f t="shared" si="0"/>
        <v>0.2647758395133526</v>
      </c>
      <c r="D7" s="567">
        <f>+Print_AAD!L298</f>
        <v>54656.25999999998</v>
      </c>
      <c r="E7" s="3"/>
      <c r="F7" s="567">
        <f>+Print_AAD!G298</f>
        <v>0</v>
      </c>
      <c r="G7" s="592" t="e">
        <f t="shared" si="1"/>
        <v>#DIV/0!</v>
      </c>
      <c r="H7" s="567">
        <f>+Print_AAD!I298</f>
        <v>0</v>
      </c>
      <c r="I7" s="3"/>
      <c r="J7" s="568">
        <f t="shared" si="2"/>
        <v>54656.25999999998</v>
      </c>
      <c r="K7" s="3"/>
      <c r="L7" s="568" t="e">
        <f t="shared" si="3"/>
        <v>#DIV/0!</v>
      </c>
      <c r="M7" s="3"/>
      <c r="N7" s="568" t="e">
        <f t="shared" si="4"/>
        <v>#DIV/0!</v>
      </c>
      <c r="O7" s="3"/>
      <c r="P7" s="3"/>
      <c r="Q7" s="3"/>
      <c r="R7" s="3"/>
      <c r="S7" s="3"/>
      <c r="T7" s="3"/>
      <c r="U7" s="3"/>
      <c r="V7" s="3"/>
      <c r="W7" s="3"/>
      <c r="X7" s="3"/>
      <c r="Y7" s="3"/>
      <c r="Z7" s="3"/>
    </row>
    <row r="8" spans="1:26" ht="14.4">
      <c r="A8" s="3" t="s">
        <v>186</v>
      </c>
      <c r="B8" s="567">
        <f>+Print_AAD!J299</f>
        <v>65129.599999999999</v>
      </c>
      <c r="C8" s="592">
        <f t="shared" si="0"/>
        <v>0.30409153441753062</v>
      </c>
      <c r="D8" s="567">
        <f>+Print_AAD!L299</f>
        <v>19805.36</v>
      </c>
      <c r="E8" s="3"/>
      <c r="F8" s="567">
        <f>+Print_AAD!G299</f>
        <v>0</v>
      </c>
      <c r="G8" s="592" t="e">
        <f t="shared" si="1"/>
        <v>#DIV/0!</v>
      </c>
      <c r="H8" s="567">
        <f>+Print_AAD!I299</f>
        <v>0</v>
      </c>
      <c r="I8" s="3"/>
      <c r="J8" s="568">
        <f t="shared" si="2"/>
        <v>19805.36</v>
      </c>
      <c r="K8" s="3"/>
      <c r="L8" s="568" t="e">
        <f t="shared" si="3"/>
        <v>#DIV/0!</v>
      </c>
      <c r="M8" s="3"/>
      <c r="N8" s="568" t="e">
        <f t="shared" si="4"/>
        <v>#DIV/0!</v>
      </c>
      <c r="O8" s="3"/>
      <c r="P8" s="3"/>
      <c r="Q8" s="3"/>
      <c r="R8" s="3"/>
      <c r="S8" s="3"/>
      <c r="T8" s="3"/>
      <c r="U8" s="3"/>
      <c r="V8" s="3"/>
      <c r="W8" s="3"/>
      <c r="X8" s="3"/>
      <c r="Y8" s="3"/>
      <c r="Z8" s="3"/>
    </row>
    <row r="9" spans="1:26" ht="14.4">
      <c r="A9" s="3" t="s">
        <v>187</v>
      </c>
      <c r="B9" s="567">
        <f>+Print_AAD!J300</f>
        <v>604610.61</v>
      </c>
      <c r="C9" s="592">
        <f t="shared" si="0"/>
        <v>0.14417274285014611</v>
      </c>
      <c r="D9" s="567">
        <f>+Print_AAD!L300</f>
        <v>87168.369999999981</v>
      </c>
      <c r="E9" s="3"/>
      <c r="F9" s="567">
        <f>+Print_AAD!G300</f>
        <v>0</v>
      </c>
      <c r="G9" s="592" t="e">
        <f t="shared" si="1"/>
        <v>#DIV/0!</v>
      </c>
      <c r="H9" s="567">
        <f>+Print_AAD!I300</f>
        <v>0</v>
      </c>
      <c r="I9" s="3"/>
      <c r="J9" s="568">
        <f t="shared" si="2"/>
        <v>87168.369999999981</v>
      </c>
      <c r="K9" s="3"/>
      <c r="L9" s="568" t="e">
        <f t="shared" si="3"/>
        <v>#DIV/0!</v>
      </c>
      <c r="M9" s="3"/>
      <c r="N9" s="568" t="e">
        <f t="shared" si="4"/>
        <v>#DIV/0!</v>
      </c>
      <c r="O9" s="3"/>
      <c r="P9" s="3"/>
      <c r="Q9" s="3"/>
      <c r="R9" s="3"/>
      <c r="S9" s="3"/>
      <c r="T9" s="3"/>
      <c r="U9" s="3"/>
      <c r="V9" s="3"/>
      <c r="W9" s="3"/>
      <c r="X9" s="3"/>
      <c r="Y9" s="3"/>
      <c r="Z9" s="3"/>
    </row>
    <row r="10" spans="1:26" ht="14.4">
      <c r="A10" s="3" t="s">
        <v>188</v>
      </c>
      <c r="B10" s="567"/>
      <c r="C10" s="592"/>
      <c r="D10" s="567">
        <f>+Print_AAD!L302</f>
        <v>58807.630000000005</v>
      </c>
      <c r="E10" s="3"/>
      <c r="F10" s="567"/>
      <c r="G10" s="592"/>
      <c r="H10" s="567">
        <f>+Print_AAD!I302</f>
        <v>0</v>
      </c>
      <c r="I10" s="3"/>
      <c r="J10" s="568">
        <f t="shared" si="2"/>
        <v>58807.630000000005</v>
      </c>
      <c r="K10" s="3"/>
      <c r="L10" s="568" t="e">
        <f>(H10/(H4+H5+H6+H7+H8+H9)*(D4+D5+D6+D7+D8+D9))-D10</f>
        <v>#DIV/0!</v>
      </c>
      <c r="M10" s="3"/>
      <c r="N10" s="568" t="e">
        <f t="shared" ref="N10:N11" si="5">+J10-L10</f>
        <v>#DIV/0!</v>
      </c>
      <c r="O10" s="3"/>
      <c r="P10" s="3"/>
      <c r="Q10" s="3"/>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5"/>
        <v>0</v>
      </c>
      <c r="O11" s="3"/>
      <c r="P11" s="3"/>
      <c r="Q11" s="3"/>
      <c r="R11" s="3"/>
      <c r="S11" s="3"/>
      <c r="T11" s="3"/>
      <c r="U11" s="3"/>
      <c r="V11" s="3"/>
      <c r="W11" s="3"/>
      <c r="X11" s="3"/>
      <c r="Y11" s="3"/>
      <c r="Z11" s="3"/>
    </row>
    <row r="12" spans="1:26" ht="14.4">
      <c r="A12" s="3" t="s">
        <v>190</v>
      </c>
      <c r="B12" s="593">
        <f>SUM(B4:B11)</f>
        <v>1446387.5</v>
      </c>
      <c r="C12" s="594">
        <f>+D12/B12</f>
        <v>0.27333574854594639</v>
      </c>
      <c r="D12" s="593">
        <f>SUM(D4:D11)</f>
        <v>395349.41000000003</v>
      </c>
      <c r="E12" s="3"/>
      <c r="F12" s="593">
        <f>SUM(F4:F11)</f>
        <v>0</v>
      </c>
      <c r="G12" s="594" t="e">
        <f>+H12/F12</f>
        <v>#DIV/0!</v>
      </c>
      <c r="H12" s="593">
        <f>SUM(H4:H11)</f>
        <v>0</v>
      </c>
      <c r="I12" s="3"/>
      <c r="J12" s="593">
        <f>SUM(J4:J11)</f>
        <v>395349.41000000003</v>
      </c>
      <c r="K12" s="3"/>
      <c r="L12" s="593" t="e">
        <f>SUM(L4:L11)</f>
        <v>#DIV/0!</v>
      </c>
      <c r="M12" s="3"/>
      <c r="N12" s="593" t="e">
        <f>SUM(N4:N11)</f>
        <v>#DIV/0!</v>
      </c>
      <c r="O12" s="3"/>
      <c r="P12" s="3"/>
      <c r="Q12" s="3"/>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
      <c r="Q13" s="3"/>
      <c r="R13" s="3"/>
      <c r="S13" s="3"/>
      <c r="T13" s="3"/>
      <c r="U13" s="3"/>
      <c r="V13" s="3"/>
      <c r="W13" s="3"/>
      <c r="X13" s="3"/>
      <c r="Y13" s="3"/>
      <c r="Z13" s="3"/>
    </row>
    <row r="14" spans="1:26" ht="14.4">
      <c r="A14" s="3" t="s">
        <v>191</v>
      </c>
      <c r="B14" s="567">
        <f>+Print_AAD!J307</f>
        <v>162368.21</v>
      </c>
      <c r="C14" s="592">
        <f t="shared" ref="C14:C15" si="6">D14/B14</f>
        <v>0.16103632601480306</v>
      </c>
      <c r="D14" s="567">
        <f>+Print_AAD!L307</f>
        <v>26147.180000000004</v>
      </c>
      <c r="E14" s="3"/>
      <c r="F14" s="567">
        <f>+Print_AAD!G307</f>
        <v>0</v>
      </c>
      <c r="G14" s="592" t="e">
        <f t="shared" ref="G14:G15" si="7">H14/F14</f>
        <v>#DIV/0!</v>
      </c>
      <c r="H14" s="567">
        <f>+Print_AAD!I307</f>
        <v>0</v>
      </c>
      <c r="I14" s="3"/>
      <c r="J14" s="568">
        <f t="shared" ref="J14:J15" si="8">+D14-H14</f>
        <v>26147.180000000004</v>
      </c>
      <c r="K14" s="3"/>
      <c r="L14" s="568" t="e">
        <f t="shared" ref="L14:L15" si="9">(B14-F14)*G14</f>
        <v>#DIV/0!</v>
      </c>
      <c r="M14" s="3"/>
      <c r="N14" s="568" t="e">
        <f t="shared" ref="N14:N15" si="10">B14*(C14-G14)</f>
        <v>#DIV/0!</v>
      </c>
      <c r="O14" s="3"/>
      <c r="P14" s="3"/>
      <c r="Q14" s="3"/>
      <c r="R14" s="3"/>
      <c r="S14" s="3"/>
      <c r="T14" s="3"/>
      <c r="U14" s="3"/>
      <c r="V14" s="3"/>
      <c r="W14" s="3"/>
      <c r="X14" s="3"/>
      <c r="Y14" s="3"/>
      <c r="Z14" s="3"/>
    </row>
    <row r="15" spans="1:26" ht="14.4">
      <c r="A15" s="3" t="s">
        <v>192</v>
      </c>
      <c r="B15" s="567">
        <f>+Print_AAD!J308</f>
        <v>80375.28</v>
      </c>
      <c r="C15" s="592">
        <f t="shared" si="6"/>
        <v>0.24929343947542079</v>
      </c>
      <c r="D15" s="567">
        <f>+Print_AAD!L308</f>
        <v>20037.03</v>
      </c>
      <c r="E15" s="3"/>
      <c r="F15" s="567">
        <f>+Print_AAD!G308</f>
        <v>0</v>
      </c>
      <c r="G15" s="592" t="e">
        <f t="shared" si="7"/>
        <v>#DIV/0!</v>
      </c>
      <c r="H15" s="567">
        <f>+Print_AAD!I308</f>
        <v>0</v>
      </c>
      <c r="I15" s="3"/>
      <c r="J15" s="568">
        <f t="shared" si="8"/>
        <v>20037.03</v>
      </c>
      <c r="K15" s="3"/>
      <c r="L15" s="568" t="e">
        <f t="shared" si="9"/>
        <v>#DIV/0!</v>
      </c>
      <c r="M15" s="3"/>
      <c r="N15" s="568" t="e">
        <f t="shared" si="10"/>
        <v>#DIV/0!</v>
      </c>
      <c r="O15" s="3"/>
      <c r="P15" s="3"/>
      <c r="Q15" s="3"/>
      <c r="R15" s="3"/>
      <c r="S15" s="3"/>
      <c r="T15" s="3"/>
      <c r="U15" s="3"/>
      <c r="V15" s="3"/>
      <c r="W15" s="3"/>
      <c r="X15" s="3"/>
      <c r="Y15" s="3"/>
      <c r="Z15" s="3"/>
    </row>
    <row r="16" spans="1:26" ht="14.4">
      <c r="A16" s="3" t="s">
        <v>193</v>
      </c>
      <c r="B16" s="595">
        <f>SUM(B14:B15)</f>
        <v>242743.49</v>
      </c>
      <c r="C16" s="596">
        <f>+D16/B16</f>
        <v>0.19025931447224395</v>
      </c>
      <c r="D16" s="595">
        <f>SUM(D14:D15)</f>
        <v>46184.210000000006</v>
      </c>
      <c r="E16" s="3"/>
      <c r="F16" s="595">
        <f>SUM(F14:F15)</f>
        <v>0</v>
      </c>
      <c r="G16" s="596" t="e">
        <f>+H16/F16</f>
        <v>#DIV/0!</v>
      </c>
      <c r="H16" s="595">
        <f>SUM(H14:H15)</f>
        <v>0</v>
      </c>
      <c r="I16" s="3"/>
      <c r="J16" s="595">
        <f>SUM(J14:J15)</f>
        <v>46184.210000000006</v>
      </c>
      <c r="K16" s="3"/>
      <c r="L16" s="595" t="e">
        <f>SUM(L14:L15)</f>
        <v>#DIV/0!</v>
      </c>
      <c r="M16" s="3"/>
      <c r="N16" s="595" t="e">
        <f>SUM(N14:N15)</f>
        <v>#DIV/0!</v>
      </c>
      <c r="O16" s="3"/>
      <c r="P16" s="3"/>
      <c r="Q16" s="3"/>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3"/>
      <c r="Q17" s="3"/>
      <c r="R17" s="3"/>
      <c r="S17" s="3"/>
      <c r="T17" s="3"/>
      <c r="U17" s="3"/>
      <c r="V17" s="3"/>
      <c r="W17" s="3"/>
      <c r="X17" s="3"/>
      <c r="Y17" s="3"/>
      <c r="Z17" s="3"/>
    </row>
    <row r="18" spans="1:26" ht="14.4">
      <c r="A18" s="3" t="s">
        <v>688</v>
      </c>
      <c r="B18" s="597">
        <f>+B12+B16</f>
        <v>1689130.99</v>
      </c>
      <c r="C18" s="598">
        <f>+D18/B18</f>
        <v>0.26139690918819747</v>
      </c>
      <c r="D18" s="597">
        <f>+D12+D16</f>
        <v>441533.62000000005</v>
      </c>
      <c r="E18" s="3"/>
      <c r="F18" s="597">
        <f>+F12+F16</f>
        <v>0</v>
      </c>
      <c r="G18" s="598" t="e">
        <f>+H18/F18</f>
        <v>#DIV/0!</v>
      </c>
      <c r="H18" s="597">
        <f>+H12+H16</f>
        <v>0</v>
      </c>
      <c r="I18" s="3"/>
      <c r="J18" s="597">
        <f>+J12+J16</f>
        <v>441533.62000000005</v>
      </c>
      <c r="K18" s="3"/>
      <c r="L18" s="597" t="e">
        <f>+L12+L16</f>
        <v>#DIV/0!</v>
      </c>
      <c r="M18" s="3"/>
      <c r="N18" s="597"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1689130.99</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66"/>
  <sheetViews>
    <sheetView topLeftCell="A454" zoomScale="80" zoomScaleNormal="80" workbookViewId="0">
      <selection sqref="A1:K479"/>
    </sheetView>
  </sheetViews>
  <sheetFormatPr defaultColWidth="12.59765625" defaultRowHeight="15" customHeight="1"/>
  <cols>
    <col min="1" max="1" width="37" style="1025" customWidth="1"/>
    <col min="2" max="2" width="31.19921875" style="1025" customWidth="1"/>
    <col min="3" max="3" width="14.59765625" style="1025" customWidth="1"/>
    <col min="4" max="4" width="12.8984375" style="1025" customWidth="1"/>
    <col min="5" max="5" width="13.59765625" style="1025" bestFit="1" customWidth="1"/>
    <col min="6" max="8" width="12.8984375" style="1025" customWidth="1"/>
    <col min="9" max="9" width="25.59765625" style="1025" bestFit="1" customWidth="1"/>
    <col min="10" max="10" width="12.8984375" style="1025" customWidth="1"/>
    <col min="11" max="11" width="23.09765625" style="102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88" t="s">
        <v>251</v>
      </c>
      <c r="B1" s="1188" t="s">
        <v>711</v>
      </c>
      <c r="C1" s="1189" t="s">
        <v>715</v>
      </c>
      <c r="D1" s="1189" t="s">
        <v>716</v>
      </c>
      <c r="E1" s="1189" t="s">
        <v>717</v>
      </c>
      <c r="F1" s="1188" t="s">
        <v>712</v>
      </c>
      <c r="G1" s="1188" t="s">
        <v>713</v>
      </c>
      <c r="H1" s="1188" t="s">
        <v>714</v>
      </c>
      <c r="I1" s="1189" t="s">
        <v>3416</v>
      </c>
      <c r="J1" s="1189" t="s">
        <v>3417</v>
      </c>
      <c r="K1" s="1189" t="s">
        <v>3418</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c r="Z1" s="4"/>
    </row>
    <row r="2" spans="1:26" ht="15" customHeight="1">
      <c r="A2" s="1190" t="s">
        <v>722</v>
      </c>
      <c r="B2" s="1190" t="s">
        <v>1440</v>
      </c>
      <c r="C2" s="1191"/>
      <c r="D2" s="1191"/>
      <c r="E2" s="1191"/>
      <c r="F2" s="1190" t="s">
        <v>2</v>
      </c>
      <c r="G2" s="1190" t="s">
        <v>3325</v>
      </c>
      <c r="H2" s="1191"/>
      <c r="I2" s="1192">
        <v>-57642</v>
      </c>
      <c r="J2" s="1192">
        <v>0</v>
      </c>
      <c r="K2" s="1192">
        <v>-57642</v>
      </c>
      <c r="L2" s="655" t="str">
        <f>TEXT(B2,0)</f>
        <v>10</v>
      </c>
      <c r="M2" s="656" t="str">
        <f t="shared" ref="M2:M179" si="0">+A2</f>
        <v>PROFIT/PERTES JANVIER</v>
      </c>
      <c r="N2" s="657">
        <f>+IF(OR($Q2=Parametres!$G$2,$Q2=Parametres!$G$3),I2,C2)</f>
        <v>-57642</v>
      </c>
      <c r="O2" s="657">
        <f>+IF(OR($Q2=Parametres!$G$2,$Q2=Parametres!$G$3),J2,D2)</f>
        <v>0</v>
      </c>
      <c r="P2" s="657">
        <f>+IF(OR($Q2=Parametres!$G$2,$Q2=Parametres!$G$3),K2,E2)</f>
        <v>-57642</v>
      </c>
      <c r="Q2" s="656" t="str">
        <f t="shared" ref="Q2:S2" si="1">+F2</f>
        <v>1-Mémo</v>
      </c>
      <c r="R2" s="655" t="str">
        <f t="shared" si="1"/>
        <v>1</v>
      </c>
      <c r="S2" s="656">
        <f t="shared" si="1"/>
        <v>0</v>
      </c>
      <c r="T2" s="658" t="str">
        <f>+VLOOKUP($L2,Data_Validation!$A:$D,1,0)</f>
        <v>10</v>
      </c>
      <c r="U2" s="658">
        <f>+VLOOKUP($L2,Data_Validation!$A:$D,3,0)</f>
        <v>0</v>
      </c>
      <c r="V2" s="658">
        <f>+VLOOKUP($L2,Data_Validation!$A:$D,4,0)</f>
        <v>0</v>
      </c>
      <c r="W2" s="658">
        <f>+VLOOKUP($L2,Data_Validation!$A:$E,5,0)</f>
        <v>0</v>
      </c>
      <c r="X2" s="658">
        <f>+VLOOKUP($L2,Data_Validation!$A:$F,6,0)</f>
        <v>0</v>
      </c>
      <c r="Z2" s="659"/>
    </row>
    <row r="3" spans="1:26" ht="15" customHeight="1">
      <c r="A3" s="1190" t="s">
        <v>723</v>
      </c>
      <c r="B3" s="1190" t="s">
        <v>1640</v>
      </c>
      <c r="C3" s="1191"/>
      <c r="D3" s="1191"/>
      <c r="E3" s="1191"/>
      <c r="F3" s="1190" t="s">
        <v>2</v>
      </c>
      <c r="G3" s="1190" t="s">
        <v>3325</v>
      </c>
      <c r="H3" s="1191"/>
      <c r="I3" s="1192">
        <v>25227</v>
      </c>
      <c r="J3" s="1192">
        <v>0</v>
      </c>
      <c r="K3" s="1192">
        <v>25227</v>
      </c>
      <c r="L3" s="655" t="str">
        <f t="shared" ref="L3:L66" si="2">TEXT(B3,0)</f>
        <v>20</v>
      </c>
      <c r="M3" s="656" t="str">
        <f t="shared" si="0"/>
        <v>PROFIT/PERTES FEVRIER</v>
      </c>
      <c r="N3" s="657">
        <f>+IF(OR($Q3=Parametres!$G$2,$Q3=Parametres!$G$3),I3,C3)</f>
        <v>25227</v>
      </c>
      <c r="O3" s="657">
        <f>+IF(OR($Q3=Parametres!$G$2,$Q3=Parametres!$G$3),J3,D3)</f>
        <v>0</v>
      </c>
      <c r="P3" s="657">
        <f>+IF(OR($Q3=Parametres!$G$2,$Q3=Parametres!$G$3),K3,E3)</f>
        <v>25227</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c r="Z3" s="660"/>
    </row>
    <row r="4" spans="1:26" ht="15" customHeight="1">
      <c r="A4" s="1190" t="s">
        <v>724</v>
      </c>
      <c r="B4" s="1190" t="s">
        <v>750</v>
      </c>
      <c r="C4" s="1191"/>
      <c r="D4" s="1191"/>
      <c r="E4" s="1191"/>
      <c r="F4" s="1190" t="s">
        <v>2</v>
      </c>
      <c r="G4" s="1190" t="s">
        <v>3325</v>
      </c>
      <c r="H4" s="1191"/>
      <c r="I4" s="1192">
        <v>128813</v>
      </c>
      <c r="J4" s="1192">
        <v>0</v>
      </c>
      <c r="K4" s="1192">
        <v>128813</v>
      </c>
      <c r="L4" s="655" t="str">
        <f t="shared" si="2"/>
        <v>30</v>
      </c>
      <c r="M4" s="656" t="str">
        <f t="shared" si="0"/>
        <v>PROFIT/PERTES MARS</v>
      </c>
      <c r="N4" s="657">
        <f>+IF(OR($Q4=Parametres!$G$2,$Q4=Parametres!$G$3),I4,C4)</f>
        <v>128813</v>
      </c>
      <c r="O4" s="657">
        <f>+IF(OR($Q4=Parametres!$G$2,$Q4=Parametres!$G$3),J4,D4)</f>
        <v>0</v>
      </c>
      <c r="P4" s="657">
        <f>+IF(OR($Q4=Parametres!$G$2,$Q4=Parametres!$G$3),K4,E4)</f>
        <v>128813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c r="Z4" s="4"/>
    </row>
    <row r="5" spans="1:26" ht="15.75" customHeight="1">
      <c r="A5" s="1190" t="s">
        <v>734</v>
      </c>
      <c r="B5" s="1190" t="s">
        <v>1676</v>
      </c>
      <c r="C5" s="1191"/>
      <c r="D5" s="1191"/>
      <c r="E5" s="1191"/>
      <c r="F5" s="1190" t="s">
        <v>2</v>
      </c>
      <c r="G5" s="1190" t="s">
        <v>3326</v>
      </c>
      <c r="H5" s="1191"/>
      <c r="I5" s="1192">
        <v>0.85</v>
      </c>
      <c r="J5" s="1192">
        <v>0</v>
      </c>
      <c r="K5" s="1192">
        <v>0.85</v>
      </c>
      <c r="L5" s="655" t="str">
        <f t="shared" si="2"/>
        <v>229</v>
      </c>
      <c r="M5" s="656" t="str">
        <f t="shared" si="0"/>
        <v>CUMUL. VIS. CARR. VW</v>
      </c>
      <c r="N5" s="657">
        <f>+IF(OR($Q5=Parametres!$G$2,$Q5=Parametres!$G$3),I5,C5)</f>
        <v>0.85</v>
      </c>
      <c r="O5" s="657">
        <f>+IF(OR($Q5=Parametres!$G$2,$Q5=Parametres!$G$3),J5,D5)</f>
        <v>0</v>
      </c>
      <c r="P5" s="657">
        <f>+IF(OR($Q5=Parametres!$G$2,$Q5=Parametres!$G$3),K5,E5)</f>
        <v>0.85</v>
      </c>
      <c r="Q5" s="656" t="str">
        <f t="shared" ref="Q5:S5" si="5">+F5</f>
        <v>1-Mémo</v>
      </c>
      <c r="R5" s="655" t="str">
        <f t="shared" si="5"/>
        <v>23</v>
      </c>
      <c r="S5" s="656">
        <f t="shared" si="5"/>
        <v>0</v>
      </c>
      <c r="T5" s="658" t="str">
        <f>+VLOOKUP($L5,Data_Validation!$A:$D,1,0)</f>
        <v>229</v>
      </c>
      <c r="U5" s="658">
        <f>+VLOOKUP($L5,Data_Validation!$A:$D,3,0)</f>
        <v>0</v>
      </c>
      <c r="V5" s="658">
        <f>+VLOOKUP($L5,Data_Validation!$A:$D,4,0)</f>
        <v>0</v>
      </c>
      <c r="W5" s="658">
        <f>+VLOOKUP($L5,Data_Validation!$A:$E,5,0)</f>
        <v>0</v>
      </c>
      <c r="X5" s="658">
        <f>+VLOOKUP($L5,Data_Validation!$A:$F,6,0)</f>
        <v>0</v>
      </c>
      <c r="Z5" s="4"/>
    </row>
    <row r="6" spans="1:26" ht="15.75" customHeight="1">
      <c r="A6" s="1190" t="s">
        <v>735</v>
      </c>
      <c r="B6" s="1190" t="s">
        <v>1692</v>
      </c>
      <c r="C6" s="1191"/>
      <c r="D6" s="1191"/>
      <c r="E6" s="1191"/>
      <c r="F6" s="1190" t="s">
        <v>2</v>
      </c>
      <c r="G6" s="1190" t="s">
        <v>3326</v>
      </c>
      <c r="H6" s="1191"/>
      <c r="I6" s="1192">
        <v>16.02</v>
      </c>
      <c r="J6" s="1192">
        <v>0</v>
      </c>
      <c r="K6" s="1192">
        <v>16.02</v>
      </c>
      <c r="L6" s="655" t="str">
        <f t="shared" si="2"/>
        <v>230</v>
      </c>
      <c r="M6" s="656" t="str">
        <f t="shared" si="0"/>
        <v>CUMUL. VIS. VEH. SERV. VW</v>
      </c>
      <c r="N6" s="657">
        <f>+IF(OR($Q6=Parametres!$G$2,$Q6=Parametres!$G$3),I6,C6)</f>
        <v>16.02</v>
      </c>
      <c r="O6" s="657">
        <f>+IF(OR($Q6=Parametres!$G$2,$Q6=Parametres!$G$3),J6,D6)</f>
        <v>0</v>
      </c>
      <c r="P6" s="657">
        <f>+IF(OR($Q6=Parametres!$G$2,$Q6=Parametres!$G$3),K6,E6)</f>
        <v>16.02</v>
      </c>
      <c r="Q6" s="656" t="str">
        <f t="shared" ref="Q6:S6" si="6">+F6</f>
        <v>1-Mémo</v>
      </c>
      <c r="R6" s="655" t="str">
        <f t="shared" si="6"/>
        <v>23</v>
      </c>
      <c r="S6" s="656">
        <f t="shared" si="6"/>
        <v>0</v>
      </c>
      <c r="T6" s="658" t="str">
        <f>+VLOOKUP($L6,Data_Validation!$A:$D,1,0)</f>
        <v>230</v>
      </c>
      <c r="U6" s="658">
        <f>+VLOOKUP($L6,Data_Validation!$A:$D,3,0)</f>
        <v>0</v>
      </c>
      <c r="V6" s="658">
        <f>+VLOOKUP($L6,Data_Validation!$A:$D,4,0)</f>
        <v>0</v>
      </c>
      <c r="W6" s="658" t="str">
        <f>+VLOOKUP($L6,Data_Validation!$A:$E,5,0)</f>
        <v>$</v>
      </c>
      <c r="X6" s="658">
        <f>+VLOOKUP($L6,Data_Validation!$A:$F,6,0)</f>
        <v>0</v>
      </c>
      <c r="Z6" s="138"/>
    </row>
    <row r="7" spans="1:26" ht="15" customHeight="1">
      <c r="A7" s="1190" t="s">
        <v>736</v>
      </c>
      <c r="B7" s="1190" t="s">
        <v>1700</v>
      </c>
      <c r="C7" s="1191"/>
      <c r="D7" s="1191"/>
      <c r="E7" s="1191"/>
      <c r="F7" s="1190" t="s">
        <v>2</v>
      </c>
      <c r="G7" s="1190" t="s">
        <v>3326</v>
      </c>
      <c r="H7" s="1191"/>
      <c r="I7" s="1192">
        <v>49.37</v>
      </c>
      <c r="J7" s="1192">
        <v>0</v>
      </c>
      <c r="K7" s="1192">
        <v>49.37</v>
      </c>
      <c r="L7" s="655" t="str">
        <f t="shared" si="2"/>
        <v>234</v>
      </c>
      <c r="M7" s="656" t="str">
        <f t="shared" si="0"/>
        <v>TOTAL HRES PROD. SERVICE</v>
      </c>
      <c r="N7" s="657">
        <f>+IF(OR($Q7=Parametres!$G$2,$Q7=Parametres!$G$3),I7,C7)</f>
        <v>49.37</v>
      </c>
      <c r="O7" s="657">
        <f>+IF(OR($Q7=Parametres!$G$2,$Q7=Parametres!$G$3),J7,D7)</f>
        <v>0</v>
      </c>
      <c r="P7" s="657">
        <f>+IF(OR($Q7=Parametres!$G$2,$Q7=Parametres!$G$3),K7,E7)</f>
        <v>49.37</v>
      </c>
      <c r="Q7" s="656" t="str">
        <f t="shared" ref="Q7:S7" si="7">+F7</f>
        <v>1-Mémo</v>
      </c>
      <c r="R7" s="655" t="str">
        <f t="shared" si="7"/>
        <v>23</v>
      </c>
      <c r="S7" s="656">
        <f t="shared" si="7"/>
        <v>0</v>
      </c>
      <c r="T7" s="658" t="str">
        <f>+VLOOKUP($L7,Data_Validation!$A:$D,1,0)</f>
        <v>234</v>
      </c>
      <c r="U7" s="658">
        <f>+VLOOKUP($L7,Data_Validation!$A:$D,3,0)</f>
        <v>0</v>
      </c>
      <c r="V7" s="658">
        <f>+VLOOKUP($L7,Data_Validation!$A:$D,4,0)</f>
        <v>0</v>
      </c>
      <c r="W7" s="658">
        <f>+VLOOKUP($L7,Data_Validation!$A:$E,5,0)</f>
        <v>0</v>
      </c>
      <c r="X7" s="658">
        <f>+VLOOKUP($L7,Data_Validation!$A:$F,6,0)</f>
        <v>0</v>
      </c>
    </row>
    <row r="8" spans="1:26" ht="15" customHeight="1">
      <c r="A8" s="1190" t="s">
        <v>737</v>
      </c>
      <c r="B8" s="1190" t="s">
        <v>1712</v>
      </c>
      <c r="C8" s="1191"/>
      <c r="D8" s="1191"/>
      <c r="E8" s="1191"/>
      <c r="F8" s="1190" t="s">
        <v>2</v>
      </c>
      <c r="G8" s="1190" t="s">
        <v>3326</v>
      </c>
      <c r="H8" s="1191"/>
      <c r="I8" s="1192">
        <v>50.03</v>
      </c>
      <c r="J8" s="1192">
        <v>0</v>
      </c>
      <c r="K8" s="1192">
        <v>50.03</v>
      </c>
      <c r="L8" s="655" t="str">
        <f t="shared" si="2"/>
        <v>236</v>
      </c>
      <c r="M8" s="656" t="str">
        <f t="shared" si="0"/>
        <v>HEURES VENDU VW - SERVICE</v>
      </c>
      <c r="N8" s="657">
        <f>+IF(OR($Q8=Parametres!$G$2,$Q8=Parametres!$G$3),I8,C8)</f>
        <v>50.03</v>
      </c>
      <c r="O8" s="657">
        <f>+IF(OR($Q8=Parametres!$G$2,$Q8=Parametres!$G$3),J8,D8)</f>
        <v>0</v>
      </c>
      <c r="P8" s="657">
        <f>+IF(OR($Q8=Parametres!$G$2,$Q8=Parametres!$G$3),K8,E8)</f>
        <v>50.03</v>
      </c>
      <c r="Q8" s="656" t="str">
        <f t="shared" ref="Q8:S8" si="8">+F8</f>
        <v>1-Mémo</v>
      </c>
      <c r="R8" s="655" t="str">
        <f t="shared" si="8"/>
        <v>23</v>
      </c>
      <c r="S8" s="656">
        <f t="shared" si="8"/>
        <v>0</v>
      </c>
      <c r="T8" s="658" t="str">
        <f>+VLOOKUP($L8,Data_Validation!$A:$D,1,0)</f>
        <v>236</v>
      </c>
      <c r="U8" s="658">
        <f>+VLOOKUP($L8,Data_Validation!$A:$D,3,0)</f>
        <v>0</v>
      </c>
      <c r="V8" s="658">
        <f>+VLOOKUP($L8,Data_Validation!$A:$D,4,0)</f>
        <v>0</v>
      </c>
      <c r="W8" s="658">
        <f>+VLOOKUP($L8,Data_Validation!$A:$E,5,0)</f>
        <v>0</v>
      </c>
      <c r="X8" s="658">
        <f>+VLOOKUP($L8,Data_Validation!$A:$F,6,0)</f>
        <v>0</v>
      </c>
    </row>
    <row r="9" spans="1:26" ht="15" customHeight="1">
      <c r="A9" s="1190" t="s">
        <v>738</v>
      </c>
      <c r="B9" s="1190" t="s">
        <v>1715</v>
      </c>
      <c r="C9" s="1191"/>
      <c r="D9" s="1191"/>
      <c r="E9" s="1191"/>
      <c r="F9" s="1190" t="s">
        <v>2</v>
      </c>
      <c r="G9" s="1190" t="s">
        <v>3326</v>
      </c>
      <c r="H9" s="1191"/>
      <c r="I9" s="1192">
        <v>55.91</v>
      </c>
      <c r="J9" s="1192">
        <v>0</v>
      </c>
      <c r="K9" s="1192">
        <v>55.91</v>
      </c>
      <c r="L9" s="655" t="str">
        <f t="shared" si="2"/>
        <v>238</v>
      </c>
      <c r="M9" s="656" t="str">
        <f t="shared" si="0"/>
        <v>TOT. HEURES DISP. SERVICE</v>
      </c>
      <c r="N9" s="657">
        <f>+IF(OR($Q9=Parametres!$G$2,$Q9=Parametres!$G$3),I9,C9)</f>
        <v>55.91</v>
      </c>
      <c r="O9" s="661">
        <f>+IF(OR($Q9=Parametres!$G$2,$Q9=Parametres!$G$3),J9,D9)</f>
        <v>0</v>
      </c>
      <c r="P9" s="657">
        <f>+IF(OR($Q9=Parametres!$G$2,$Q9=Parametres!$G$3),K9,E9)</f>
        <v>55.91</v>
      </c>
      <c r="Q9" s="656" t="str">
        <f t="shared" ref="Q9:S9" si="9">+F9</f>
        <v>1-Mémo</v>
      </c>
      <c r="R9" s="655" t="str">
        <f t="shared" si="9"/>
        <v>23</v>
      </c>
      <c r="S9" s="656">
        <f t="shared" si="9"/>
        <v>0</v>
      </c>
      <c r="T9" s="658" t="str">
        <f>+VLOOKUP($L9,Data_Validation!$A:$D,1,0)</f>
        <v>238</v>
      </c>
      <c r="U9" s="658">
        <f>+VLOOKUP($L9,Data_Validation!$A:$D,3,0)</f>
        <v>0</v>
      </c>
      <c r="V9" s="658">
        <f>+VLOOKUP($L9,Data_Validation!$A:$D,4,0)</f>
        <v>0</v>
      </c>
      <c r="W9" s="658">
        <f>+VLOOKUP($L9,Data_Validation!$A:$E,5,0)</f>
        <v>0</v>
      </c>
      <c r="X9" s="658">
        <f>+VLOOKUP($L9,Data_Validation!$A:$F,6,0)</f>
        <v>0</v>
      </c>
    </row>
    <row r="10" spans="1:26" ht="15" customHeight="1">
      <c r="A10" s="1190" t="s">
        <v>3662</v>
      </c>
      <c r="B10" s="1190" t="s">
        <v>1720</v>
      </c>
      <c r="C10" s="1191"/>
      <c r="D10" s="1191"/>
      <c r="E10" s="1191"/>
      <c r="F10" s="1190" t="s">
        <v>2</v>
      </c>
      <c r="G10" s="1190" t="s">
        <v>3327</v>
      </c>
      <c r="H10" s="1191"/>
      <c r="I10" s="1192">
        <v>151.94999999999999</v>
      </c>
      <c r="J10" s="1192">
        <v>0</v>
      </c>
      <c r="K10" s="1192">
        <v>151.94999999999999</v>
      </c>
      <c r="L10" s="655" t="str">
        <f t="shared" si="2"/>
        <v>243</v>
      </c>
      <c r="M10" s="656" t="str">
        <f t="shared" si="0"/>
        <v>TAUX MAIN D'OEUVRE - VW - MCI - CLIENT</v>
      </c>
      <c r="N10" s="657">
        <f>+IF(OR($Q10=Parametres!$G$2,$Q10=Parametres!$G$3),I10,C10)</f>
        <v>151.94999999999999</v>
      </c>
      <c r="O10" s="661">
        <f>+IF(OR($Q10=Parametres!$G$2,$Q10=Parametres!$G$3),J10,D10)</f>
        <v>0</v>
      </c>
      <c r="P10" s="657">
        <f>+IF(OR($Q10=Parametres!$G$2,$Q10=Parametres!$G$3),K10,E10)</f>
        <v>151.94999999999999</v>
      </c>
      <c r="Q10" s="656" t="str">
        <f t="shared" ref="Q10:S10" si="10">+F10</f>
        <v>1-Mémo</v>
      </c>
      <c r="R10" s="655" t="str">
        <f t="shared" si="10"/>
        <v>24</v>
      </c>
      <c r="S10" s="656">
        <f t="shared" si="10"/>
        <v>0</v>
      </c>
      <c r="T10" s="658" t="str">
        <f>+VLOOKUP($L10,Data_Validation!$A:$D,1,0)</f>
        <v>243</v>
      </c>
      <c r="U10" s="658">
        <f>+VLOOKUP($L10,Data_Validation!$A:$D,3,0)</f>
        <v>0</v>
      </c>
      <c r="V10" s="658">
        <f>+VLOOKUP($L10,Data_Validation!$A:$D,4,0)</f>
        <v>0</v>
      </c>
      <c r="W10" s="658">
        <f>+VLOOKUP($L10,Data_Validation!$A:$E,5,0)</f>
        <v>0</v>
      </c>
      <c r="X10" s="658">
        <f>+VLOOKUP($L10,Data_Validation!$A:$F,6,0)</f>
        <v>0</v>
      </c>
    </row>
    <row r="11" spans="1:26" ht="15" customHeight="1">
      <c r="A11" s="1190" t="s">
        <v>3663</v>
      </c>
      <c r="B11" s="1190" t="s">
        <v>1723</v>
      </c>
      <c r="C11" s="1191"/>
      <c r="D11" s="1191"/>
      <c r="E11" s="1191"/>
      <c r="F11" s="1190" t="s">
        <v>2</v>
      </c>
      <c r="G11" s="1190" t="s">
        <v>3327</v>
      </c>
      <c r="H11" s="1191"/>
      <c r="I11" s="1192">
        <v>138.4</v>
      </c>
      <c r="J11" s="1192">
        <v>0</v>
      </c>
      <c r="K11" s="1192">
        <v>138.4</v>
      </c>
      <c r="L11" s="655" t="str">
        <f t="shared" si="2"/>
        <v>244</v>
      </c>
      <c r="M11" s="656" t="str">
        <f t="shared" si="0"/>
        <v>TAUX MAIN D'OEUVRE - VW - MCI - GARANTIE</v>
      </c>
      <c r="N11" s="657">
        <f>+IF(OR($Q11=Parametres!$G$2,$Q11=Parametres!$G$3),I11,C11)</f>
        <v>138.4</v>
      </c>
      <c r="O11" s="661">
        <f>+IF(OR($Q11=Parametres!$G$2,$Q11=Parametres!$G$3),J11,D11)</f>
        <v>0</v>
      </c>
      <c r="P11" s="657">
        <f>+IF(OR($Q11=Parametres!$G$2,$Q11=Parametres!$G$3),K11,E11)</f>
        <v>138.4</v>
      </c>
      <c r="Q11" s="656" t="str">
        <f t="shared" ref="Q11:S11" si="11">+F11</f>
        <v>1-Mémo</v>
      </c>
      <c r="R11" s="655" t="str">
        <f t="shared" si="11"/>
        <v>24</v>
      </c>
      <c r="S11" s="656">
        <f t="shared" si="11"/>
        <v>0</v>
      </c>
      <c r="T11" s="658" t="str">
        <f>+VLOOKUP($L11,Data_Validation!$A:$D,1,0)</f>
        <v>244</v>
      </c>
      <c r="U11" s="658">
        <f>+VLOOKUP($L11,Data_Validation!$A:$D,3,0)</f>
        <v>0</v>
      </c>
      <c r="V11" s="658">
        <f>+VLOOKUP($L11,Data_Validation!$A:$D,4,0)</f>
        <v>0</v>
      </c>
      <c r="W11" s="658">
        <f>+VLOOKUP($L11,Data_Validation!$A:$E,5,0)</f>
        <v>0</v>
      </c>
      <c r="X11" s="658">
        <f>+VLOOKUP($L11,Data_Validation!$A:$F,6,0)</f>
        <v>0</v>
      </c>
    </row>
    <row r="12" spans="1:26" ht="15" customHeight="1">
      <c r="A12" s="1190" t="s">
        <v>3664</v>
      </c>
      <c r="B12" s="1190" t="s">
        <v>1726</v>
      </c>
      <c r="C12" s="1191"/>
      <c r="D12" s="1191"/>
      <c r="E12" s="1191"/>
      <c r="F12" s="1190" t="s">
        <v>2</v>
      </c>
      <c r="G12" s="1190" t="s">
        <v>3327</v>
      </c>
      <c r="H12" s="1191"/>
      <c r="I12" s="1192">
        <v>151.94999999999999</v>
      </c>
      <c r="J12" s="1192">
        <v>0</v>
      </c>
      <c r="K12" s="1192">
        <v>151.94999999999999</v>
      </c>
      <c r="L12" s="655" t="str">
        <f t="shared" si="2"/>
        <v>245</v>
      </c>
      <c r="M12" s="656" t="str">
        <f t="shared" si="0"/>
        <v>TAUX MAIN D'OEUVRE - VW - MCI - INTERNE</v>
      </c>
      <c r="N12" s="657">
        <f>+IF(OR($Q12=Parametres!$G$2,$Q12=Parametres!$G$3),I12,C12)</f>
        <v>151.94999999999999</v>
      </c>
      <c r="O12" s="657">
        <f>+IF(OR($Q12=Parametres!$G$2,$Q12=Parametres!$G$3),J12,D12)</f>
        <v>0</v>
      </c>
      <c r="P12" s="657">
        <f>+IF(OR($Q12=Parametres!$G$2,$Q12=Parametres!$G$3),K12,E12)</f>
        <v>151.94999999999999</v>
      </c>
      <c r="Q12" s="656" t="str">
        <f t="shared" ref="Q12:S12" si="12">+F12</f>
        <v>1-Mémo</v>
      </c>
      <c r="R12" s="655" t="str">
        <f t="shared" si="12"/>
        <v>24</v>
      </c>
      <c r="S12" s="656">
        <f t="shared" si="12"/>
        <v>0</v>
      </c>
      <c r="T12" s="658" t="str">
        <f>+VLOOKUP($L12,Data_Validation!$A:$D,1,0)</f>
        <v>245</v>
      </c>
      <c r="U12" s="658">
        <f>+VLOOKUP($L12,Data_Validation!$A:$D,3,0)</f>
        <v>0</v>
      </c>
      <c r="V12" s="658">
        <f>+VLOOKUP($L12,Data_Validation!$A:$D,4,0)</f>
        <v>0</v>
      </c>
      <c r="W12" s="658">
        <f>+VLOOKUP($L12,Data_Validation!$A:$E,5,0)</f>
        <v>0</v>
      </c>
      <c r="X12" s="658">
        <f>+VLOOKUP($L12,Data_Validation!$A:$F,6,0)</f>
        <v>0</v>
      </c>
    </row>
    <row r="13" spans="1:26" ht="15" customHeight="1">
      <c r="A13" s="1190" t="s">
        <v>3665</v>
      </c>
      <c r="B13" s="1190" t="s">
        <v>1729</v>
      </c>
      <c r="C13" s="1191"/>
      <c r="D13" s="1191"/>
      <c r="E13" s="1191"/>
      <c r="F13" s="1190" t="s">
        <v>2</v>
      </c>
      <c r="G13" s="1190" t="s">
        <v>3327</v>
      </c>
      <c r="H13" s="1191"/>
      <c r="I13" s="1192">
        <v>68</v>
      </c>
      <c r="J13" s="1192">
        <v>0</v>
      </c>
      <c r="K13" s="1192">
        <v>68</v>
      </c>
      <c r="L13" s="655" t="str">
        <f t="shared" si="2"/>
        <v>246</v>
      </c>
      <c r="M13" s="656" t="str">
        <f t="shared" si="0"/>
        <v>TAUX MAIN D'OEUVRE - VW - MCI - CARROSSERIE</v>
      </c>
      <c r="N13" s="657">
        <f>+IF(OR($Q13=Parametres!$G$2,$Q13=Parametres!$G$3),I13,C13)</f>
        <v>68</v>
      </c>
      <c r="O13" s="657">
        <f>+IF(OR($Q13=Parametres!$G$2,$Q13=Parametres!$G$3),J13,D13)</f>
        <v>0</v>
      </c>
      <c r="P13" s="657">
        <f>+IF(OR($Q13=Parametres!$G$2,$Q13=Parametres!$G$3),K13,E13)</f>
        <v>68</v>
      </c>
      <c r="Q13" s="656" t="str">
        <f t="shared" ref="Q13:S13" si="13">+F13</f>
        <v>1-Mémo</v>
      </c>
      <c r="R13" s="655" t="str">
        <f t="shared" si="13"/>
        <v>24</v>
      </c>
      <c r="S13" s="656">
        <f t="shared" si="13"/>
        <v>0</v>
      </c>
      <c r="T13" s="658" t="str">
        <f>+VLOOKUP($L13,Data_Validation!$A:$D,1,0)</f>
        <v>246</v>
      </c>
      <c r="U13" s="658">
        <f>+VLOOKUP($L13,Data_Validation!$A:$D,3,0)</f>
        <v>0</v>
      </c>
      <c r="V13" s="658">
        <f>+VLOOKUP($L13,Data_Validation!$A:$D,4,0)</f>
        <v>0</v>
      </c>
      <c r="W13" s="658">
        <f>+VLOOKUP($L13,Data_Validation!$A:$E,5,0)</f>
        <v>0</v>
      </c>
      <c r="X13" s="658">
        <f>+VLOOKUP($L13,Data_Validation!$A:$F,6,0)</f>
        <v>0</v>
      </c>
    </row>
    <row r="14" spans="1:26" ht="15" customHeight="1">
      <c r="A14" s="1190" t="s">
        <v>743</v>
      </c>
      <c r="B14" s="1190" t="s">
        <v>744</v>
      </c>
      <c r="C14" s="1191"/>
      <c r="D14" s="1191"/>
      <c r="E14" s="1191"/>
      <c r="F14" s="1190" t="s">
        <v>2</v>
      </c>
      <c r="G14" s="1190" t="s">
        <v>744</v>
      </c>
      <c r="H14" s="1191"/>
      <c r="I14" s="1192">
        <v>0.08</v>
      </c>
      <c r="J14" s="1192">
        <v>0</v>
      </c>
      <c r="K14" s="1192">
        <v>0.08</v>
      </c>
      <c r="L14" s="655" t="str">
        <f t="shared" si="2"/>
        <v>255</v>
      </c>
      <c r="M14" s="656" t="str">
        <f t="shared" si="0"/>
        <v>BAIES TRAVAIL PRODUCTIVES - SERVICE VW</v>
      </c>
      <c r="N14" s="657">
        <f>+IF(OR($Q14=Parametres!$G$2,$Q14=Parametres!$G$3),I14,C14)</f>
        <v>0.08</v>
      </c>
      <c r="O14" s="657">
        <f>+IF(OR($Q14=Parametres!$G$2,$Q14=Parametres!$G$3),J14,D14)</f>
        <v>0</v>
      </c>
      <c r="P14" s="657">
        <f>+IF(OR($Q14=Parametres!$G$2,$Q14=Parametres!$G$3),K14,E14)</f>
        <v>0.08</v>
      </c>
      <c r="Q14" s="656" t="str">
        <f t="shared" ref="Q14:S14" si="14">+F14</f>
        <v>1-Mémo</v>
      </c>
      <c r="R14" s="655" t="str">
        <f t="shared" si="14"/>
        <v>255</v>
      </c>
      <c r="S14" s="656">
        <f t="shared" si="14"/>
        <v>0</v>
      </c>
      <c r="T14" s="658" t="str">
        <f>+VLOOKUP($L14,Data_Validation!$A:$D,1,0)</f>
        <v>255</v>
      </c>
      <c r="U14" s="658">
        <f>+VLOOKUP($L14,Data_Validation!$A:$D,3,0)</f>
        <v>0</v>
      </c>
      <c r="V14" s="658">
        <f>+VLOOKUP($L14,Data_Validation!$A:$D,4,0)</f>
        <v>0</v>
      </c>
      <c r="W14" s="658">
        <f>+VLOOKUP($L14,Data_Validation!$A:$E,5,0)</f>
        <v>0</v>
      </c>
      <c r="X14" s="658">
        <f>+VLOOKUP($L14,Data_Validation!$A:$F,6,0)</f>
        <v>0</v>
      </c>
    </row>
    <row r="15" spans="1:26" ht="15" customHeight="1">
      <c r="A15" s="1190" t="s">
        <v>3666</v>
      </c>
      <c r="B15" s="1190" t="s">
        <v>746</v>
      </c>
      <c r="C15" s="1191"/>
      <c r="D15" s="1191"/>
      <c r="E15" s="1191"/>
      <c r="F15" s="1190" t="s">
        <v>2</v>
      </c>
      <c r="G15" s="1190" t="s">
        <v>746</v>
      </c>
      <c r="H15" s="1191"/>
      <c r="I15" s="1192">
        <v>2363.9499999999998</v>
      </c>
      <c r="J15" s="1192">
        <v>0</v>
      </c>
      <c r="K15" s="1192">
        <v>2363.9499999999998</v>
      </c>
      <c r="L15" s="655" t="str">
        <f t="shared" si="2"/>
        <v>257</v>
      </c>
      <c r="M15" s="656" t="str">
        <f t="shared" si="0"/>
        <v>HEURES VENDUES - SVC - VW - MCI - CLIENT</v>
      </c>
      <c r="N15" s="657">
        <f>+IF(OR($Q15=Parametres!$G$2,$Q15=Parametres!$G$3),I15,C15)</f>
        <v>2363.9499999999998</v>
      </c>
      <c r="O15" s="657">
        <f>+IF(OR($Q15=Parametres!$G$2,$Q15=Parametres!$G$3),J15,D15)</f>
        <v>0</v>
      </c>
      <c r="P15" s="657">
        <f>+IF(OR($Q15=Parametres!$G$2,$Q15=Parametres!$G$3),K15,E15)</f>
        <v>2363.9499999999998</v>
      </c>
      <c r="Q15" s="656" t="str">
        <f t="shared" ref="Q15:S15" si="15">+F15</f>
        <v>1-Mémo</v>
      </c>
      <c r="R15" s="655" t="str">
        <f t="shared" si="15"/>
        <v>257</v>
      </c>
      <c r="S15" s="656">
        <f t="shared" si="15"/>
        <v>0</v>
      </c>
      <c r="T15" s="658" t="str">
        <f>+VLOOKUP($L15,Data_Validation!$A:$D,1,0)</f>
        <v>257</v>
      </c>
      <c r="U15" s="658">
        <f>+VLOOKUP($L15,Data_Validation!$A:$D,3,0)</f>
        <v>0</v>
      </c>
      <c r="V15" s="658">
        <f>+VLOOKUP($L15,Data_Validation!$A:$D,4,0)</f>
        <v>0</v>
      </c>
      <c r="W15" s="658">
        <f>+VLOOKUP($L15,Data_Validation!$A:$E,5,0)</f>
        <v>0</v>
      </c>
      <c r="X15" s="658">
        <f>+VLOOKUP($L15,Data_Validation!$A:$F,6,0)</f>
        <v>0</v>
      </c>
    </row>
    <row r="16" spans="1:26" ht="15" customHeight="1">
      <c r="A16" s="1190" t="s">
        <v>3667</v>
      </c>
      <c r="B16" s="1190" t="s">
        <v>1752</v>
      </c>
      <c r="C16" s="1191"/>
      <c r="D16" s="1191"/>
      <c r="E16" s="1191"/>
      <c r="F16" s="1190" t="s">
        <v>2</v>
      </c>
      <c r="G16" s="1190" t="s">
        <v>746</v>
      </c>
      <c r="H16" s="1191"/>
      <c r="I16" s="1192">
        <v>669.8</v>
      </c>
      <c r="J16" s="1192">
        <v>0</v>
      </c>
      <c r="K16" s="1192">
        <v>669.8</v>
      </c>
      <c r="L16" s="655" t="str">
        <f t="shared" si="2"/>
        <v>258</v>
      </c>
      <c r="M16" s="656" t="str">
        <f t="shared" si="0"/>
        <v>HEURES VENDUES - SVC - VW - MCI - GARANTIE</v>
      </c>
      <c r="N16" s="657">
        <f>+IF(OR($Q16=Parametres!$G$2,$Q16=Parametres!$G$3),I16,C16)</f>
        <v>669.8</v>
      </c>
      <c r="O16" s="657">
        <f>+IF(OR($Q16=Parametres!$G$2,$Q16=Parametres!$G$3),J16,D16)</f>
        <v>0</v>
      </c>
      <c r="P16" s="657">
        <f>+IF(OR($Q16=Parametres!$G$2,$Q16=Parametres!$G$3),K16,E16)</f>
        <v>669.8</v>
      </c>
      <c r="Q16" s="656" t="str">
        <f t="shared" ref="Q16:S16" si="16">+F16</f>
        <v>1-Mémo</v>
      </c>
      <c r="R16" s="655" t="str">
        <f t="shared" si="16"/>
        <v>257</v>
      </c>
      <c r="S16" s="656">
        <f t="shared" si="16"/>
        <v>0</v>
      </c>
      <c r="T16" s="658" t="str">
        <f>+VLOOKUP($L16,Data_Validation!$A:$D,1,0)</f>
        <v>258</v>
      </c>
      <c r="U16" s="658">
        <f>+VLOOKUP($L16,Data_Validation!$A:$D,3,0)</f>
        <v>0</v>
      </c>
      <c r="V16" s="658">
        <f>+VLOOKUP($L16,Data_Validation!$A:$D,4,0)</f>
        <v>0</v>
      </c>
      <c r="W16" s="658">
        <f>+VLOOKUP($L16,Data_Validation!$A:$E,5,0)</f>
        <v>0</v>
      </c>
      <c r="X16" s="658">
        <f>+VLOOKUP($L16,Data_Validation!$A:$F,6,0)</f>
        <v>0</v>
      </c>
    </row>
    <row r="17" spans="1:24" ht="15" customHeight="1">
      <c r="A17" s="1190" t="s">
        <v>3668</v>
      </c>
      <c r="B17" s="1190" t="s">
        <v>1755</v>
      </c>
      <c r="C17" s="1191"/>
      <c r="D17" s="1191"/>
      <c r="E17" s="1191"/>
      <c r="F17" s="1190" t="s">
        <v>2</v>
      </c>
      <c r="G17" s="1190" t="s">
        <v>746</v>
      </c>
      <c r="H17" s="1191"/>
      <c r="I17" s="1192">
        <v>1968.05</v>
      </c>
      <c r="J17" s="1192">
        <v>0</v>
      </c>
      <c r="K17" s="1192">
        <v>1968.05</v>
      </c>
      <c r="L17" s="655" t="str">
        <f t="shared" si="2"/>
        <v>259</v>
      </c>
      <c r="M17" s="656" t="str">
        <f t="shared" si="0"/>
        <v>HEURES VENDUES - SVC - VW - MCI - INTERNE</v>
      </c>
      <c r="N17" s="657">
        <f>+IF(OR($Q17=Parametres!$G$2,$Q17=Parametres!$G$3),I17,C17)</f>
        <v>1968.05</v>
      </c>
      <c r="O17" s="657">
        <f>+IF(OR($Q17=Parametres!$G$2,$Q17=Parametres!$G$3),J17,D17)</f>
        <v>0</v>
      </c>
      <c r="P17" s="657">
        <f>+IF(OR($Q17=Parametres!$G$2,$Q17=Parametres!$G$3),K17,E17)</f>
        <v>1968.05</v>
      </c>
      <c r="Q17" s="656" t="str">
        <f t="shared" ref="Q17:S17" si="17">+F17</f>
        <v>1-Mémo</v>
      </c>
      <c r="R17" s="655" t="str">
        <f t="shared" si="17"/>
        <v>257</v>
      </c>
      <c r="S17" s="656">
        <f t="shared" si="17"/>
        <v>0</v>
      </c>
      <c r="T17" s="658" t="str">
        <f>+VLOOKUP($L17,Data_Validation!$A:$D,1,0)</f>
        <v>259</v>
      </c>
      <c r="U17" s="658">
        <f>+VLOOKUP($L17,Data_Validation!$A:$D,3,0)</f>
        <v>0</v>
      </c>
      <c r="V17" s="658">
        <f>+VLOOKUP($L17,Data_Validation!$A:$D,4,0)</f>
        <v>0</v>
      </c>
      <c r="W17" s="658">
        <f>+VLOOKUP($L17,Data_Validation!$A:$E,5,0)</f>
        <v>0</v>
      </c>
      <c r="X17" s="658">
        <f>+VLOOKUP($L17,Data_Validation!$A:$F,6,0)</f>
        <v>0</v>
      </c>
    </row>
    <row r="18" spans="1:24" ht="15" customHeight="1">
      <c r="A18" s="1190" t="s">
        <v>3911</v>
      </c>
      <c r="B18" s="1190" t="s">
        <v>3912</v>
      </c>
      <c r="C18" s="1191"/>
      <c r="D18" s="1191"/>
      <c r="E18" s="1191"/>
      <c r="F18" s="1190" t="s">
        <v>2</v>
      </c>
      <c r="G18" s="1190" t="s">
        <v>3913</v>
      </c>
      <c r="H18" s="1191"/>
      <c r="I18" s="1192">
        <v>151.94999999999999</v>
      </c>
      <c r="J18" s="1192">
        <v>0</v>
      </c>
      <c r="K18" s="1192">
        <v>151.94999999999999</v>
      </c>
      <c r="L18" s="655" t="str">
        <f t="shared" si="2"/>
        <v>266</v>
      </c>
      <c r="M18" s="656" t="str">
        <f t="shared" si="0"/>
        <v>TAUX MAIN D'OEUVRE - CLIENT - VW - VEB</v>
      </c>
      <c r="N18" s="657">
        <f>+IF(OR($Q18=Parametres!$G$2,$Q18=Parametres!$G$3),I18,C18)</f>
        <v>151.94999999999999</v>
      </c>
      <c r="O18" s="657">
        <f>+IF(OR($Q18=Parametres!$G$2,$Q18=Parametres!$G$3),J18,D18)</f>
        <v>0</v>
      </c>
      <c r="P18" s="657">
        <f>+IF(OR($Q18=Parametres!$G$2,$Q18=Parametres!$G$3),K18,E18)</f>
        <v>151.94999999999999</v>
      </c>
      <c r="Q18" s="656" t="str">
        <f t="shared" ref="Q18:S18" si="18">+F18</f>
        <v>1-Mémo</v>
      </c>
      <c r="R18" s="655" t="str">
        <f t="shared" si="18"/>
        <v>26</v>
      </c>
      <c r="S18" s="656">
        <f t="shared" si="18"/>
        <v>0</v>
      </c>
      <c r="T18" s="658" t="e">
        <f>+VLOOKUP($L18,Data_Validation!$A:$D,1,0)</f>
        <v>#N/A</v>
      </c>
      <c r="U18" s="658" t="e">
        <f>+VLOOKUP($L18,Data_Validation!$A:$D,3,0)</f>
        <v>#N/A</v>
      </c>
      <c r="V18" s="658" t="e">
        <f>+VLOOKUP($L18,Data_Validation!$A:$D,4,0)</f>
        <v>#N/A</v>
      </c>
      <c r="W18" s="658" t="e">
        <f>+VLOOKUP($L18,Data_Validation!$A:$E,5,0)</f>
        <v>#N/A</v>
      </c>
      <c r="X18" s="658" t="e">
        <f>+VLOOKUP($L18,Data_Validation!$A:$F,6,0)</f>
        <v>#N/A</v>
      </c>
    </row>
    <row r="19" spans="1:24" ht="15" customHeight="1">
      <c r="A19" s="1190" t="s">
        <v>3914</v>
      </c>
      <c r="B19" s="1190" t="s">
        <v>3915</v>
      </c>
      <c r="C19" s="1191"/>
      <c r="D19" s="1191"/>
      <c r="E19" s="1191"/>
      <c r="F19" s="1190" t="s">
        <v>2</v>
      </c>
      <c r="G19" s="1190" t="s">
        <v>3913</v>
      </c>
      <c r="H19" s="1191"/>
      <c r="I19" s="1192">
        <v>138.4</v>
      </c>
      <c r="J19" s="1192">
        <v>0</v>
      </c>
      <c r="K19" s="1192">
        <v>138.4</v>
      </c>
      <c r="L19" s="655" t="str">
        <f t="shared" si="2"/>
        <v>267</v>
      </c>
      <c r="M19" s="656" t="str">
        <f t="shared" si="0"/>
        <v>TAUX MAIN D'OEUVRE - GARANTIE - VW - VEB</v>
      </c>
      <c r="N19" s="657">
        <f>+IF(OR($Q19=Parametres!$G$2,$Q19=Parametres!$G$3),I19,C19)</f>
        <v>138.4</v>
      </c>
      <c r="O19" s="661">
        <f>+IF(OR($Q19=Parametres!$G$2,$Q19=Parametres!$G$3),J19,D19)</f>
        <v>0</v>
      </c>
      <c r="P19" s="657">
        <f>+IF(OR($Q19=Parametres!$G$2,$Q19=Parametres!$G$3),K19,E19)</f>
        <v>138.4</v>
      </c>
      <c r="Q19" s="656" t="str">
        <f t="shared" ref="Q19:S19" si="19">+F19</f>
        <v>1-Mémo</v>
      </c>
      <c r="R19" s="655" t="str">
        <f t="shared" si="19"/>
        <v>26</v>
      </c>
      <c r="S19" s="656">
        <f t="shared" si="19"/>
        <v>0</v>
      </c>
      <c r="T19" s="658" t="e">
        <f>+VLOOKUP($L19,Data_Validation!$A:$D,1,0)</f>
        <v>#N/A</v>
      </c>
      <c r="U19" s="658" t="e">
        <f>+VLOOKUP($L19,Data_Validation!$A:$D,3,0)</f>
        <v>#N/A</v>
      </c>
      <c r="V19" s="658" t="e">
        <f>+VLOOKUP($L19,Data_Validation!$A:$D,4,0)</f>
        <v>#N/A</v>
      </c>
      <c r="W19" s="658" t="e">
        <f>+VLOOKUP($L19,Data_Validation!$A:$E,5,0)</f>
        <v>#N/A</v>
      </c>
      <c r="X19" s="658" t="e">
        <f>+VLOOKUP($L19,Data_Validation!$A:$F,6,0)</f>
        <v>#N/A</v>
      </c>
    </row>
    <row r="20" spans="1:24" ht="15" customHeight="1">
      <c r="A20" s="1190" t="s">
        <v>3916</v>
      </c>
      <c r="B20" s="1190" t="s">
        <v>3917</v>
      </c>
      <c r="C20" s="1191"/>
      <c r="D20" s="1191"/>
      <c r="E20" s="1191"/>
      <c r="F20" s="1190" t="s">
        <v>2</v>
      </c>
      <c r="G20" s="1190" t="s">
        <v>3913</v>
      </c>
      <c r="H20" s="1191"/>
      <c r="I20" s="1192">
        <v>151.94999999999999</v>
      </c>
      <c r="J20" s="1192">
        <v>0</v>
      </c>
      <c r="K20" s="1192">
        <v>151.94999999999999</v>
      </c>
      <c r="L20" s="655" t="str">
        <f t="shared" si="2"/>
        <v>268</v>
      </c>
      <c r="M20" s="656" t="str">
        <f t="shared" si="0"/>
        <v>TAUX MAIN D'OEUVRE - INTERNE - VW - VEB</v>
      </c>
      <c r="N20" s="657">
        <f>+IF(OR($Q20=Parametres!$G$2,$Q20=Parametres!$G$3),I20,C20)</f>
        <v>151.94999999999999</v>
      </c>
      <c r="O20" s="657">
        <f>+IF(OR($Q20=Parametres!$G$2,$Q20=Parametres!$G$3),J20,D20)</f>
        <v>0</v>
      </c>
      <c r="P20" s="657">
        <f>+IF(OR($Q20=Parametres!$G$2,$Q20=Parametres!$G$3),K20,E20)</f>
        <v>151.94999999999999</v>
      </c>
      <c r="Q20" s="656" t="str">
        <f t="shared" ref="Q20:S20" si="20">+F20</f>
        <v>1-Mémo</v>
      </c>
      <c r="R20" s="655" t="str">
        <f t="shared" si="20"/>
        <v>26</v>
      </c>
      <c r="S20" s="656">
        <f t="shared" si="20"/>
        <v>0</v>
      </c>
      <c r="T20" s="658" t="e">
        <f>+VLOOKUP($L20,Data_Validation!$A:$D,1,0)</f>
        <v>#N/A</v>
      </c>
      <c r="U20" s="658" t="e">
        <f>+VLOOKUP($L20,Data_Validation!$A:$D,3,0)</f>
        <v>#N/A</v>
      </c>
      <c r="V20" s="658" t="e">
        <f>+VLOOKUP($L20,Data_Validation!$A:$D,4,0)</f>
        <v>#N/A</v>
      </c>
      <c r="W20" s="658" t="e">
        <f>+VLOOKUP($L20,Data_Validation!$A:$E,5,0)</f>
        <v>#N/A</v>
      </c>
      <c r="X20" s="658" t="e">
        <f>+VLOOKUP($L20,Data_Validation!$A:$F,6,0)</f>
        <v>#N/A</v>
      </c>
    </row>
    <row r="21" spans="1:24" ht="15" customHeight="1">
      <c r="A21" s="1190" t="s">
        <v>3918</v>
      </c>
      <c r="B21" s="1190" t="s">
        <v>3919</v>
      </c>
      <c r="C21" s="1191"/>
      <c r="D21" s="1191"/>
      <c r="E21" s="1191"/>
      <c r="F21" s="1190" t="s">
        <v>2</v>
      </c>
      <c r="G21" s="1190" t="s">
        <v>3913</v>
      </c>
      <c r="H21" s="1191"/>
      <c r="I21" s="1192">
        <v>68</v>
      </c>
      <c r="J21" s="1192">
        <v>0</v>
      </c>
      <c r="K21" s="1192">
        <v>68</v>
      </c>
      <c r="L21" s="655" t="str">
        <f t="shared" si="2"/>
        <v>269</v>
      </c>
      <c r="M21" s="656" t="str">
        <f t="shared" si="0"/>
        <v>TAUX MAIN D'OEUVRE - BODY - VW - VEB</v>
      </c>
      <c r="N21" s="657">
        <f>+IF(OR($Q21=Parametres!$G$2,$Q21=Parametres!$G$3),I21,C21)</f>
        <v>68</v>
      </c>
      <c r="O21" s="657">
        <f>+IF(OR($Q21=Parametres!$G$2,$Q21=Parametres!$G$3),J21,D21)</f>
        <v>0</v>
      </c>
      <c r="P21" s="657">
        <f>+IF(OR($Q21=Parametres!$G$2,$Q21=Parametres!$G$3),K21,E21)</f>
        <v>68</v>
      </c>
      <c r="Q21" s="656" t="str">
        <f t="shared" ref="Q21:S21" si="21">+F21</f>
        <v>1-Mémo</v>
      </c>
      <c r="R21" s="655" t="str">
        <f t="shared" si="21"/>
        <v>26</v>
      </c>
      <c r="S21" s="656">
        <f t="shared" si="21"/>
        <v>0</v>
      </c>
      <c r="T21" s="658" t="e">
        <f>+VLOOKUP($L21,Data_Validation!$A:$D,1,0)</f>
        <v>#N/A</v>
      </c>
      <c r="U21" s="658" t="e">
        <f>+VLOOKUP($L21,Data_Validation!$A:$D,3,0)</f>
        <v>#N/A</v>
      </c>
      <c r="V21" s="658" t="e">
        <f>+VLOOKUP($L21,Data_Validation!$A:$D,4,0)</f>
        <v>#N/A</v>
      </c>
      <c r="W21" s="658" t="e">
        <f>+VLOOKUP($L21,Data_Validation!$A:$E,5,0)</f>
        <v>#N/A</v>
      </c>
      <c r="X21" s="658" t="e">
        <f>+VLOOKUP($L21,Data_Validation!$A:$F,6,0)</f>
        <v>#N/A</v>
      </c>
    </row>
    <row r="22" spans="1:24" ht="15" customHeight="1">
      <c r="A22" s="1190" t="s">
        <v>749</v>
      </c>
      <c r="B22" s="1190" t="s">
        <v>1765</v>
      </c>
      <c r="C22" s="1191"/>
      <c r="D22" s="1191"/>
      <c r="E22" s="1191"/>
      <c r="F22" s="1190" t="s">
        <v>2</v>
      </c>
      <c r="G22" s="1190" t="s">
        <v>750</v>
      </c>
      <c r="H22" s="1191"/>
      <c r="I22" s="1192">
        <v>328549.31</v>
      </c>
      <c r="J22" s="1192">
        <v>0</v>
      </c>
      <c r="K22" s="1192">
        <v>328549.31</v>
      </c>
      <c r="L22" s="655" t="str">
        <f t="shared" si="2"/>
        <v>300</v>
      </c>
      <c r="M22" s="656" t="str">
        <f t="shared" si="0"/>
        <v>REC VEH PASSE DU 30-60</v>
      </c>
      <c r="N22" s="657">
        <f>+IF(OR($Q22=Parametres!$G$2,$Q22=Parametres!$G$3),I22,C22)</f>
        <v>328549.31</v>
      </c>
      <c r="O22" s="657">
        <f>+IF(OR($Q22=Parametres!$G$2,$Q22=Parametres!$G$3),J22,D22)</f>
        <v>0</v>
      </c>
      <c r="P22" s="657">
        <f>+IF(OR($Q22=Parametres!$G$2,$Q22=Parametres!$G$3),K22,E22)</f>
        <v>328549.31</v>
      </c>
      <c r="Q22" s="656" t="str">
        <f t="shared" ref="Q22:S22" si="22">+F22</f>
        <v>1-Mémo</v>
      </c>
      <c r="R22" s="655" t="str">
        <f t="shared" si="22"/>
        <v>30</v>
      </c>
      <c r="S22" s="656">
        <f t="shared" si="22"/>
        <v>0</v>
      </c>
      <c r="T22" s="658" t="str">
        <f>+VLOOKUP($L22,Data_Validation!$A:$D,1,0)</f>
        <v>300</v>
      </c>
      <c r="U22" s="658">
        <f>+VLOOKUP($L22,Data_Validation!$A:$D,3,0)</f>
        <v>0</v>
      </c>
      <c r="V22" s="658">
        <f>+VLOOKUP($L22,Data_Validation!$A:$D,4,0)</f>
        <v>0</v>
      </c>
      <c r="W22" s="658">
        <f>+VLOOKUP($L22,Data_Validation!$A:$E,5,0)</f>
        <v>0</v>
      </c>
      <c r="X22" s="658">
        <f>+VLOOKUP($L22,Data_Validation!$A:$F,6,0)</f>
        <v>0</v>
      </c>
    </row>
    <row r="23" spans="1:24" ht="15" customHeight="1">
      <c r="A23" s="1190" t="s">
        <v>751</v>
      </c>
      <c r="B23" s="1190" t="s">
        <v>1776</v>
      </c>
      <c r="C23" s="1191"/>
      <c r="D23" s="1191"/>
      <c r="E23" s="1191"/>
      <c r="F23" s="1190" t="s">
        <v>2</v>
      </c>
      <c r="G23" s="1190" t="s">
        <v>750</v>
      </c>
      <c r="H23" s="1191"/>
      <c r="I23" s="1192">
        <v>145972.85999999999</v>
      </c>
      <c r="J23" s="1192">
        <v>0</v>
      </c>
      <c r="K23" s="1192">
        <v>145972.85999999999</v>
      </c>
      <c r="L23" s="655" t="str">
        <f t="shared" si="2"/>
        <v>301</v>
      </c>
      <c r="M23" s="656" t="str">
        <f t="shared" si="0"/>
        <v>CLIENT S P ET A PASSE DU 30-60</v>
      </c>
      <c r="N23" s="657">
        <f>+IF(OR($Q23=Parametres!$G$2,$Q23=Parametres!$G$3),I23,C23)</f>
        <v>145972.85999999999</v>
      </c>
      <c r="O23" s="657">
        <f>+IF(OR($Q23=Parametres!$G$2,$Q23=Parametres!$G$3),J23,D23)</f>
        <v>0</v>
      </c>
      <c r="P23" s="657">
        <f>+IF(OR($Q23=Parametres!$G$2,$Q23=Parametres!$G$3),K23,E23)</f>
        <v>145972.85999999999</v>
      </c>
      <c r="Q23" s="656" t="str">
        <f t="shared" ref="Q23:S23" si="23">+F23</f>
        <v>1-Mémo</v>
      </c>
      <c r="R23" s="655" t="str">
        <f t="shared" si="23"/>
        <v>30</v>
      </c>
      <c r="S23" s="656">
        <f t="shared" si="23"/>
        <v>0</v>
      </c>
      <c r="T23" s="658" t="str">
        <f>+VLOOKUP($L23,Data_Validation!$A:$D,1,0)</f>
        <v>301</v>
      </c>
      <c r="U23" s="658">
        <f>+VLOOKUP($L23,Data_Validation!$A:$D,3,0)</f>
        <v>0</v>
      </c>
      <c r="V23" s="658">
        <f>+VLOOKUP($L23,Data_Validation!$A:$D,4,0)</f>
        <v>0</v>
      </c>
      <c r="W23" s="658">
        <f>+VLOOKUP($L23,Data_Validation!$A:$E,5,0)</f>
        <v>0</v>
      </c>
      <c r="X23" s="658">
        <f>+VLOOKUP($L23,Data_Validation!$A:$F,6,0)</f>
        <v>0</v>
      </c>
    </row>
    <row r="24" spans="1:24" ht="15" customHeight="1">
      <c r="A24" s="1190" t="s">
        <v>752</v>
      </c>
      <c r="B24" s="1190" t="s">
        <v>1779</v>
      </c>
      <c r="C24" s="1191"/>
      <c r="D24" s="1191"/>
      <c r="E24" s="1191"/>
      <c r="F24" s="1190" t="s">
        <v>2</v>
      </c>
      <c r="G24" s="1190" t="s">
        <v>750</v>
      </c>
      <c r="H24" s="1191"/>
      <c r="I24" s="1192">
        <v>2181.13</v>
      </c>
      <c r="J24" s="1192">
        <v>0</v>
      </c>
      <c r="K24" s="1192">
        <v>2181.13</v>
      </c>
      <c r="L24" s="655" t="str">
        <f t="shared" si="2"/>
        <v>302</v>
      </c>
      <c r="M24" s="656" t="str">
        <f t="shared" si="0"/>
        <v>RECLAM GARANTIE VW PASSE DU 30-60</v>
      </c>
      <c r="N24" s="657">
        <f>+IF(OR($Q24=Parametres!$G$2,$Q24=Parametres!$G$3),I24,C24)</f>
        <v>2181.13</v>
      </c>
      <c r="O24" s="657">
        <f>+IF(OR($Q24=Parametres!$G$2,$Q24=Parametres!$G$3),J24,D24)</f>
        <v>0</v>
      </c>
      <c r="P24" s="657">
        <f>+IF(OR($Q24=Parametres!$G$2,$Q24=Parametres!$G$3),K24,E24)</f>
        <v>2181.13</v>
      </c>
      <c r="Q24" s="656" t="str">
        <f t="shared" ref="Q24:S24" si="24">+F24</f>
        <v>1-Mémo</v>
      </c>
      <c r="R24" s="655" t="str">
        <f t="shared" si="24"/>
        <v>30</v>
      </c>
      <c r="S24" s="656">
        <f t="shared" si="24"/>
        <v>0</v>
      </c>
      <c r="T24" s="658" t="str">
        <f>+VLOOKUP($L24,Data_Validation!$A:$D,1,0)</f>
        <v>302</v>
      </c>
      <c r="U24" s="658">
        <f>+VLOOKUP($L24,Data_Validation!$A:$D,3,0)</f>
        <v>0</v>
      </c>
      <c r="V24" s="658">
        <f>+VLOOKUP($L24,Data_Validation!$A:$D,4,0)</f>
        <v>0</v>
      </c>
      <c r="W24" s="658">
        <f>+VLOOKUP($L24,Data_Validation!$A:$E,5,0)</f>
        <v>0</v>
      </c>
      <c r="X24" s="658">
        <f>+VLOOKUP($L24,Data_Validation!$A:$F,6,0)</f>
        <v>0</v>
      </c>
    </row>
    <row r="25" spans="1:24" ht="15" customHeight="1">
      <c r="A25" s="1190" t="s">
        <v>753</v>
      </c>
      <c r="B25" s="1190" t="s">
        <v>1782</v>
      </c>
      <c r="C25" s="1191"/>
      <c r="D25" s="1191"/>
      <c r="E25" s="1191"/>
      <c r="F25" s="1190" t="s">
        <v>2</v>
      </c>
      <c r="G25" s="1190" t="s">
        <v>750</v>
      </c>
      <c r="H25" s="1191"/>
      <c r="I25" s="1192">
        <v>349639.52</v>
      </c>
      <c r="J25" s="1192">
        <v>0</v>
      </c>
      <c r="K25" s="1192">
        <v>349639.52</v>
      </c>
      <c r="L25" s="655" t="str">
        <f t="shared" si="2"/>
        <v>307</v>
      </c>
      <c r="M25" s="656" t="str">
        <f t="shared" si="0"/>
        <v>AUTRE REC MANUFACTURIER VW PASSE DU 30-60</v>
      </c>
      <c r="N25" s="657">
        <f>+IF(OR($Q25=Parametres!$G$2,$Q25=Parametres!$G$3),I25,C25)</f>
        <v>349639.52</v>
      </c>
      <c r="O25" s="657">
        <f>+IF(OR($Q25=Parametres!$G$2,$Q25=Parametres!$G$3),J25,D25)</f>
        <v>0</v>
      </c>
      <c r="P25" s="657">
        <f>+IF(OR($Q25=Parametres!$G$2,$Q25=Parametres!$G$3),K25,E25)</f>
        <v>349639.52</v>
      </c>
      <c r="Q25" s="656" t="str">
        <f t="shared" ref="Q25:S25" si="25">+F25</f>
        <v>1-Mémo</v>
      </c>
      <c r="R25" s="655" t="str">
        <f t="shared" si="25"/>
        <v>30</v>
      </c>
      <c r="S25" s="656">
        <f t="shared" si="25"/>
        <v>0</v>
      </c>
      <c r="T25" s="658" t="str">
        <f>+VLOOKUP($L25,Data_Validation!$A:$D,1,0)</f>
        <v>307</v>
      </c>
      <c r="U25" s="658">
        <f>+VLOOKUP($L25,Data_Validation!$A:$D,3,0)</f>
        <v>0</v>
      </c>
      <c r="V25" s="658">
        <f>+VLOOKUP($L25,Data_Validation!$A:$D,4,0)</f>
        <v>0</v>
      </c>
      <c r="W25" s="658">
        <f>+VLOOKUP($L25,Data_Validation!$A:$E,5,0)</f>
        <v>0</v>
      </c>
      <c r="X25" s="658">
        <f>+VLOOKUP($L25,Data_Validation!$A:$F,6,0)</f>
        <v>0</v>
      </c>
    </row>
    <row r="26" spans="1:24" ht="15.75" customHeight="1">
      <c r="A26" s="1190" t="s">
        <v>754</v>
      </c>
      <c r="B26" s="1190" t="s">
        <v>1785</v>
      </c>
      <c r="C26" s="1191"/>
      <c r="D26" s="1191"/>
      <c r="E26" s="1191"/>
      <c r="F26" s="1190" t="s">
        <v>2</v>
      </c>
      <c r="G26" s="1190" t="s">
        <v>3328</v>
      </c>
      <c r="H26" s="1191"/>
      <c r="I26" s="1192">
        <v>38436.699999999997</v>
      </c>
      <c r="J26" s="1192">
        <v>0</v>
      </c>
      <c r="K26" s="1192">
        <v>38436.699999999997</v>
      </c>
      <c r="L26" s="655" t="str">
        <f t="shared" si="2"/>
        <v>311</v>
      </c>
      <c r="M26" s="656" t="str">
        <f t="shared" si="0"/>
        <v>CLIENT VEH PLUS DE 60</v>
      </c>
      <c r="N26" s="657">
        <f>+IF(OR($Q26=Parametres!$G$2,$Q26=Parametres!$G$3),I26,C26)</f>
        <v>38436.699999999997</v>
      </c>
      <c r="O26" s="657">
        <f>+IF(OR($Q26=Parametres!$G$2,$Q26=Parametres!$G$3),J26,D26)</f>
        <v>0</v>
      </c>
      <c r="P26" s="657">
        <f>+IF(OR($Q26=Parametres!$G$2,$Q26=Parametres!$G$3),K26,E26)</f>
        <v>38436.699999999997</v>
      </c>
      <c r="Q26" s="656" t="str">
        <f t="shared" ref="Q26:S26" si="26">+F26</f>
        <v>1-Mémo</v>
      </c>
      <c r="R26" s="655" t="str">
        <f t="shared" si="26"/>
        <v>31</v>
      </c>
      <c r="S26" s="656">
        <f t="shared" si="26"/>
        <v>0</v>
      </c>
      <c r="T26" s="658" t="str">
        <f>+VLOOKUP($L26,Data_Validation!$A:$D,1,0)</f>
        <v>311</v>
      </c>
      <c r="U26" s="658">
        <f>+VLOOKUP($L26,Data_Validation!$A:$D,3,0)</f>
        <v>0</v>
      </c>
      <c r="V26" s="658">
        <f>+VLOOKUP($L26,Data_Validation!$A:$D,4,0)</f>
        <v>0</v>
      </c>
      <c r="W26" s="658">
        <f>+VLOOKUP($L26,Data_Validation!$A:$E,5,0)</f>
        <v>0</v>
      </c>
      <c r="X26" s="658">
        <f>+VLOOKUP($L26,Data_Validation!$A:$F,6,0)</f>
        <v>0</v>
      </c>
    </row>
    <row r="27" spans="1:24" ht="15" customHeight="1">
      <c r="A27" s="1190" t="s">
        <v>755</v>
      </c>
      <c r="B27" s="1190" t="s">
        <v>1788</v>
      </c>
      <c r="C27" s="1191"/>
      <c r="D27" s="1191"/>
      <c r="E27" s="1191"/>
      <c r="F27" s="1190" t="s">
        <v>2</v>
      </c>
      <c r="G27" s="1190" t="s">
        <v>3328</v>
      </c>
      <c r="H27" s="1191"/>
      <c r="I27" s="1192">
        <v>83329.63</v>
      </c>
      <c r="J27" s="1192">
        <v>0</v>
      </c>
      <c r="K27" s="1192">
        <v>83329.63</v>
      </c>
      <c r="L27" s="655" t="str">
        <f t="shared" si="2"/>
        <v>312</v>
      </c>
      <c r="M27" s="656" t="str">
        <f t="shared" si="0"/>
        <v>CLIENT S P ET A PLUS DE 60</v>
      </c>
      <c r="N27" s="657">
        <f>+IF(OR($Q27=Parametres!$G$2,$Q27=Parametres!$G$3),I27,C27)</f>
        <v>83329.63</v>
      </c>
      <c r="O27" s="657">
        <f>+IF(OR($Q27=Parametres!$G$2,$Q27=Parametres!$G$3),J27,D27)</f>
        <v>0</v>
      </c>
      <c r="P27" s="657">
        <f>+IF(OR($Q27=Parametres!$G$2,$Q27=Parametres!$G$3),K27,E27)</f>
        <v>83329.63</v>
      </c>
      <c r="Q27" s="656" t="str">
        <f t="shared" ref="Q27:S27" si="27">+F27</f>
        <v>1-Mémo</v>
      </c>
      <c r="R27" s="655" t="str">
        <f t="shared" si="27"/>
        <v>31</v>
      </c>
      <c r="S27" s="656">
        <f t="shared" si="27"/>
        <v>0</v>
      </c>
      <c r="T27" s="658" t="str">
        <f>+VLOOKUP($L27,Data_Validation!$A:$D,1,0)</f>
        <v>312</v>
      </c>
      <c r="U27" s="658">
        <f>+VLOOKUP($L27,Data_Validation!$A:$D,3,0)</f>
        <v>0</v>
      </c>
      <c r="V27" s="658">
        <f>+VLOOKUP($L27,Data_Validation!$A:$D,4,0)</f>
        <v>0</v>
      </c>
      <c r="W27" s="658">
        <f>+VLOOKUP($L27,Data_Validation!$A:$E,5,0)</f>
        <v>0</v>
      </c>
      <c r="X27" s="658">
        <f>+VLOOKUP($L27,Data_Validation!$A:$F,6,0)</f>
        <v>0</v>
      </c>
    </row>
    <row r="28" spans="1:24" ht="15" customHeight="1">
      <c r="A28" s="1190" t="s">
        <v>756</v>
      </c>
      <c r="B28" s="1190" t="s">
        <v>1791</v>
      </c>
      <c r="C28" s="1191"/>
      <c r="D28" s="1191"/>
      <c r="E28" s="1191"/>
      <c r="F28" s="1190" t="s">
        <v>2</v>
      </c>
      <c r="G28" s="1190" t="s">
        <v>3328</v>
      </c>
      <c r="H28" s="1191"/>
      <c r="I28" s="1192">
        <v>2388.46</v>
      </c>
      <c r="J28" s="1192">
        <v>0</v>
      </c>
      <c r="K28" s="1192">
        <v>2388.46</v>
      </c>
      <c r="L28" s="655" t="str">
        <f t="shared" si="2"/>
        <v>313</v>
      </c>
      <c r="M28" s="656" t="str">
        <f t="shared" si="0"/>
        <v>RECLAMATIONS DE GARATIE VW PLUS DE 60</v>
      </c>
      <c r="N28" s="657">
        <f>+IF(OR($Q28=Parametres!$G$2,$Q28=Parametres!$G$3),I28,C28)</f>
        <v>2388.46</v>
      </c>
      <c r="O28" s="657">
        <f>+IF(OR($Q28=Parametres!$G$2,$Q28=Parametres!$G$3),J28,D28)</f>
        <v>0</v>
      </c>
      <c r="P28" s="657">
        <f>+IF(OR($Q28=Parametres!$G$2,$Q28=Parametres!$G$3),K28,E28)</f>
        <v>2388.46</v>
      </c>
      <c r="Q28" s="656" t="str">
        <f t="shared" ref="Q28:S28" si="28">+F28</f>
        <v>1-Mémo</v>
      </c>
      <c r="R28" s="655" t="str">
        <f t="shared" si="28"/>
        <v>31</v>
      </c>
      <c r="S28" s="656">
        <f t="shared" si="28"/>
        <v>0</v>
      </c>
      <c r="T28" s="658" t="str">
        <f>+VLOOKUP($L28,Data_Validation!$A:$D,1,0)</f>
        <v>313</v>
      </c>
      <c r="U28" s="658">
        <f>+VLOOKUP($L28,Data_Validation!$A:$D,3,0)</f>
        <v>0</v>
      </c>
      <c r="V28" s="658">
        <f>+VLOOKUP($L28,Data_Validation!$A:$D,4,0)</f>
        <v>0</v>
      </c>
      <c r="W28" s="658">
        <f>+VLOOKUP($L28,Data_Validation!$A:$E,5,0)</f>
        <v>0</v>
      </c>
      <c r="X28" s="658">
        <f>+VLOOKUP($L28,Data_Validation!$A:$F,6,0)</f>
        <v>0</v>
      </c>
    </row>
    <row r="29" spans="1:24" ht="15" customHeight="1">
      <c r="A29" s="1190" t="s">
        <v>757</v>
      </c>
      <c r="B29" s="1190" t="s">
        <v>1794</v>
      </c>
      <c r="C29" s="1191"/>
      <c r="D29" s="1191"/>
      <c r="E29" s="1191"/>
      <c r="F29" s="1190" t="s">
        <v>2</v>
      </c>
      <c r="G29" s="1190" t="s">
        <v>3328</v>
      </c>
      <c r="H29" s="1191"/>
      <c r="I29" s="1192">
        <v>-14350.52</v>
      </c>
      <c r="J29" s="1192">
        <v>0</v>
      </c>
      <c r="K29" s="1192">
        <v>-14350.52</v>
      </c>
      <c r="L29" s="655" t="str">
        <f t="shared" si="2"/>
        <v>316</v>
      </c>
      <c r="M29" s="656" t="str">
        <f t="shared" si="0"/>
        <v>AUTRE REC MANUFACTURIER VW PLUS DE 60</v>
      </c>
      <c r="N29" s="657">
        <f>+IF(OR($Q29=Parametres!$G$2,$Q29=Parametres!$G$3),I29,C29)</f>
        <v>-14350.52</v>
      </c>
      <c r="O29" s="657">
        <f>+IF(OR($Q29=Parametres!$G$2,$Q29=Parametres!$G$3),J29,D29)</f>
        <v>0</v>
      </c>
      <c r="P29" s="657">
        <f>+IF(OR($Q29=Parametres!$G$2,$Q29=Parametres!$G$3),K29,E29)</f>
        <v>-14350.52</v>
      </c>
      <c r="Q29" s="656" t="str">
        <f t="shared" ref="Q29:S29" si="29">+F29</f>
        <v>1-Mémo</v>
      </c>
      <c r="R29" s="655" t="str">
        <f t="shared" si="29"/>
        <v>31</v>
      </c>
      <c r="S29" s="656">
        <f t="shared" si="29"/>
        <v>0</v>
      </c>
      <c r="T29" s="658" t="str">
        <f>+VLOOKUP($L29,Data_Validation!$A:$D,1,0)</f>
        <v>316</v>
      </c>
      <c r="U29" s="658">
        <f>+VLOOKUP($L29,Data_Validation!$A:$D,3,0)</f>
        <v>0</v>
      </c>
      <c r="V29" s="658">
        <f>+VLOOKUP($L29,Data_Validation!$A:$D,4,0)</f>
        <v>0</v>
      </c>
      <c r="W29" s="658">
        <f>+VLOOKUP($L29,Data_Validation!$A:$E,5,0)</f>
        <v>0</v>
      </c>
      <c r="X29" s="658">
        <f>+VLOOKUP($L29,Data_Validation!$A:$F,6,0)</f>
        <v>0</v>
      </c>
    </row>
    <row r="30" spans="1:24" ht="15" customHeight="1">
      <c r="A30" s="1190" t="s">
        <v>758</v>
      </c>
      <c r="B30" s="1190" t="s">
        <v>1800</v>
      </c>
      <c r="C30" s="1191"/>
      <c r="D30" s="1191"/>
      <c r="E30" s="1191"/>
      <c r="F30" s="1190" t="s">
        <v>2</v>
      </c>
      <c r="G30" s="1190" t="s">
        <v>3329</v>
      </c>
      <c r="H30" s="1191"/>
      <c r="I30" s="1192">
        <v>0.98</v>
      </c>
      <c r="J30" s="1192">
        <v>0</v>
      </c>
      <c r="K30" s="1192">
        <v>0.98</v>
      </c>
      <c r="L30" s="655" t="str">
        <f t="shared" si="2"/>
        <v>350</v>
      </c>
      <c r="M30" s="656" t="str">
        <f t="shared" si="0"/>
        <v>UNITES USAGES +30JRS</v>
      </c>
      <c r="N30" s="657">
        <f>+IF(OR($Q30=Parametres!$G$2,$Q30=Parametres!$G$3),I30,C30)</f>
        <v>0.98</v>
      </c>
      <c r="O30" s="661">
        <f>+IF(OR($Q30=Parametres!$G$2,$Q30=Parametres!$G$3),J30,D30)</f>
        <v>0</v>
      </c>
      <c r="P30" s="657">
        <f>+IF(OR($Q30=Parametres!$G$2,$Q30=Parametres!$G$3),K30,E30)</f>
        <v>0.98</v>
      </c>
      <c r="Q30" s="656" t="str">
        <f t="shared" ref="Q30:S30" si="30">+F30</f>
        <v>1-Mémo</v>
      </c>
      <c r="R30" s="655" t="str">
        <f t="shared" si="30"/>
        <v>35</v>
      </c>
      <c r="S30" s="656">
        <f t="shared" si="30"/>
        <v>0</v>
      </c>
      <c r="T30" s="658" t="str">
        <f>+VLOOKUP($L30,Data_Validation!$A:$D,1,0)</f>
        <v>350</v>
      </c>
      <c r="U30" s="658">
        <f>+VLOOKUP($L30,Data_Validation!$A:$D,3,0)</f>
        <v>0</v>
      </c>
      <c r="V30" s="658">
        <f>+VLOOKUP($L30,Data_Validation!$A:$D,4,0)</f>
        <v>0</v>
      </c>
      <c r="W30" s="658">
        <f>+VLOOKUP($L30,Data_Validation!$A:$E,5,0)</f>
        <v>0</v>
      </c>
      <c r="X30" s="658">
        <f>+VLOOKUP($L30,Data_Validation!$A:$F,6,0)</f>
        <v>0</v>
      </c>
    </row>
    <row r="31" spans="1:24" ht="15" customHeight="1">
      <c r="A31" s="1190" t="s">
        <v>759</v>
      </c>
      <c r="B31" s="1190" t="s">
        <v>1803</v>
      </c>
      <c r="C31" s="1191"/>
      <c r="D31" s="1191"/>
      <c r="E31" s="1191"/>
      <c r="F31" s="1190" t="s">
        <v>2</v>
      </c>
      <c r="G31" s="1190" t="s">
        <v>3330</v>
      </c>
      <c r="H31" s="1191"/>
      <c r="I31" s="1192">
        <v>2473538.4900000002</v>
      </c>
      <c r="J31" s="1192">
        <v>0</v>
      </c>
      <c r="K31" s="1192">
        <v>2473538.4900000002</v>
      </c>
      <c r="L31" s="655" t="str">
        <f t="shared" si="2"/>
        <v>360</v>
      </c>
      <c r="M31" s="656" t="str">
        <f t="shared" si="0"/>
        <v>OCCASION VW + 60 JRS</v>
      </c>
      <c r="N31" s="657">
        <f>+IF(OR($Q31=Parametres!$G$2,$Q31=Parametres!$G$3),I31,C31)</f>
        <v>2473538.4900000002</v>
      </c>
      <c r="O31" s="657">
        <f>+IF(OR($Q31=Parametres!$G$2,$Q31=Parametres!$G$3),J31,D31)</f>
        <v>0</v>
      </c>
      <c r="P31" s="657">
        <f>+IF(OR($Q31=Parametres!$G$2,$Q31=Parametres!$G$3),K31,E31)</f>
        <v>2473538.4900000002</v>
      </c>
      <c r="Q31" s="656" t="str">
        <f t="shared" ref="Q31:S31" si="31">+F31</f>
        <v>1-Mémo</v>
      </c>
      <c r="R31" s="655" t="str">
        <f t="shared" si="31"/>
        <v>36</v>
      </c>
      <c r="S31" s="656">
        <f t="shared" si="31"/>
        <v>0</v>
      </c>
      <c r="T31" s="658" t="str">
        <f>+VLOOKUP($L31,Data_Validation!$A:$D,1,0)</f>
        <v>360</v>
      </c>
      <c r="U31" s="658">
        <f>+VLOOKUP($L31,Data_Validation!$A:$D,3,0)</f>
        <v>0</v>
      </c>
      <c r="V31" s="658">
        <f>+VLOOKUP($L31,Data_Validation!$A:$D,4,0)</f>
        <v>0</v>
      </c>
      <c r="W31" s="658">
        <f>+VLOOKUP($L31,Data_Validation!$A:$E,5,0)</f>
        <v>0</v>
      </c>
      <c r="X31" s="658">
        <f>+VLOOKUP($L31,Data_Validation!$A:$F,6,0)</f>
        <v>0</v>
      </c>
    </row>
    <row r="32" spans="1:24" ht="15" customHeight="1">
      <c r="A32" s="1190" t="s">
        <v>760</v>
      </c>
      <c r="B32" s="1190" t="s">
        <v>1806</v>
      </c>
      <c r="C32" s="1191"/>
      <c r="D32" s="1191"/>
      <c r="E32" s="1191"/>
      <c r="F32" s="1190" t="s">
        <v>2</v>
      </c>
      <c r="G32" s="1190" t="s">
        <v>3331</v>
      </c>
      <c r="H32" s="1191"/>
      <c r="I32" s="1192">
        <v>5293302</v>
      </c>
      <c r="J32" s="1192">
        <v>0</v>
      </c>
      <c r="K32" s="1192">
        <v>5293302</v>
      </c>
      <c r="L32" s="655" t="str">
        <f t="shared" si="2"/>
        <v>370</v>
      </c>
      <c r="M32" s="656" t="str">
        <f t="shared" si="0"/>
        <v>AVOIR DU PROP. MIM. REQUIS</v>
      </c>
      <c r="N32" s="657">
        <f>+IF(OR($Q32=Parametres!$G$2,$Q32=Parametres!$G$3),I32,C32)</f>
        <v>5293302</v>
      </c>
      <c r="O32" s="661">
        <f>+IF(OR($Q32=Parametres!$G$2,$Q32=Parametres!$G$3),J32,D32)</f>
        <v>0</v>
      </c>
      <c r="P32" s="657">
        <f>+IF(OR($Q32=Parametres!$G$2,$Q32=Parametres!$G$3),K32,E32)</f>
        <v>5293302</v>
      </c>
      <c r="Q32" s="656" t="str">
        <f t="shared" ref="Q32:S32" si="32">+F32</f>
        <v>1-Mémo</v>
      </c>
      <c r="R32" s="655" t="str">
        <f t="shared" si="32"/>
        <v>37</v>
      </c>
      <c r="S32" s="656">
        <f t="shared" si="32"/>
        <v>0</v>
      </c>
      <c r="T32" s="658" t="str">
        <f>+VLOOKUP($L32,Data_Validation!$A:$D,1,0)</f>
        <v>370</v>
      </c>
      <c r="U32" s="658">
        <f>+VLOOKUP($L32,Data_Validation!$A:$D,3,0)</f>
        <v>0</v>
      </c>
      <c r="V32" s="658">
        <f>+VLOOKUP($L32,Data_Validation!$A:$D,4,0)</f>
        <v>0</v>
      </c>
      <c r="W32" s="658">
        <f>+VLOOKUP($L32,Data_Validation!$A:$E,5,0)</f>
        <v>0</v>
      </c>
      <c r="X32" s="658">
        <f>+VLOOKUP($L32,Data_Validation!$A:$F,6,0)</f>
        <v>0</v>
      </c>
    </row>
    <row r="33" spans="1:24" ht="15" customHeight="1">
      <c r="A33" s="1190" t="s">
        <v>761</v>
      </c>
      <c r="B33" s="1190" t="s">
        <v>1809</v>
      </c>
      <c r="C33" s="1191"/>
      <c r="D33" s="1191"/>
      <c r="E33" s="1191"/>
      <c r="F33" s="1190" t="s">
        <v>2</v>
      </c>
      <c r="G33" s="1190" t="s">
        <v>3331</v>
      </c>
      <c r="H33" s="1191"/>
      <c r="I33" s="1192">
        <v>1834098</v>
      </c>
      <c r="J33" s="1192">
        <v>0</v>
      </c>
      <c r="K33" s="1192">
        <v>1834098</v>
      </c>
      <c r="L33" s="655" t="str">
        <f t="shared" si="2"/>
        <v>372</v>
      </c>
      <c r="M33" s="656" t="str">
        <f t="shared" si="0"/>
        <v>FONDS DE ROULEMENT/MIN. REQUIS</v>
      </c>
      <c r="N33" s="657">
        <f>+IF(OR($Q33=Parametres!$G$2,$Q33=Parametres!$G$3),I33,C33)</f>
        <v>1834098</v>
      </c>
      <c r="O33" s="657">
        <f>+IF(OR($Q33=Parametres!$G$2,$Q33=Parametres!$G$3),J33,D33)</f>
        <v>0</v>
      </c>
      <c r="P33" s="657">
        <f>+IF(OR($Q33=Parametres!$G$2,$Q33=Parametres!$G$3),K33,E33)</f>
        <v>1834098</v>
      </c>
      <c r="Q33" s="656" t="str">
        <f t="shared" ref="Q33:S33" si="33">+F33</f>
        <v>1-Mémo</v>
      </c>
      <c r="R33" s="655" t="str">
        <f t="shared" si="33"/>
        <v>37</v>
      </c>
      <c r="S33" s="656">
        <f t="shared" si="33"/>
        <v>0</v>
      </c>
      <c r="T33" s="658" t="str">
        <f>+VLOOKUP($L33,Data_Validation!$A:$D,1,0)</f>
        <v>372</v>
      </c>
      <c r="U33" s="658">
        <f>+VLOOKUP($L33,Data_Validation!$A:$D,3,0)</f>
        <v>0</v>
      </c>
      <c r="V33" s="658">
        <f>+VLOOKUP($L33,Data_Validation!$A:$D,4,0)</f>
        <v>0</v>
      </c>
      <c r="W33" s="658">
        <f>+VLOOKUP($L33,Data_Validation!$A:$E,5,0)</f>
        <v>0</v>
      </c>
      <c r="X33" s="658">
        <f>+VLOOKUP($L33,Data_Validation!$A:$F,6,0)</f>
        <v>0</v>
      </c>
    </row>
    <row r="34" spans="1:24" ht="15.75" customHeight="1">
      <c r="A34" s="1190" t="s">
        <v>762</v>
      </c>
      <c r="B34" s="1190" t="s">
        <v>1814</v>
      </c>
      <c r="C34" s="1191"/>
      <c r="D34" s="1191"/>
      <c r="E34" s="1191"/>
      <c r="F34" s="1190" t="s">
        <v>2</v>
      </c>
      <c r="G34" s="1190" t="s">
        <v>763</v>
      </c>
      <c r="H34" s="1191"/>
      <c r="I34" s="1192">
        <v>0.46</v>
      </c>
      <c r="J34" s="1192">
        <v>0</v>
      </c>
      <c r="K34" s="1192">
        <v>0.46</v>
      </c>
      <c r="L34" s="655" t="str">
        <f t="shared" si="2"/>
        <v>401</v>
      </c>
      <c r="M34" s="656" t="str">
        <f t="shared" si="0"/>
        <v>UNITES NEUVES VENDUES JANVIER</v>
      </c>
      <c r="N34" s="657">
        <f>+IF(OR($Q34=Parametres!$G$2,$Q34=Parametres!$G$3),I34,C34)</f>
        <v>0.46</v>
      </c>
      <c r="O34" s="657">
        <f>+IF(OR($Q34=Parametres!$G$2,$Q34=Parametres!$G$3),J34,D34)</f>
        <v>0</v>
      </c>
      <c r="P34" s="657">
        <f>+IF(OR($Q34=Parametres!$G$2,$Q34=Parametres!$G$3),K34,E34)</f>
        <v>0.46</v>
      </c>
      <c r="Q34" s="656" t="str">
        <f t="shared" ref="Q34:S34" si="34">+F34</f>
        <v>1-Mémo</v>
      </c>
      <c r="R34" s="655" t="str">
        <f t="shared" si="34"/>
        <v>40</v>
      </c>
      <c r="S34" s="656">
        <f t="shared" si="34"/>
        <v>0</v>
      </c>
      <c r="T34" s="658" t="str">
        <f>+VLOOKUP($L34,Data_Validation!$A:$D,1,0)</f>
        <v>401</v>
      </c>
      <c r="U34" s="658">
        <f>+VLOOKUP($L34,Data_Validation!$A:$D,3,0)</f>
        <v>0</v>
      </c>
      <c r="V34" s="658">
        <f>+VLOOKUP($L34,Data_Validation!$A:$D,4,0)</f>
        <v>0</v>
      </c>
      <c r="W34" s="658">
        <f>+VLOOKUP($L34,Data_Validation!$A:$E,5,0)</f>
        <v>0</v>
      </c>
      <c r="X34" s="658">
        <f>+VLOOKUP($L34,Data_Validation!$A:$F,6,0)</f>
        <v>0</v>
      </c>
    </row>
    <row r="35" spans="1:24" ht="15" customHeight="1">
      <c r="A35" s="1190" t="s">
        <v>764</v>
      </c>
      <c r="B35" s="1190" t="s">
        <v>1817</v>
      </c>
      <c r="C35" s="1191"/>
      <c r="D35" s="1191"/>
      <c r="E35" s="1191"/>
      <c r="F35" s="1190" t="s">
        <v>2</v>
      </c>
      <c r="G35" s="1190" t="s">
        <v>763</v>
      </c>
      <c r="H35" s="1191"/>
      <c r="I35" s="1192">
        <v>0.75</v>
      </c>
      <c r="J35" s="1192">
        <v>0</v>
      </c>
      <c r="K35" s="1192">
        <v>0.75</v>
      </c>
      <c r="L35" s="655" t="str">
        <f t="shared" si="2"/>
        <v>402</v>
      </c>
      <c r="M35" s="656" t="str">
        <f t="shared" si="0"/>
        <v>UNITES NEUVES VENDUES FEVRIER</v>
      </c>
      <c r="N35" s="657">
        <f>+IF(OR($Q35=Parametres!$G$2,$Q35=Parametres!$G$3),I35,C35)</f>
        <v>0.75</v>
      </c>
      <c r="O35" s="657">
        <f>+IF(OR($Q35=Parametres!$G$2,$Q35=Parametres!$G$3),J35,D35)</f>
        <v>0</v>
      </c>
      <c r="P35" s="657">
        <f>+IF(OR($Q35=Parametres!$G$2,$Q35=Parametres!$G$3),K35,E35)</f>
        <v>0.75</v>
      </c>
      <c r="Q35" s="656" t="str">
        <f t="shared" ref="Q35:S35" si="35">+F35</f>
        <v>1-Mémo</v>
      </c>
      <c r="R35" s="655" t="str">
        <f t="shared" si="35"/>
        <v>40</v>
      </c>
      <c r="S35" s="656">
        <f t="shared" si="35"/>
        <v>0</v>
      </c>
      <c r="T35" s="658" t="str">
        <f>+VLOOKUP($L35,Data_Validation!$A:$D,1,0)</f>
        <v>402</v>
      </c>
      <c r="U35" s="658">
        <f>+VLOOKUP($L35,Data_Validation!$A:$D,3,0)</f>
        <v>0</v>
      </c>
      <c r="V35" s="658">
        <f>+VLOOKUP($L35,Data_Validation!$A:$D,4,0)</f>
        <v>0</v>
      </c>
      <c r="W35" s="658">
        <f>+VLOOKUP($L35,Data_Validation!$A:$E,5,0)</f>
        <v>0</v>
      </c>
      <c r="X35" s="658">
        <f>+VLOOKUP($L35,Data_Validation!$A:$F,6,0)</f>
        <v>0</v>
      </c>
    </row>
    <row r="36" spans="1:24" ht="15" customHeight="1">
      <c r="A36" s="1190" t="s">
        <v>765</v>
      </c>
      <c r="B36" s="1190" t="s">
        <v>1820</v>
      </c>
      <c r="C36" s="1191"/>
      <c r="D36" s="1191"/>
      <c r="E36" s="1191"/>
      <c r="F36" s="1190" t="s">
        <v>2</v>
      </c>
      <c r="G36" s="1190" t="s">
        <v>763</v>
      </c>
      <c r="H36" s="1191"/>
      <c r="I36" s="1192">
        <v>0.7</v>
      </c>
      <c r="J36" s="1192">
        <v>0</v>
      </c>
      <c r="K36" s="1192">
        <v>0.7</v>
      </c>
      <c r="L36" s="655" t="str">
        <f t="shared" si="2"/>
        <v>403</v>
      </c>
      <c r="M36" s="656" t="str">
        <f t="shared" si="0"/>
        <v>UNITES NEUVES VENDUES MARS</v>
      </c>
      <c r="N36" s="657">
        <f>+IF(OR($Q36=Parametres!$G$2,$Q36=Parametres!$G$3),I36,C36)</f>
        <v>0.7</v>
      </c>
      <c r="O36" s="657">
        <f>+IF(OR($Q36=Parametres!$G$2,$Q36=Parametres!$G$3),J36,D36)</f>
        <v>0</v>
      </c>
      <c r="P36" s="657">
        <f>+IF(OR($Q36=Parametres!$G$2,$Q36=Parametres!$G$3),K36,E36)</f>
        <v>0.7</v>
      </c>
      <c r="Q36" s="656" t="str">
        <f t="shared" ref="Q36:S36" si="36">+F36</f>
        <v>1-Mémo</v>
      </c>
      <c r="R36" s="655" t="str">
        <f t="shared" si="36"/>
        <v>40</v>
      </c>
      <c r="S36" s="656">
        <f t="shared" si="36"/>
        <v>0</v>
      </c>
      <c r="T36" s="658" t="str">
        <f>+VLOOKUP($L36,Data_Validation!$A:$D,1,0)</f>
        <v>403</v>
      </c>
      <c r="U36" s="658">
        <f>+VLOOKUP($L36,Data_Validation!$A:$D,3,0)</f>
        <v>0</v>
      </c>
      <c r="V36" s="658">
        <f>+VLOOKUP($L36,Data_Validation!$A:$D,4,0)</f>
        <v>0</v>
      </c>
      <c r="W36" s="658">
        <f>+VLOOKUP($L36,Data_Validation!$A:$E,5,0)</f>
        <v>0</v>
      </c>
      <c r="X36" s="658">
        <f>+VLOOKUP($L36,Data_Validation!$A:$F,6,0)</f>
        <v>0</v>
      </c>
    </row>
    <row r="37" spans="1:24" ht="15" customHeight="1">
      <c r="A37" s="1190" t="s">
        <v>775</v>
      </c>
      <c r="B37" s="1190" t="s">
        <v>1907</v>
      </c>
      <c r="C37" s="1191"/>
      <c r="D37" s="1191"/>
      <c r="E37" s="1191"/>
      <c r="F37" s="1190" t="s">
        <v>2</v>
      </c>
      <c r="G37" s="1190" t="s">
        <v>3332</v>
      </c>
      <c r="H37" s="1191"/>
      <c r="I37" s="1192">
        <v>0.12</v>
      </c>
      <c r="J37" s="1192">
        <v>0</v>
      </c>
      <c r="K37" s="1192">
        <v>0.12</v>
      </c>
      <c r="L37" s="655" t="str">
        <f t="shared" si="2"/>
        <v>421</v>
      </c>
      <c r="M37" s="656" t="str">
        <f t="shared" si="0"/>
        <v>UNITES USAGES DET./ JANV.</v>
      </c>
      <c r="N37" s="657">
        <f>+IF(OR($Q37=Parametres!$G$2,$Q37=Parametres!$G$3),I37,C37)</f>
        <v>0.12</v>
      </c>
      <c r="O37" s="657">
        <f>+IF(OR($Q37=Parametres!$G$2,$Q37=Parametres!$G$3),J37,D37)</f>
        <v>0</v>
      </c>
      <c r="P37" s="657">
        <f>+IF(OR($Q37=Parametres!$G$2,$Q37=Parametres!$G$3),K37,E37)</f>
        <v>0.12</v>
      </c>
      <c r="Q37" s="656" t="str">
        <f t="shared" ref="Q37:S37" si="37">+F37</f>
        <v>1-Mémo</v>
      </c>
      <c r="R37" s="655" t="str">
        <f t="shared" si="37"/>
        <v>42</v>
      </c>
      <c r="S37" s="656">
        <f t="shared" si="37"/>
        <v>0</v>
      </c>
      <c r="T37" s="658" t="str">
        <f>+VLOOKUP($L37,Data_Validation!$A:$D,1,0)</f>
        <v>421</v>
      </c>
      <c r="U37" s="658">
        <f>+VLOOKUP($L37,Data_Validation!$A:$D,3,0)</f>
        <v>0</v>
      </c>
      <c r="V37" s="658">
        <f>+VLOOKUP($L37,Data_Validation!$A:$D,4,0)</f>
        <v>0</v>
      </c>
      <c r="W37" s="658">
        <f>+VLOOKUP($L37,Data_Validation!$A:$E,5,0)</f>
        <v>0</v>
      </c>
      <c r="X37" s="658">
        <f>+VLOOKUP($L37,Data_Validation!$A:$F,6,0)</f>
        <v>0</v>
      </c>
    </row>
    <row r="38" spans="1:24" ht="15" customHeight="1">
      <c r="A38" s="1190" t="s">
        <v>776</v>
      </c>
      <c r="B38" s="1190" t="s">
        <v>1914</v>
      </c>
      <c r="C38" s="1191"/>
      <c r="D38" s="1191"/>
      <c r="E38" s="1191"/>
      <c r="F38" s="1190" t="s">
        <v>2</v>
      </c>
      <c r="G38" s="1190" t="s">
        <v>3332</v>
      </c>
      <c r="H38" s="1191"/>
      <c r="I38" s="1192">
        <v>0.27</v>
      </c>
      <c r="J38" s="1192">
        <v>0</v>
      </c>
      <c r="K38" s="1192">
        <v>0.27</v>
      </c>
      <c r="L38" s="655" t="str">
        <f t="shared" si="2"/>
        <v>422</v>
      </c>
      <c r="M38" s="656" t="str">
        <f t="shared" si="0"/>
        <v>UNITES USAGES DET./ FEVR.</v>
      </c>
      <c r="N38" s="657">
        <f>+IF(OR($Q38=Parametres!$G$2,$Q38=Parametres!$G$3),I38,C38)</f>
        <v>0.27</v>
      </c>
      <c r="O38" s="657">
        <f>+IF(OR($Q38=Parametres!$G$2,$Q38=Parametres!$G$3),J38,D38)</f>
        <v>0</v>
      </c>
      <c r="P38" s="657">
        <f>+IF(OR($Q38=Parametres!$G$2,$Q38=Parametres!$G$3),K38,E38)</f>
        <v>0.27</v>
      </c>
      <c r="Q38" s="656" t="str">
        <f t="shared" ref="Q38:S38" si="38">+F38</f>
        <v>1-Mémo</v>
      </c>
      <c r="R38" s="655" t="str">
        <f t="shared" si="38"/>
        <v>42</v>
      </c>
      <c r="S38" s="656">
        <f t="shared" si="38"/>
        <v>0</v>
      </c>
      <c r="T38" s="658" t="str">
        <f>+VLOOKUP($L38,Data_Validation!$A:$D,1,0)</f>
        <v>422</v>
      </c>
      <c r="U38" s="658">
        <f>+VLOOKUP($L38,Data_Validation!$A:$D,3,0)</f>
        <v>0</v>
      </c>
      <c r="V38" s="658">
        <f>+VLOOKUP($L38,Data_Validation!$A:$D,4,0)</f>
        <v>0</v>
      </c>
      <c r="W38" s="658">
        <f>+VLOOKUP($L38,Data_Validation!$A:$E,5,0)</f>
        <v>0</v>
      </c>
      <c r="X38" s="658">
        <f>+VLOOKUP($L38,Data_Validation!$A:$F,6,0)</f>
        <v>0</v>
      </c>
    </row>
    <row r="39" spans="1:24" ht="15" customHeight="1">
      <c r="A39" s="1190" t="s">
        <v>777</v>
      </c>
      <c r="B39" s="1190" t="s">
        <v>1917</v>
      </c>
      <c r="C39" s="1191"/>
      <c r="D39" s="1191"/>
      <c r="E39" s="1191"/>
      <c r="F39" s="1190" t="s">
        <v>2</v>
      </c>
      <c r="G39" s="1190" t="s">
        <v>3332</v>
      </c>
      <c r="H39" s="1191"/>
      <c r="I39" s="1192">
        <v>0.22</v>
      </c>
      <c r="J39" s="1192">
        <v>0</v>
      </c>
      <c r="K39" s="1192">
        <v>0.22</v>
      </c>
      <c r="L39" s="655" t="str">
        <f t="shared" si="2"/>
        <v>423</v>
      </c>
      <c r="M39" s="656" t="str">
        <f t="shared" si="0"/>
        <v>UNITES USAGES DET./ MARS</v>
      </c>
      <c r="N39" s="657">
        <f>+IF(OR($Q39=Parametres!$G$2,$Q39=Parametres!$G$3),I39,C39)</f>
        <v>0.22</v>
      </c>
      <c r="O39" s="661">
        <f>+IF(OR($Q39=Parametres!$G$2,$Q39=Parametres!$G$3),J39,D39)</f>
        <v>0</v>
      </c>
      <c r="P39" s="657">
        <f>+IF(OR($Q39=Parametres!$G$2,$Q39=Parametres!$G$3),K39,E39)</f>
        <v>0.22</v>
      </c>
      <c r="Q39" s="656" t="str">
        <f t="shared" ref="Q39:S39" si="39">+F39</f>
        <v>1-Mémo</v>
      </c>
      <c r="R39" s="655" t="str">
        <f t="shared" si="39"/>
        <v>42</v>
      </c>
      <c r="S39" s="656">
        <f t="shared" si="39"/>
        <v>0</v>
      </c>
      <c r="T39" s="658" t="str">
        <f>+VLOOKUP($L39,Data_Validation!$A:$D,1,0)</f>
        <v>423</v>
      </c>
      <c r="U39" s="658">
        <f>+VLOOKUP($L39,Data_Validation!$A:$D,3,0)</f>
        <v>0</v>
      </c>
      <c r="V39" s="658">
        <f>+VLOOKUP($L39,Data_Validation!$A:$D,4,0)</f>
        <v>0</v>
      </c>
      <c r="W39" s="658">
        <f>+VLOOKUP($L39,Data_Validation!$A:$E,5,0)</f>
        <v>0</v>
      </c>
      <c r="X39" s="658">
        <f>+VLOOKUP($L39,Data_Validation!$A:$F,6,0)</f>
        <v>0</v>
      </c>
    </row>
    <row r="40" spans="1:24" ht="15.75" customHeight="1">
      <c r="A40" s="1190" t="s">
        <v>786</v>
      </c>
      <c r="B40" s="1190" t="s">
        <v>2057</v>
      </c>
      <c r="C40" s="1191"/>
      <c r="D40" s="1191"/>
      <c r="E40" s="1191"/>
      <c r="F40" s="1190" t="s">
        <v>2</v>
      </c>
      <c r="G40" s="1190" t="s">
        <v>787</v>
      </c>
      <c r="H40" s="1191"/>
      <c r="I40" s="1192">
        <v>1</v>
      </c>
      <c r="J40" s="1192">
        <v>0</v>
      </c>
      <c r="K40" s="1192">
        <v>1</v>
      </c>
      <c r="L40" s="655" t="str">
        <f t="shared" si="2"/>
        <v>500</v>
      </c>
      <c r="M40" s="656" t="str">
        <f t="shared" si="0"/>
        <v>PROPRIETAIRES</v>
      </c>
      <c r="N40" s="657">
        <f>+IF(OR($Q40=Parametres!$G$2,$Q40=Parametres!$G$3),I40,C40)</f>
        <v>1</v>
      </c>
      <c r="O40" s="657">
        <f>+IF(OR($Q40=Parametres!$G$2,$Q40=Parametres!$G$3),J40,D40)</f>
        <v>0</v>
      </c>
      <c r="P40" s="657">
        <f>+IF(OR($Q40=Parametres!$G$2,$Q40=Parametres!$G$3),K40,E40)</f>
        <v>1</v>
      </c>
      <c r="Q40" s="656" t="str">
        <f t="shared" ref="Q40:S40" si="40">+F40</f>
        <v>1-Mémo</v>
      </c>
      <c r="R40" s="655" t="str">
        <f t="shared" si="40"/>
        <v>50</v>
      </c>
      <c r="S40" s="656">
        <f t="shared" si="40"/>
        <v>0</v>
      </c>
      <c r="T40" s="658" t="str">
        <f>+VLOOKUP($L40,Data_Validation!$A:$D,1,0)</f>
        <v>500</v>
      </c>
      <c r="U40" s="658">
        <f>+VLOOKUP($L40,Data_Validation!$A:$D,3,0)</f>
        <v>0</v>
      </c>
      <c r="V40" s="658">
        <f>+VLOOKUP($L40,Data_Validation!$A:$D,4,0)</f>
        <v>0</v>
      </c>
      <c r="W40" s="658" t="str">
        <f>+VLOOKUP($L40,Data_Validation!$A:$E,5,0)</f>
        <v>$</v>
      </c>
      <c r="X40" s="658">
        <f>+VLOOKUP($L40,Data_Validation!$A:$F,6,0)</f>
        <v>0</v>
      </c>
    </row>
    <row r="41" spans="1:24" ht="15" customHeight="1">
      <c r="A41" s="1190" t="s">
        <v>788</v>
      </c>
      <c r="B41" s="1190" t="s">
        <v>1115</v>
      </c>
      <c r="C41" s="1191"/>
      <c r="D41" s="1191"/>
      <c r="E41" s="1191"/>
      <c r="F41" s="1190" t="s">
        <v>2</v>
      </c>
      <c r="G41" s="1190" t="s">
        <v>787</v>
      </c>
      <c r="H41" s="1191"/>
      <c r="I41" s="1192">
        <v>0.5</v>
      </c>
      <c r="J41" s="1192">
        <v>0</v>
      </c>
      <c r="K41" s="1192">
        <v>0.5</v>
      </c>
      <c r="L41" s="655" t="str">
        <f t="shared" si="2"/>
        <v>511</v>
      </c>
      <c r="M41" s="656" t="str">
        <f t="shared" si="0"/>
        <v>DIR. GENERAL NEUFS</v>
      </c>
      <c r="N41" s="657">
        <f>+IF(OR($Q41=Parametres!$G$2,$Q41=Parametres!$G$3),I41,C41)</f>
        <v>0.5</v>
      </c>
      <c r="O41" s="661">
        <f>+IF(OR($Q41=Parametres!$G$2,$Q41=Parametres!$G$3),J41,D41)</f>
        <v>0</v>
      </c>
      <c r="P41" s="657">
        <f>+IF(OR($Q41=Parametres!$G$2,$Q41=Parametres!$G$3),K41,E41)</f>
        <v>0.5</v>
      </c>
      <c r="Q41" s="656" t="str">
        <f t="shared" ref="Q41:S41" si="41">+F41</f>
        <v>1-Mémo</v>
      </c>
      <c r="R41" s="655" t="str">
        <f t="shared" si="41"/>
        <v>50</v>
      </c>
      <c r="S41" s="656">
        <f t="shared" si="41"/>
        <v>0</v>
      </c>
      <c r="T41" s="658" t="str">
        <f>+VLOOKUP($L41,Data_Validation!$A:$D,1,0)</f>
        <v>511</v>
      </c>
      <c r="U41" s="658">
        <f>+VLOOKUP($L41,Data_Validation!$A:$D,3,0)</f>
        <v>0</v>
      </c>
      <c r="V41" s="658">
        <f>+VLOOKUP($L41,Data_Validation!$A:$D,4,0)</f>
        <v>0</v>
      </c>
      <c r="W41" s="658" t="str">
        <f>+VLOOKUP($L41,Data_Validation!$A:$E,5,0)</f>
        <v>$</v>
      </c>
      <c r="X41" s="658">
        <f>+VLOOKUP($L41,Data_Validation!$A:$F,6,0)</f>
        <v>0</v>
      </c>
    </row>
    <row r="42" spans="1:24" ht="15" customHeight="1">
      <c r="A42" s="1190" t="s">
        <v>789</v>
      </c>
      <c r="B42" s="1190" t="s">
        <v>2089</v>
      </c>
      <c r="C42" s="1191"/>
      <c r="D42" s="1191"/>
      <c r="E42" s="1191"/>
      <c r="F42" s="1190" t="s">
        <v>2</v>
      </c>
      <c r="G42" s="1190" t="s">
        <v>787</v>
      </c>
      <c r="H42" s="1191"/>
      <c r="I42" s="1192">
        <v>0.5</v>
      </c>
      <c r="J42" s="1192">
        <v>0</v>
      </c>
      <c r="K42" s="1192">
        <v>0.5</v>
      </c>
      <c r="L42" s="655" t="str">
        <f t="shared" si="2"/>
        <v>512</v>
      </c>
      <c r="M42" s="656" t="str">
        <f t="shared" si="0"/>
        <v>DIR. GENERAL USAGES</v>
      </c>
      <c r="N42" s="657">
        <f>+IF(OR($Q42=Parametres!$G$2,$Q42=Parametres!$G$3),I42,C42)</f>
        <v>0.5</v>
      </c>
      <c r="O42" s="657">
        <f>+IF(OR($Q42=Parametres!$G$2,$Q42=Parametres!$G$3),J42,D42)</f>
        <v>0</v>
      </c>
      <c r="P42" s="657">
        <f>+IF(OR($Q42=Parametres!$G$2,$Q42=Parametres!$G$3),K42,E42)</f>
        <v>0.5</v>
      </c>
      <c r="Q42" s="656" t="str">
        <f t="shared" ref="Q42:S42" si="42">+F42</f>
        <v>1-Mémo</v>
      </c>
      <c r="R42" s="655" t="str">
        <f t="shared" si="42"/>
        <v>50</v>
      </c>
      <c r="S42" s="656">
        <f t="shared" si="42"/>
        <v>0</v>
      </c>
      <c r="T42" s="658" t="str">
        <f>+VLOOKUP($L42,Data_Validation!$A:$D,1,0)</f>
        <v>512</v>
      </c>
      <c r="U42" s="658">
        <f>+VLOOKUP($L42,Data_Validation!$A:$D,3,0)</f>
        <v>0</v>
      </c>
      <c r="V42" s="658">
        <f>+VLOOKUP($L42,Data_Validation!$A:$D,4,0)</f>
        <v>0</v>
      </c>
      <c r="W42" s="658" t="str">
        <f>+VLOOKUP($L42,Data_Validation!$A:$E,5,0)</f>
        <v>$</v>
      </c>
      <c r="X42" s="658">
        <f>+VLOOKUP($L42,Data_Validation!$A:$F,6,0)</f>
        <v>0</v>
      </c>
    </row>
    <row r="43" spans="1:24" ht="15" customHeight="1">
      <c r="A43" s="1190" t="s">
        <v>790</v>
      </c>
      <c r="B43" s="1190" t="s">
        <v>1122</v>
      </c>
      <c r="C43" s="1191"/>
      <c r="D43" s="1191"/>
      <c r="E43" s="1191"/>
      <c r="F43" s="1190" t="s">
        <v>2</v>
      </c>
      <c r="G43" s="1190" t="s">
        <v>787</v>
      </c>
      <c r="H43" s="1191"/>
      <c r="I43" s="1192">
        <v>0.5</v>
      </c>
      <c r="J43" s="1192">
        <v>0</v>
      </c>
      <c r="K43" s="1192">
        <v>0.5</v>
      </c>
      <c r="L43" s="655" t="str">
        <f t="shared" si="2"/>
        <v>514</v>
      </c>
      <c r="M43" s="656" t="str">
        <f t="shared" si="0"/>
        <v>DIR. GENERAL SERVICE</v>
      </c>
      <c r="N43" s="657">
        <f>+IF(OR($Q43=Parametres!$G$2,$Q43=Parametres!$G$3),I43,C43)</f>
        <v>0.5</v>
      </c>
      <c r="O43" s="657">
        <f>+IF(OR($Q43=Parametres!$G$2,$Q43=Parametres!$G$3),J43,D43)</f>
        <v>0</v>
      </c>
      <c r="P43" s="657">
        <f>+IF(OR($Q43=Parametres!$G$2,$Q43=Parametres!$G$3),K43,E43)</f>
        <v>0.5</v>
      </c>
      <c r="Q43" s="656" t="str">
        <f t="shared" ref="Q43:S43" si="43">+F43</f>
        <v>1-Mémo</v>
      </c>
      <c r="R43" s="655" t="str">
        <f t="shared" si="43"/>
        <v>50</v>
      </c>
      <c r="S43" s="656">
        <f t="shared" si="43"/>
        <v>0</v>
      </c>
      <c r="T43" s="658" t="str">
        <f>+VLOOKUP($L43,Data_Validation!$A:$D,1,0)</f>
        <v>514</v>
      </c>
      <c r="U43" s="658">
        <f>+VLOOKUP($L43,Data_Validation!$A:$D,3,0)</f>
        <v>0</v>
      </c>
      <c r="V43" s="658">
        <f>+VLOOKUP($L43,Data_Validation!$A:$D,4,0)</f>
        <v>0</v>
      </c>
      <c r="W43" s="658" t="str">
        <f>+VLOOKUP($L43,Data_Validation!$A:$E,5,0)</f>
        <v>$</v>
      </c>
      <c r="X43" s="658">
        <f>+VLOOKUP($L43,Data_Validation!$A:$F,6,0)</f>
        <v>0</v>
      </c>
    </row>
    <row r="44" spans="1:24" ht="15.75" customHeight="1">
      <c r="A44" s="1190" t="s">
        <v>791</v>
      </c>
      <c r="B44" s="1190" t="s">
        <v>2112</v>
      </c>
      <c r="C44" s="1191"/>
      <c r="D44" s="1191"/>
      <c r="E44" s="1191"/>
      <c r="F44" s="1190" t="s">
        <v>2</v>
      </c>
      <c r="G44" s="1190" t="s">
        <v>787</v>
      </c>
      <c r="H44" s="1191"/>
      <c r="I44" s="1192">
        <v>0.5</v>
      </c>
      <c r="J44" s="1192">
        <v>0</v>
      </c>
      <c r="K44" s="1192">
        <v>0.5</v>
      </c>
      <c r="L44" s="655" t="str">
        <f t="shared" si="2"/>
        <v>517</v>
      </c>
      <c r="M44" s="656" t="str">
        <f t="shared" si="0"/>
        <v>DIR. GENERAL PIECES</v>
      </c>
      <c r="N44" s="657">
        <f>+IF(OR($Q44=Parametres!$G$2,$Q44=Parametres!$G$3),I44,C44)</f>
        <v>0.5</v>
      </c>
      <c r="O44" s="657">
        <f>+IF(OR($Q44=Parametres!$G$2,$Q44=Parametres!$G$3),J44,D44)</f>
        <v>0</v>
      </c>
      <c r="P44" s="657">
        <f>+IF(OR($Q44=Parametres!$G$2,$Q44=Parametres!$G$3),K44,E44)</f>
        <v>0.5</v>
      </c>
      <c r="Q44" s="656" t="str">
        <f t="shared" ref="Q44:S44" si="44">+F44</f>
        <v>1-Mémo</v>
      </c>
      <c r="R44" s="655" t="str">
        <f t="shared" si="44"/>
        <v>50</v>
      </c>
      <c r="S44" s="656">
        <f t="shared" si="44"/>
        <v>0</v>
      </c>
      <c r="T44" s="658" t="str">
        <f>+VLOOKUP($L44,Data_Validation!$A:$D,1,0)</f>
        <v>517</v>
      </c>
      <c r="U44" s="658">
        <f>+VLOOKUP($L44,Data_Validation!$A:$D,3,0)</f>
        <v>0</v>
      </c>
      <c r="V44" s="658">
        <f>+VLOOKUP($L44,Data_Validation!$A:$D,4,0)</f>
        <v>0</v>
      </c>
      <c r="W44" s="658" t="str">
        <f>+VLOOKUP($L44,Data_Validation!$A:$E,5,0)</f>
        <v>$</v>
      </c>
      <c r="X44" s="658">
        <f>+VLOOKUP($L44,Data_Validation!$A:$F,6,0)</f>
        <v>0</v>
      </c>
    </row>
    <row r="45" spans="1:24" ht="15" customHeight="1">
      <c r="A45" s="1190" t="s">
        <v>792</v>
      </c>
      <c r="B45" s="1190" t="s">
        <v>2121</v>
      </c>
      <c r="C45" s="1191"/>
      <c r="D45" s="1191"/>
      <c r="E45" s="1191"/>
      <c r="F45" s="1190" t="s">
        <v>2</v>
      </c>
      <c r="G45" s="1190" t="s">
        <v>787</v>
      </c>
      <c r="H45" s="1191"/>
      <c r="I45" s="1192">
        <v>0.5</v>
      </c>
      <c r="J45" s="1192">
        <v>0</v>
      </c>
      <c r="K45" s="1192">
        <v>0.5</v>
      </c>
      <c r="L45" s="655" t="str">
        <f t="shared" si="2"/>
        <v>521</v>
      </c>
      <c r="M45" s="656" t="str">
        <f t="shared" si="0"/>
        <v>DIR. SERVICE NEUFS</v>
      </c>
      <c r="N45" s="657">
        <f>+IF(OR($Q45=Parametres!$G$2,$Q45=Parametres!$G$3),I45,C45)</f>
        <v>0.5</v>
      </c>
      <c r="O45" s="1161">
        <f>+IF(OR($Q45=Parametres!$G$2,$Q45=Parametres!$G$3),J45,D45)</f>
        <v>0</v>
      </c>
      <c r="P45" s="657">
        <f>+IF(OR($Q45=Parametres!$G$2,$Q45=Parametres!$G$3),K45,E45)</f>
        <v>0.5</v>
      </c>
      <c r="Q45" s="656" t="str">
        <f t="shared" ref="Q45:S45" si="45">+F45</f>
        <v>1-Mémo</v>
      </c>
      <c r="R45" s="655" t="str">
        <f t="shared" si="45"/>
        <v>50</v>
      </c>
      <c r="S45" s="656">
        <f t="shared" si="45"/>
        <v>0</v>
      </c>
      <c r="T45" s="658" t="str">
        <f>+VLOOKUP($L45,Data_Validation!$A:$D,1,0)</f>
        <v>521</v>
      </c>
      <c r="U45" s="658">
        <f>+VLOOKUP($L45,Data_Validation!$A:$D,3,0)</f>
        <v>0</v>
      </c>
      <c r="V45" s="658">
        <f>+VLOOKUP($L45,Data_Validation!$A:$D,4,0)</f>
        <v>0</v>
      </c>
      <c r="W45" s="658" t="str">
        <f>+VLOOKUP($L45,Data_Validation!$A:$E,5,0)</f>
        <v>$</v>
      </c>
      <c r="X45" s="658">
        <f>+VLOOKUP($L45,Data_Validation!$A:$F,6,0)</f>
        <v>0</v>
      </c>
    </row>
    <row r="46" spans="1:24" ht="15" customHeight="1">
      <c r="A46" s="1190" t="s">
        <v>793</v>
      </c>
      <c r="B46" s="1190" t="s">
        <v>2130</v>
      </c>
      <c r="C46" s="1191"/>
      <c r="D46" s="1191"/>
      <c r="E46" s="1191"/>
      <c r="F46" s="1190" t="s">
        <v>2</v>
      </c>
      <c r="G46" s="1190" t="s">
        <v>787</v>
      </c>
      <c r="H46" s="1191"/>
      <c r="I46" s="1192">
        <v>0.5</v>
      </c>
      <c r="J46" s="1192">
        <v>0</v>
      </c>
      <c r="K46" s="1192">
        <v>0.5</v>
      </c>
      <c r="L46" s="655" t="str">
        <f t="shared" si="2"/>
        <v>522</v>
      </c>
      <c r="M46" s="656" t="str">
        <f t="shared" si="0"/>
        <v>DIR. SERVICE USAGES</v>
      </c>
      <c r="N46" s="657">
        <f>+IF(OR($Q46=Parametres!$G$2,$Q46=Parametres!$G$3),I46,C46)</f>
        <v>0.5</v>
      </c>
      <c r="O46" s="1161">
        <f>+IF(OR($Q46=Parametres!$G$2,$Q46=Parametres!$G$3),J46,D46)</f>
        <v>0</v>
      </c>
      <c r="P46" s="657">
        <f>+IF(OR($Q46=Parametres!$G$2,$Q46=Parametres!$G$3),K46,E46)</f>
        <v>0.5</v>
      </c>
      <c r="Q46" s="656" t="str">
        <f t="shared" ref="Q46:S46" si="46">+F46</f>
        <v>1-Mémo</v>
      </c>
      <c r="R46" s="655" t="str">
        <f t="shared" si="46"/>
        <v>50</v>
      </c>
      <c r="S46" s="656">
        <f t="shared" si="46"/>
        <v>0</v>
      </c>
      <c r="T46" s="658" t="str">
        <f>+VLOOKUP($L46,Data_Validation!$A:$D,1,0)</f>
        <v>522</v>
      </c>
      <c r="U46" s="658">
        <f>+VLOOKUP($L46,Data_Validation!$A:$D,3,0)</f>
        <v>0</v>
      </c>
      <c r="V46" s="658">
        <f>+VLOOKUP($L46,Data_Validation!$A:$D,4,0)</f>
        <v>0</v>
      </c>
      <c r="W46" s="658" t="str">
        <f>+VLOOKUP($L46,Data_Validation!$A:$E,5,0)</f>
        <v>$</v>
      </c>
      <c r="X46" s="658">
        <f>+VLOOKUP($L46,Data_Validation!$A:$F,6,0)</f>
        <v>0</v>
      </c>
    </row>
    <row r="47" spans="1:24" ht="15" customHeight="1">
      <c r="A47" s="1190" t="s">
        <v>794</v>
      </c>
      <c r="B47" s="1190" t="s">
        <v>2133</v>
      </c>
      <c r="C47" s="1191"/>
      <c r="D47" s="1191"/>
      <c r="E47" s="1191"/>
      <c r="F47" s="1190" t="s">
        <v>2</v>
      </c>
      <c r="G47" s="1190" t="s">
        <v>787</v>
      </c>
      <c r="H47" s="1191"/>
      <c r="I47" s="1192">
        <v>1</v>
      </c>
      <c r="J47" s="1192">
        <v>0</v>
      </c>
      <c r="K47" s="1192">
        <v>1</v>
      </c>
      <c r="L47" s="655" t="str">
        <f t="shared" si="2"/>
        <v>524</v>
      </c>
      <c r="M47" s="656" t="str">
        <f t="shared" si="0"/>
        <v>DIR. SERVICE SERVICE</v>
      </c>
      <c r="N47" s="657">
        <f>+IF(OR($Q47=Parametres!$G$2,$Q47=Parametres!$G$3),I47,C47)</f>
        <v>1</v>
      </c>
      <c r="O47" s="657">
        <f>+IF(OR($Q47=Parametres!$G$2,$Q47=Parametres!$G$3),J47,D47)</f>
        <v>0</v>
      </c>
      <c r="P47" s="657">
        <f>+IF(OR($Q47=Parametres!$G$2,$Q47=Parametres!$G$3),K47,E47)</f>
        <v>1</v>
      </c>
      <c r="Q47" s="656" t="str">
        <f t="shared" ref="Q47:S47" si="47">+F47</f>
        <v>1-Mémo</v>
      </c>
      <c r="R47" s="655" t="str">
        <f t="shared" si="47"/>
        <v>50</v>
      </c>
      <c r="S47" s="656">
        <f t="shared" si="47"/>
        <v>0</v>
      </c>
      <c r="T47" s="658" t="str">
        <f>+VLOOKUP($L47,Data_Validation!$A:$D,1,0)</f>
        <v>524</v>
      </c>
      <c r="U47" s="658">
        <f>+VLOOKUP($L47,Data_Validation!$A:$D,3,0)</f>
        <v>0</v>
      </c>
      <c r="V47" s="658">
        <f>+VLOOKUP($L47,Data_Validation!$A:$D,4,0)</f>
        <v>0</v>
      </c>
      <c r="W47" s="658" t="str">
        <f>+VLOOKUP($L47,Data_Validation!$A:$E,5,0)</f>
        <v>$</v>
      </c>
      <c r="X47" s="658">
        <f>+VLOOKUP($L47,Data_Validation!$A:$F,6,0)</f>
        <v>0</v>
      </c>
    </row>
    <row r="48" spans="1:24" ht="15.75" customHeight="1">
      <c r="A48" s="1190" t="s">
        <v>795</v>
      </c>
      <c r="B48" s="1190" t="s">
        <v>2135</v>
      </c>
      <c r="C48" s="1191"/>
      <c r="D48" s="1191"/>
      <c r="E48" s="1191"/>
      <c r="F48" s="1190" t="s">
        <v>2</v>
      </c>
      <c r="G48" s="1190" t="s">
        <v>787</v>
      </c>
      <c r="H48" s="1191"/>
      <c r="I48" s="1192">
        <v>1</v>
      </c>
      <c r="J48" s="1192">
        <v>0</v>
      </c>
      <c r="K48" s="1192">
        <v>1</v>
      </c>
      <c r="L48" s="655" t="str">
        <f t="shared" si="2"/>
        <v>527</v>
      </c>
      <c r="M48" s="656" t="str">
        <f t="shared" si="0"/>
        <v>DIR. SERVICE PIECES</v>
      </c>
      <c r="N48" s="657">
        <f>+IF(OR($Q48=Parametres!$G$2,$Q48=Parametres!$G$3),I48,C48)</f>
        <v>1</v>
      </c>
      <c r="O48" s="657">
        <f>+IF(OR($Q48=Parametres!$G$2,$Q48=Parametres!$G$3),J48,D48)</f>
        <v>0</v>
      </c>
      <c r="P48" s="657">
        <f>+IF(OR($Q48=Parametres!$G$2,$Q48=Parametres!$G$3),K48,E48)</f>
        <v>1</v>
      </c>
      <c r="Q48" s="656" t="str">
        <f t="shared" ref="Q48:S48" si="48">+F48</f>
        <v>1-Mémo</v>
      </c>
      <c r="R48" s="655" t="str">
        <f t="shared" si="48"/>
        <v>50</v>
      </c>
      <c r="S48" s="656">
        <f t="shared" si="48"/>
        <v>0</v>
      </c>
      <c r="T48" s="658" t="str">
        <f>+VLOOKUP($L48,Data_Validation!$A:$D,1,0)</f>
        <v>527</v>
      </c>
      <c r="U48" s="658">
        <f>+VLOOKUP($L48,Data_Validation!$A:$D,3,0)</f>
        <v>0</v>
      </c>
      <c r="V48" s="658">
        <f>+VLOOKUP($L48,Data_Validation!$A:$D,4,0)</f>
        <v>0</v>
      </c>
      <c r="W48" s="658" t="str">
        <f>+VLOOKUP($L48,Data_Validation!$A:$E,5,0)</f>
        <v>$</v>
      </c>
      <c r="X48" s="658">
        <f>+VLOOKUP($L48,Data_Validation!$A:$F,6,0)</f>
        <v>0</v>
      </c>
    </row>
    <row r="49" spans="1:24" ht="15" customHeight="1">
      <c r="A49" s="1190" t="s">
        <v>796</v>
      </c>
      <c r="B49" s="1190" t="s">
        <v>2159</v>
      </c>
      <c r="C49" s="1191"/>
      <c r="D49" s="1191"/>
      <c r="E49" s="1191"/>
      <c r="F49" s="1190" t="s">
        <v>2</v>
      </c>
      <c r="G49" s="1190" t="s">
        <v>3333</v>
      </c>
      <c r="H49" s="1191"/>
      <c r="I49" s="1192">
        <v>6</v>
      </c>
      <c r="J49" s="1192">
        <v>0</v>
      </c>
      <c r="K49" s="1192">
        <v>6</v>
      </c>
      <c r="L49" s="655" t="str">
        <f t="shared" si="2"/>
        <v>541</v>
      </c>
      <c r="M49" s="656" t="str">
        <f t="shared" si="0"/>
        <v>VW REP. DES VENTES - NEUF</v>
      </c>
      <c r="N49" s="657">
        <f>+IF(OR($Q49=Parametres!$G$2,$Q49=Parametres!$G$3),I49,C49)</f>
        <v>6</v>
      </c>
      <c r="O49" s="661">
        <f>+IF(OR($Q49=Parametres!$G$2,$Q49=Parametres!$G$3),J49,D49)</f>
        <v>0</v>
      </c>
      <c r="P49" s="657">
        <f>+IF(OR($Q49=Parametres!$G$2,$Q49=Parametres!$G$3),K49,E49)</f>
        <v>6</v>
      </c>
      <c r="Q49" s="656" t="str">
        <f t="shared" ref="Q49:S49" si="49">+F49</f>
        <v>1-Mémo</v>
      </c>
      <c r="R49" s="655" t="str">
        <f t="shared" si="49"/>
        <v>54</v>
      </c>
      <c r="S49" s="656">
        <f t="shared" si="49"/>
        <v>0</v>
      </c>
      <c r="T49" s="658" t="str">
        <f>+VLOOKUP($L49,Data_Validation!$A:$D,1,0)</f>
        <v>541</v>
      </c>
      <c r="U49" s="658">
        <f>+VLOOKUP($L49,Data_Validation!$A:$D,3,0)</f>
        <v>0</v>
      </c>
      <c r="V49" s="658">
        <f>+VLOOKUP($L49,Data_Validation!$A:$D,4,0)</f>
        <v>0</v>
      </c>
      <c r="W49" s="658" t="str">
        <f>+VLOOKUP($L49,Data_Validation!$A:$E,5,0)</f>
        <v>$</v>
      </c>
      <c r="X49" s="658">
        <f>+VLOOKUP($L49,Data_Validation!$A:$F,6,0)</f>
        <v>0</v>
      </c>
    </row>
    <row r="50" spans="1:24" ht="15" customHeight="1">
      <c r="A50" s="1190" t="s">
        <v>797</v>
      </c>
      <c r="B50" s="1190" t="s">
        <v>2165</v>
      </c>
      <c r="C50" s="1191"/>
      <c r="D50" s="1191"/>
      <c r="E50" s="1191"/>
      <c r="F50" s="1190" t="s">
        <v>2</v>
      </c>
      <c r="G50" s="1190" t="s">
        <v>787</v>
      </c>
      <c r="H50" s="1191"/>
      <c r="I50" s="1192">
        <v>3</v>
      </c>
      <c r="J50" s="1192">
        <v>0</v>
      </c>
      <c r="K50" s="1192">
        <v>3</v>
      </c>
      <c r="L50" s="655" t="str">
        <f t="shared" si="2"/>
        <v>542</v>
      </c>
      <c r="M50" s="656" t="str">
        <f t="shared" si="0"/>
        <v>VW REP. DES VENTES - OCC.</v>
      </c>
      <c r="N50" s="657">
        <f>+IF(OR($Q50=Parametres!$G$2,$Q50=Parametres!$G$3),I50,C50)</f>
        <v>3</v>
      </c>
      <c r="O50" s="657">
        <f>+IF(OR($Q50=Parametres!$G$2,$Q50=Parametres!$G$3),J50,D50)</f>
        <v>0</v>
      </c>
      <c r="P50" s="657">
        <f>+IF(OR($Q50=Parametres!$G$2,$Q50=Parametres!$G$3),K50,E50)</f>
        <v>3</v>
      </c>
      <c r="Q50" s="656" t="str">
        <f t="shared" ref="Q50:S50" si="50">+F50</f>
        <v>1-Mémo</v>
      </c>
      <c r="R50" s="655" t="str">
        <f t="shared" si="50"/>
        <v>50</v>
      </c>
      <c r="S50" s="656">
        <f t="shared" si="50"/>
        <v>0</v>
      </c>
      <c r="T50" s="658" t="str">
        <f>+VLOOKUP($L50,Data_Validation!$A:$D,1,0)</f>
        <v>542</v>
      </c>
      <c r="U50" s="658">
        <f>+VLOOKUP($L50,Data_Validation!$A:$D,3,0)</f>
        <v>0</v>
      </c>
      <c r="V50" s="658">
        <f>+VLOOKUP($L50,Data_Validation!$A:$D,4,0)</f>
        <v>0</v>
      </c>
      <c r="W50" s="658" t="str">
        <f>+VLOOKUP($L50,Data_Validation!$A:$E,5,0)</f>
        <v>$</v>
      </c>
      <c r="X50" s="658">
        <f>+VLOOKUP($L50,Data_Validation!$A:$F,6,0)</f>
        <v>0</v>
      </c>
    </row>
    <row r="51" spans="1:24" ht="15" customHeight="1">
      <c r="A51" s="1190" t="s">
        <v>798</v>
      </c>
      <c r="B51" s="1190" t="s">
        <v>2180</v>
      </c>
      <c r="C51" s="1191"/>
      <c r="D51" s="1191"/>
      <c r="E51" s="1191"/>
      <c r="F51" s="1190" t="s">
        <v>2</v>
      </c>
      <c r="G51" s="1190" t="s">
        <v>787</v>
      </c>
      <c r="H51" s="1191"/>
      <c r="I51" s="1192">
        <v>1.5</v>
      </c>
      <c r="J51" s="1192">
        <v>0</v>
      </c>
      <c r="K51" s="1192">
        <v>1.5</v>
      </c>
      <c r="L51" s="655" t="str">
        <f t="shared" si="2"/>
        <v>551</v>
      </c>
      <c r="M51" s="656" t="str">
        <f t="shared" si="0"/>
        <v>DIR. COMMERCIAL NEUFS</v>
      </c>
      <c r="N51" s="657">
        <f>+IF(OR($Q51=Parametres!$G$2,$Q51=Parametres!$G$3),I51,C51)</f>
        <v>1.5</v>
      </c>
      <c r="O51" s="657">
        <f>+IF(OR($Q51=Parametres!$G$2,$Q51=Parametres!$G$3),J51,D51)</f>
        <v>0</v>
      </c>
      <c r="P51" s="657">
        <f>+IF(OR($Q51=Parametres!$G$2,$Q51=Parametres!$G$3),K51,E51)</f>
        <v>1.5</v>
      </c>
      <c r="Q51" s="656" t="str">
        <f t="shared" ref="Q51:S51" si="51">+F51</f>
        <v>1-Mémo</v>
      </c>
      <c r="R51" s="655" t="str">
        <f t="shared" si="51"/>
        <v>50</v>
      </c>
      <c r="S51" s="656">
        <f t="shared" si="51"/>
        <v>0</v>
      </c>
      <c r="T51" s="658" t="str">
        <f>+VLOOKUP($L51,Data_Validation!$A:$D,1,0)</f>
        <v>551</v>
      </c>
      <c r="U51" s="658">
        <f>+VLOOKUP($L51,Data_Validation!$A:$D,3,0)</f>
        <v>0</v>
      </c>
      <c r="V51" s="658">
        <f>+VLOOKUP($L51,Data_Validation!$A:$D,4,0)</f>
        <v>0</v>
      </c>
      <c r="W51" s="658" t="str">
        <f>+VLOOKUP($L51,Data_Validation!$A:$E,5,0)</f>
        <v>$</v>
      </c>
      <c r="X51" s="658">
        <f>+VLOOKUP($L51,Data_Validation!$A:$F,6,0)</f>
        <v>0</v>
      </c>
    </row>
    <row r="52" spans="1:24" ht="15.75" customHeight="1">
      <c r="A52" s="1190" t="s">
        <v>799</v>
      </c>
      <c r="B52" s="1190" t="s">
        <v>2183</v>
      </c>
      <c r="C52" s="1191"/>
      <c r="D52" s="1191"/>
      <c r="E52" s="1191"/>
      <c r="F52" s="1190" t="s">
        <v>2</v>
      </c>
      <c r="G52" s="1190" t="s">
        <v>787</v>
      </c>
      <c r="H52" s="1191"/>
      <c r="I52" s="1192">
        <v>1.5</v>
      </c>
      <c r="J52" s="1192">
        <v>0</v>
      </c>
      <c r="K52" s="1192">
        <v>1.5</v>
      </c>
      <c r="L52" s="655" t="str">
        <f t="shared" si="2"/>
        <v>552</v>
      </c>
      <c r="M52" s="656" t="str">
        <f t="shared" si="0"/>
        <v>DIR. COMMERCIAL USAGES</v>
      </c>
      <c r="N52" s="657">
        <f>+IF(OR($Q52=Parametres!$G$2,$Q52=Parametres!$G$3),I52,C52)</f>
        <v>1.5</v>
      </c>
      <c r="O52" s="657">
        <f>+IF(OR($Q52=Parametres!$G$2,$Q52=Parametres!$G$3),J52,D52)</f>
        <v>0</v>
      </c>
      <c r="P52" s="657">
        <f>+IF(OR($Q52=Parametres!$G$2,$Q52=Parametres!$G$3),K52,E52)</f>
        <v>1.5</v>
      </c>
      <c r="Q52" s="656" t="str">
        <f t="shared" ref="Q52:S52" si="52">+F52</f>
        <v>1-Mémo</v>
      </c>
      <c r="R52" s="655" t="str">
        <f t="shared" si="52"/>
        <v>50</v>
      </c>
      <c r="S52" s="656">
        <f t="shared" si="52"/>
        <v>0</v>
      </c>
      <c r="T52" s="658" t="str">
        <f>+VLOOKUP($L52,Data_Validation!$A:$D,1,0)</f>
        <v>552</v>
      </c>
      <c r="U52" s="658">
        <f>+VLOOKUP($L52,Data_Validation!$A:$D,3,0)</f>
        <v>0</v>
      </c>
      <c r="V52" s="658">
        <f>+VLOOKUP($L52,Data_Validation!$A:$D,4,0)</f>
        <v>0</v>
      </c>
      <c r="W52" s="658" t="str">
        <f>+VLOOKUP($L52,Data_Validation!$A:$E,5,0)</f>
        <v>$</v>
      </c>
      <c r="X52" s="658">
        <f>+VLOOKUP($L52,Data_Validation!$A:$F,6,0)</f>
        <v>0</v>
      </c>
    </row>
    <row r="53" spans="1:24" ht="15" customHeight="1">
      <c r="A53" s="1190" t="s">
        <v>800</v>
      </c>
      <c r="B53" s="1190" t="s">
        <v>3359</v>
      </c>
      <c r="C53" s="1191"/>
      <c r="D53" s="1191"/>
      <c r="E53" s="1191"/>
      <c r="F53" s="1190" t="s">
        <v>2</v>
      </c>
      <c r="G53" s="1190" t="s">
        <v>787</v>
      </c>
      <c r="H53" s="1191"/>
      <c r="I53" s="1192">
        <v>1</v>
      </c>
      <c r="J53" s="1192">
        <v>0</v>
      </c>
      <c r="K53" s="1192">
        <v>1</v>
      </c>
      <c r="L53" s="655" t="str">
        <f t="shared" si="2"/>
        <v>564</v>
      </c>
      <c r="M53" s="656" t="str">
        <f t="shared" si="0"/>
        <v>CONTREMAITRE SERVICE</v>
      </c>
      <c r="N53" s="657">
        <f>+IF(OR($Q53=Parametres!$G$2,$Q53=Parametres!$G$3),I53,C53)</f>
        <v>1</v>
      </c>
      <c r="O53" s="657">
        <f>+IF(OR($Q53=Parametres!$G$2,$Q53=Parametres!$G$3),J53,D53)</f>
        <v>0</v>
      </c>
      <c r="P53" s="657">
        <f>+IF(OR($Q53=Parametres!$G$2,$Q53=Parametres!$G$3),K53,E53)</f>
        <v>1</v>
      </c>
      <c r="Q53" s="656" t="str">
        <f t="shared" ref="Q53:S53" si="53">+F53</f>
        <v>1-Mémo</v>
      </c>
      <c r="R53" s="655" t="str">
        <f t="shared" si="53"/>
        <v>50</v>
      </c>
      <c r="S53" s="656">
        <f t="shared" si="53"/>
        <v>0</v>
      </c>
      <c r="T53" s="658" t="str">
        <f>+VLOOKUP($L53,Data_Validation!$A:$D,1,0)</f>
        <v>564</v>
      </c>
      <c r="U53" s="658">
        <f>+VLOOKUP($L53,Data_Validation!$A:$D,3,0)</f>
        <v>0</v>
      </c>
      <c r="V53" s="658">
        <f>+VLOOKUP($L53,Data_Validation!$A:$D,4,0)</f>
        <v>0</v>
      </c>
      <c r="W53" s="658" t="str">
        <f>+VLOOKUP($L53,Data_Validation!$A:$E,5,0)</f>
        <v>$</v>
      </c>
      <c r="X53" s="658">
        <f>+VLOOKUP($L53,Data_Validation!$A:$F,6,0)</f>
        <v>0</v>
      </c>
    </row>
    <row r="54" spans="1:24" ht="15" customHeight="1">
      <c r="A54" s="1190" t="s">
        <v>801</v>
      </c>
      <c r="B54" s="1190" t="s">
        <v>2278</v>
      </c>
      <c r="C54" s="1191"/>
      <c r="D54" s="1191"/>
      <c r="E54" s="1191"/>
      <c r="F54" s="1190" t="s">
        <v>2</v>
      </c>
      <c r="G54" s="1190" t="s">
        <v>3334</v>
      </c>
      <c r="H54" s="1191"/>
      <c r="I54" s="1192">
        <v>4</v>
      </c>
      <c r="J54" s="1192">
        <v>0</v>
      </c>
      <c r="K54" s="1192">
        <v>4</v>
      </c>
      <c r="L54" s="655" t="str">
        <f t="shared" si="2"/>
        <v>614</v>
      </c>
      <c r="M54" s="656" t="str">
        <f t="shared" si="0"/>
        <v>VW CONSEILLERS SERVICE -SERVICE</v>
      </c>
      <c r="N54" s="657">
        <f>+IF(OR($Q54=Parametres!$G$2,$Q54=Parametres!$G$3),I54,C54)</f>
        <v>4</v>
      </c>
      <c r="O54" s="657">
        <f>+IF(OR($Q54=Parametres!$G$2,$Q54=Parametres!$G$3),J54,D54)</f>
        <v>0</v>
      </c>
      <c r="P54" s="657">
        <f>+IF(OR($Q54=Parametres!$G$2,$Q54=Parametres!$G$3),K54,E54)</f>
        <v>4</v>
      </c>
      <c r="Q54" s="656" t="str">
        <f t="shared" ref="Q54:S54" si="54">+F54</f>
        <v>1-Mémo</v>
      </c>
      <c r="R54" s="655" t="str">
        <f t="shared" si="54"/>
        <v>61</v>
      </c>
      <c r="S54" s="656">
        <f t="shared" si="54"/>
        <v>0</v>
      </c>
      <c r="T54" s="658" t="str">
        <f>+VLOOKUP($L54,Data_Validation!$A:$D,1,0)</f>
        <v>614</v>
      </c>
      <c r="U54" s="658">
        <f>+VLOOKUP($L54,Data_Validation!$A:$D,3,0)</f>
        <v>0</v>
      </c>
      <c r="V54" s="658">
        <f>+VLOOKUP($L54,Data_Validation!$A:$D,4,0)</f>
        <v>0</v>
      </c>
      <c r="W54" s="658" t="str">
        <f>+VLOOKUP($L54,Data_Validation!$A:$E,5,0)</f>
        <v>$</v>
      </c>
      <c r="X54" s="658">
        <f>+VLOOKUP($L54,Data_Validation!$A:$F,6,0)</f>
        <v>0</v>
      </c>
    </row>
    <row r="55" spans="1:24" ht="15" customHeight="1">
      <c r="A55" s="1190" t="s">
        <v>802</v>
      </c>
      <c r="B55" s="1190" t="s">
        <v>1210</v>
      </c>
      <c r="C55" s="1191"/>
      <c r="D55" s="1191"/>
      <c r="E55" s="1191"/>
      <c r="F55" s="1190" t="s">
        <v>2</v>
      </c>
      <c r="G55" s="1190" t="s">
        <v>3334</v>
      </c>
      <c r="H55" s="1191"/>
      <c r="I55" s="1192">
        <v>1</v>
      </c>
      <c r="J55" s="1192">
        <v>0</v>
      </c>
      <c r="K55" s="1192">
        <v>1</v>
      </c>
      <c r="L55" s="655" t="str">
        <f t="shared" si="2"/>
        <v>615</v>
      </c>
      <c r="M55" s="656" t="str">
        <f t="shared" si="0"/>
        <v>VW CONSEILLERS SERVICE - PIEC. &amp; CARR.&lt;</v>
      </c>
      <c r="N55" s="657">
        <f>+IF(OR($Q55=Parametres!$G$2,$Q55=Parametres!$G$3),I55,C55)</f>
        <v>1</v>
      </c>
      <c r="O55" s="657">
        <f>+IF(OR($Q55=Parametres!$G$2,$Q55=Parametres!$G$3),J55,D55)</f>
        <v>0</v>
      </c>
      <c r="P55" s="657">
        <f>+IF(OR($Q55=Parametres!$G$2,$Q55=Parametres!$G$3),K55,E55)</f>
        <v>1</v>
      </c>
      <c r="Q55" s="656" t="str">
        <f t="shared" ref="Q55:S55" si="55">+F55</f>
        <v>1-Mémo</v>
      </c>
      <c r="R55" s="655" t="str">
        <f t="shared" si="55"/>
        <v>61</v>
      </c>
      <c r="S55" s="656">
        <f t="shared" si="55"/>
        <v>0</v>
      </c>
      <c r="T55" s="658" t="str">
        <f>+VLOOKUP($L55,Data_Validation!$A:$D,1,0)</f>
        <v>615</v>
      </c>
      <c r="U55" s="658">
        <f>+VLOOKUP($L55,Data_Validation!$A:$D,3,0)</f>
        <v>0</v>
      </c>
      <c r="V55" s="658">
        <f>+VLOOKUP($L55,Data_Validation!$A:$D,4,0)</f>
        <v>0</v>
      </c>
      <c r="W55" s="658" t="str">
        <f>+VLOOKUP($L55,Data_Validation!$A:$E,5,0)</f>
        <v>$</v>
      </c>
      <c r="X55" s="658">
        <f>+VLOOKUP($L55,Data_Validation!$A:$F,6,0)</f>
        <v>0</v>
      </c>
    </row>
    <row r="56" spans="1:24" ht="15.75" customHeight="1">
      <c r="A56" s="1190" t="s">
        <v>803</v>
      </c>
      <c r="B56" s="1190" t="s">
        <v>2339</v>
      </c>
      <c r="C56" s="1191"/>
      <c r="D56" s="1191"/>
      <c r="E56" s="1191"/>
      <c r="F56" s="1190" t="s">
        <v>2</v>
      </c>
      <c r="G56" s="1190" t="s">
        <v>787</v>
      </c>
      <c r="H56" s="1191"/>
      <c r="I56" s="1192">
        <v>1</v>
      </c>
      <c r="J56" s="1192">
        <v>0</v>
      </c>
      <c r="K56" s="1192">
        <v>1</v>
      </c>
      <c r="L56" s="655" t="str">
        <f t="shared" si="2"/>
        <v>621</v>
      </c>
      <c r="M56" s="656" t="str">
        <f t="shared" si="0"/>
        <v>LAVEURS NEUFS</v>
      </c>
      <c r="N56" s="657">
        <f>+IF(OR($Q56=Parametres!$G$2,$Q56=Parametres!$G$3),I56,C56)</f>
        <v>1</v>
      </c>
      <c r="O56" s="657">
        <f>+IF(OR($Q56=Parametres!$G$2,$Q56=Parametres!$G$3),J56,D56)</f>
        <v>0</v>
      </c>
      <c r="P56" s="657">
        <f>+IF(OR($Q56=Parametres!$G$2,$Q56=Parametres!$G$3),K56,E56)</f>
        <v>1</v>
      </c>
      <c r="Q56" s="656" t="str">
        <f t="shared" ref="Q56:S56" si="56">+F56</f>
        <v>1-Mémo</v>
      </c>
      <c r="R56" s="655" t="str">
        <f t="shared" si="56"/>
        <v>50</v>
      </c>
      <c r="S56" s="656">
        <f t="shared" si="56"/>
        <v>0</v>
      </c>
      <c r="T56" s="658" t="str">
        <f>+VLOOKUP($L56,Data_Validation!$A:$D,1,0)</f>
        <v>621</v>
      </c>
      <c r="U56" s="658">
        <f>+VLOOKUP($L56,Data_Validation!$A:$D,3,0)</f>
        <v>0</v>
      </c>
      <c r="V56" s="658">
        <f>+VLOOKUP($L56,Data_Validation!$A:$D,4,0)</f>
        <v>0</v>
      </c>
      <c r="W56" s="658" t="str">
        <f>+VLOOKUP($L56,Data_Validation!$A:$E,5,0)</f>
        <v>$</v>
      </c>
      <c r="X56" s="658">
        <f>+VLOOKUP($L56,Data_Validation!$A:$F,6,0)</f>
        <v>0</v>
      </c>
    </row>
    <row r="57" spans="1:24" ht="15" customHeight="1">
      <c r="A57" s="1190" t="s">
        <v>804</v>
      </c>
      <c r="B57" s="1190" t="s">
        <v>2348</v>
      </c>
      <c r="C57" s="1191"/>
      <c r="D57" s="1191"/>
      <c r="E57" s="1191"/>
      <c r="F57" s="1190" t="s">
        <v>2</v>
      </c>
      <c r="G57" s="1190" t="s">
        <v>787</v>
      </c>
      <c r="H57" s="1191"/>
      <c r="I57" s="1192">
        <v>1</v>
      </c>
      <c r="J57" s="1192">
        <v>0</v>
      </c>
      <c r="K57" s="1192">
        <v>1</v>
      </c>
      <c r="L57" s="655" t="str">
        <f t="shared" si="2"/>
        <v>622</v>
      </c>
      <c r="M57" s="656" t="str">
        <f t="shared" si="0"/>
        <v>LAVEURS USAGES</v>
      </c>
      <c r="N57" s="657">
        <f>+IF(OR($Q57=Parametres!$G$2,$Q57=Parametres!$G$3),I57,C57)</f>
        <v>1</v>
      </c>
      <c r="O57" s="657">
        <f>+IF(OR($Q57=Parametres!$G$2,$Q57=Parametres!$G$3),J57,D57)</f>
        <v>0</v>
      </c>
      <c r="P57" s="657">
        <f>+IF(OR($Q57=Parametres!$G$2,$Q57=Parametres!$G$3),K57,E57)</f>
        <v>1</v>
      </c>
      <c r="Q57" s="656" t="str">
        <f t="shared" ref="Q57:S57" si="57">+F57</f>
        <v>1-Mémo</v>
      </c>
      <c r="R57" s="655" t="str">
        <f t="shared" si="57"/>
        <v>50</v>
      </c>
      <c r="S57" s="656">
        <f t="shared" si="57"/>
        <v>0</v>
      </c>
      <c r="T57" s="658" t="str">
        <f>+VLOOKUP($L57,Data_Validation!$A:$D,1,0)</f>
        <v>622</v>
      </c>
      <c r="U57" s="658">
        <f>+VLOOKUP($L57,Data_Validation!$A:$D,3,0)</f>
        <v>0</v>
      </c>
      <c r="V57" s="658">
        <f>+VLOOKUP($L57,Data_Validation!$A:$D,4,0)</f>
        <v>0</v>
      </c>
      <c r="W57" s="658" t="str">
        <f>+VLOOKUP($L57,Data_Validation!$A:$E,5,0)</f>
        <v>$</v>
      </c>
      <c r="X57" s="658">
        <f>+VLOOKUP($L57,Data_Validation!$A:$F,6,0)</f>
        <v>0</v>
      </c>
    </row>
    <row r="58" spans="1:24" ht="15" customHeight="1">
      <c r="A58" s="1190" t="s">
        <v>805</v>
      </c>
      <c r="B58" s="1190" t="s">
        <v>2373</v>
      </c>
      <c r="C58" s="1191"/>
      <c r="D58" s="1191"/>
      <c r="E58" s="1191"/>
      <c r="F58" s="1190" t="s">
        <v>2</v>
      </c>
      <c r="G58" s="1190" t="s">
        <v>787</v>
      </c>
      <c r="H58" s="1191"/>
      <c r="I58" s="1192">
        <v>7</v>
      </c>
      <c r="J58" s="1192">
        <v>0</v>
      </c>
      <c r="K58" s="1192">
        <v>7</v>
      </c>
      <c r="L58" s="655" t="str">
        <f t="shared" si="2"/>
        <v>624</v>
      </c>
      <c r="M58" s="656" t="str">
        <f t="shared" si="0"/>
        <v>LAVEURS SERVICE</v>
      </c>
      <c r="N58" s="657">
        <f>+IF(OR($Q58=Parametres!$G$2,$Q58=Parametres!$G$3),I58,C58)</f>
        <v>7</v>
      </c>
      <c r="O58" s="657">
        <f>+IF(OR($Q58=Parametres!$G$2,$Q58=Parametres!$G$3),J58,D58)</f>
        <v>0</v>
      </c>
      <c r="P58" s="657">
        <f>+IF(OR($Q58=Parametres!$G$2,$Q58=Parametres!$G$3),K58,E58)</f>
        <v>7</v>
      </c>
      <c r="Q58" s="656" t="str">
        <f t="shared" ref="Q58:S58" si="58">+F58</f>
        <v>1-Mémo</v>
      </c>
      <c r="R58" s="655" t="str">
        <f t="shared" si="58"/>
        <v>50</v>
      </c>
      <c r="S58" s="656">
        <f t="shared" si="58"/>
        <v>0</v>
      </c>
      <c r="T58" s="658" t="str">
        <f>+VLOOKUP($L58,Data_Validation!$A:$D,1,0)</f>
        <v>624</v>
      </c>
      <c r="U58" s="658">
        <f>+VLOOKUP($L58,Data_Validation!$A:$D,3,0)</f>
        <v>0</v>
      </c>
      <c r="V58" s="658">
        <f>+VLOOKUP($L58,Data_Validation!$A:$D,4,0)</f>
        <v>0</v>
      </c>
      <c r="W58" s="658" t="str">
        <f>+VLOOKUP($L58,Data_Validation!$A:$E,5,0)</f>
        <v>$</v>
      </c>
      <c r="X58" s="658">
        <f>+VLOOKUP($L58,Data_Validation!$A:$F,6,0)</f>
        <v>0</v>
      </c>
    </row>
    <row r="59" spans="1:24" ht="15" customHeight="1">
      <c r="A59" s="1190" t="s">
        <v>806</v>
      </c>
      <c r="B59" s="1190" t="s">
        <v>2471</v>
      </c>
      <c r="C59" s="1191"/>
      <c r="D59" s="1191"/>
      <c r="E59" s="1191"/>
      <c r="F59" s="1190" t="s">
        <v>2</v>
      </c>
      <c r="G59" s="1190" t="s">
        <v>3335</v>
      </c>
      <c r="H59" s="1191"/>
      <c r="I59" s="1192">
        <v>12</v>
      </c>
      <c r="J59" s="1192">
        <v>0</v>
      </c>
      <c r="K59" s="1192">
        <v>12</v>
      </c>
      <c r="L59" s="655" t="str">
        <f t="shared" si="2"/>
        <v>644</v>
      </c>
      <c r="M59" s="656" t="str">
        <f t="shared" si="0"/>
        <v>VW TECHNICIENS - SERVICE</v>
      </c>
      <c r="N59" s="657">
        <f>+IF(OR($Q59=Parametres!$G$2,$Q59=Parametres!$G$3),I59,C59)</f>
        <v>12</v>
      </c>
      <c r="O59" s="661">
        <f>+IF(OR($Q59=Parametres!$G$2,$Q59=Parametres!$G$3),J59,D59)</f>
        <v>0</v>
      </c>
      <c r="P59" s="657">
        <f>+IF(OR($Q59=Parametres!$G$2,$Q59=Parametres!$G$3),K59,E59)</f>
        <v>12</v>
      </c>
      <c r="Q59" s="656" t="str">
        <f t="shared" ref="Q59:S59" si="59">+F59</f>
        <v>1-Mémo</v>
      </c>
      <c r="R59" s="655" t="str">
        <f t="shared" si="59"/>
        <v>64</v>
      </c>
      <c r="S59" s="656">
        <f t="shared" si="59"/>
        <v>0</v>
      </c>
      <c r="T59" s="658" t="str">
        <f>+VLOOKUP($L59,Data_Validation!$A:$D,1,0)</f>
        <v>644</v>
      </c>
      <c r="U59" s="658">
        <f>+VLOOKUP($L59,Data_Validation!$A:$D,3,0)</f>
        <v>0</v>
      </c>
      <c r="V59" s="658">
        <f>+VLOOKUP($L59,Data_Validation!$A:$D,4,0)</f>
        <v>0</v>
      </c>
      <c r="W59" s="658" t="str">
        <f>+VLOOKUP($L59,Data_Validation!$A:$E,5,0)</f>
        <v>$</v>
      </c>
      <c r="X59" s="658">
        <f>+VLOOKUP($L59,Data_Validation!$A:$F,6,0)</f>
        <v>0</v>
      </c>
    </row>
    <row r="60" spans="1:24" ht="15" customHeight="1">
      <c r="A60" s="1190" t="s">
        <v>807</v>
      </c>
      <c r="B60" s="1190" t="s">
        <v>2540</v>
      </c>
      <c r="C60" s="1191"/>
      <c r="D60" s="1191"/>
      <c r="E60" s="1191"/>
      <c r="F60" s="1190" t="s">
        <v>2</v>
      </c>
      <c r="G60" s="1190" t="s">
        <v>787</v>
      </c>
      <c r="H60" s="1191"/>
      <c r="I60" s="1192">
        <v>0.2</v>
      </c>
      <c r="J60" s="1192">
        <v>0</v>
      </c>
      <c r="K60" s="1192">
        <v>0.2</v>
      </c>
      <c r="L60" s="655" t="str">
        <f t="shared" si="2"/>
        <v>651</v>
      </c>
      <c r="M60" s="656" t="str">
        <f t="shared" si="0"/>
        <v>DIR. ADMINIS. NEUFS</v>
      </c>
      <c r="N60" s="657">
        <f>+IF(OR($Q60=Parametres!$G$2,$Q60=Parametres!$G$3),I60,C60)</f>
        <v>0.2</v>
      </c>
      <c r="O60" s="657">
        <f>+IF(OR($Q60=Parametres!$G$2,$Q60=Parametres!$G$3),J60,D60)</f>
        <v>0</v>
      </c>
      <c r="P60" s="657">
        <f>+IF(OR($Q60=Parametres!$G$2,$Q60=Parametres!$G$3),K60,E60)</f>
        <v>0.2</v>
      </c>
      <c r="Q60" s="656" t="str">
        <f t="shared" ref="Q60:S60" si="60">+F60</f>
        <v>1-Mémo</v>
      </c>
      <c r="R60" s="655" t="str">
        <f t="shared" si="60"/>
        <v>50</v>
      </c>
      <c r="S60" s="656">
        <f t="shared" si="60"/>
        <v>0</v>
      </c>
      <c r="T60" s="658" t="str">
        <f>+VLOOKUP($L60,Data_Validation!$A:$D,1,0)</f>
        <v>651</v>
      </c>
      <c r="U60" s="658">
        <f>+VLOOKUP($L60,Data_Validation!$A:$D,3,0)</f>
        <v>0</v>
      </c>
      <c r="V60" s="658">
        <f>+VLOOKUP($L60,Data_Validation!$A:$D,4,0)</f>
        <v>0</v>
      </c>
      <c r="W60" s="658" t="str">
        <f>+VLOOKUP($L60,Data_Validation!$A:$E,5,0)</f>
        <v>$</v>
      </c>
      <c r="X60" s="658">
        <f>+VLOOKUP($L60,Data_Validation!$A:$F,6,0)</f>
        <v>0</v>
      </c>
    </row>
    <row r="61" spans="1:24" ht="15" customHeight="1">
      <c r="A61" s="1190" t="s">
        <v>808</v>
      </c>
      <c r="B61" s="1190" t="s">
        <v>2546</v>
      </c>
      <c r="C61" s="1191"/>
      <c r="D61" s="1191"/>
      <c r="E61" s="1191"/>
      <c r="F61" s="1190" t="s">
        <v>2</v>
      </c>
      <c r="G61" s="1190" t="s">
        <v>787</v>
      </c>
      <c r="H61" s="1191"/>
      <c r="I61" s="1192">
        <v>0.2</v>
      </c>
      <c r="J61" s="1192">
        <v>0</v>
      </c>
      <c r="K61" s="1192">
        <v>0.2</v>
      </c>
      <c r="L61" s="655" t="str">
        <f t="shared" si="2"/>
        <v>652</v>
      </c>
      <c r="M61" s="656" t="str">
        <f t="shared" si="0"/>
        <v>DIR. ADMINIS. USAGES</v>
      </c>
      <c r="N61" s="657">
        <f>+IF(OR($Q61=Parametres!$G$2,$Q61=Parametres!$G$3),I61,C61)</f>
        <v>0.2</v>
      </c>
      <c r="O61" s="657">
        <f>+IF(OR($Q61=Parametres!$G$2,$Q61=Parametres!$G$3),J61,D61)</f>
        <v>0</v>
      </c>
      <c r="P61" s="657">
        <f>+IF(OR($Q61=Parametres!$G$2,$Q61=Parametres!$G$3),K61,E61)</f>
        <v>0.2</v>
      </c>
      <c r="Q61" s="656" t="str">
        <f t="shared" ref="Q61:S61" si="61">+F61</f>
        <v>1-Mémo</v>
      </c>
      <c r="R61" s="655" t="str">
        <f t="shared" si="61"/>
        <v>50</v>
      </c>
      <c r="S61" s="656">
        <f t="shared" si="61"/>
        <v>0</v>
      </c>
      <c r="T61" s="658" t="str">
        <f>+VLOOKUP($L61,Data_Validation!$A:$D,1,0)</f>
        <v>652</v>
      </c>
      <c r="U61" s="658">
        <f>+VLOOKUP($L61,Data_Validation!$A:$D,3,0)</f>
        <v>0</v>
      </c>
      <c r="V61" s="658">
        <f>+VLOOKUP($L61,Data_Validation!$A:$D,4,0)</f>
        <v>0</v>
      </c>
      <c r="W61" s="658" t="str">
        <f>+VLOOKUP($L61,Data_Validation!$A:$E,5,0)</f>
        <v>$</v>
      </c>
      <c r="X61" s="658">
        <f>+VLOOKUP($L61,Data_Validation!$A:$F,6,0)</f>
        <v>0</v>
      </c>
    </row>
    <row r="62" spans="1:24" ht="15" customHeight="1">
      <c r="A62" s="1190" t="s">
        <v>809</v>
      </c>
      <c r="B62" s="1190" t="s">
        <v>2576</v>
      </c>
      <c r="C62" s="1191"/>
      <c r="D62" s="1191"/>
      <c r="E62" s="1191"/>
      <c r="F62" s="1190" t="s">
        <v>2</v>
      </c>
      <c r="G62" s="1190" t="s">
        <v>787</v>
      </c>
      <c r="H62" s="1191"/>
      <c r="I62" s="1192">
        <v>0.2</v>
      </c>
      <c r="J62" s="1192">
        <v>0</v>
      </c>
      <c r="K62" s="1192">
        <v>0.2</v>
      </c>
      <c r="L62" s="655" t="str">
        <f t="shared" si="2"/>
        <v>654</v>
      </c>
      <c r="M62" s="656" t="str">
        <f t="shared" si="0"/>
        <v>DIR. ADMINIS. SERVICE</v>
      </c>
      <c r="N62" s="657">
        <f>+IF(OR($Q62=Parametres!$G$2,$Q62=Parametres!$G$3),I62,C62)</f>
        <v>0.2</v>
      </c>
      <c r="O62" s="657">
        <f>+IF(OR($Q62=Parametres!$G$2,$Q62=Parametres!$G$3),J62,D62)</f>
        <v>0</v>
      </c>
      <c r="P62" s="657">
        <f>+IF(OR($Q62=Parametres!$G$2,$Q62=Parametres!$G$3),K62,E62)</f>
        <v>0.2</v>
      </c>
      <c r="Q62" s="656" t="str">
        <f t="shared" ref="Q62:S62" si="62">+F62</f>
        <v>1-Mémo</v>
      </c>
      <c r="R62" s="655" t="str">
        <f t="shared" si="62"/>
        <v>50</v>
      </c>
      <c r="S62" s="656">
        <f t="shared" si="62"/>
        <v>0</v>
      </c>
      <c r="T62" s="658" t="str">
        <f>+VLOOKUP($L62,Data_Validation!$A:$D,1,0)</f>
        <v>654</v>
      </c>
      <c r="U62" s="658">
        <f>+VLOOKUP($L62,Data_Validation!$A:$D,3,0)</f>
        <v>0</v>
      </c>
      <c r="V62" s="658">
        <f>+VLOOKUP($L62,Data_Validation!$A:$D,4,0)</f>
        <v>0</v>
      </c>
      <c r="W62" s="658" t="str">
        <f>+VLOOKUP($L62,Data_Validation!$A:$E,5,0)</f>
        <v>$</v>
      </c>
      <c r="X62" s="658">
        <f>+VLOOKUP($L62,Data_Validation!$A:$F,6,0)</f>
        <v>0</v>
      </c>
    </row>
    <row r="63" spans="1:24" ht="15" customHeight="1">
      <c r="A63" s="1190" t="s">
        <v>810</v>
      </c>
      <c r="B63" s="1190" t="s">
        <v>1269</v>
      </c>
      <c r="C63" s="1191"/>
      <c r="D63" s="1191"/>
      <c r="E63" s="1191"/>
      <c r="F63" s="1190" t="s">
        <v>2</v>
      </c>
      <c r="G63" s="1190" t="s">
        <v>787</v>
      </c>
      <c r="H63" s="1191"/>
      <c r="I63" s="1192">
        <v>0.2</v>
      </c>
      <c r="J63" s="1192">
        <v>0</v>
      </c>
      <c r="K63" s="1192">
        <v>0.2</v>
      </c>
      <c r="L63" s="655" t="str">
        <f t="shared" si="2"/>
        <v>655</v>
      </c>
      <c r="M63" s="656" t="str">
        <f t="shared" si="0"/>
        <v>DIR. ADMINIS. CARROSS.</v>
      </c>
      <c r="N63" s="657">
        <f>+IF(OR($Q63=Parametres!$G$2,$Q63=Parametres!$G$3),I63,C63)</f>
        <v>0.2</v>
      </c>
      <c r="O63" s="661">
        <f>+IF(OR($Q63=Parametres!$G$2,$Q63=Parametres!$G$3),J63,D63)</f>
        <v>0</v>
      </c>
      <c r="P63" s="657">
        <f>+IF(OR($Q63=Parametres!$G$2,$Q63=Parametres!$G$3),K63,E63)</f>
        <v>0.2</v>
      </c>
      <c r="Q63" s="656" t="str">
        <f t="shared" ref="Q63:S63" si="63">+F63</f>
        <v>1-Mémo</v>
      </c>
      <c r="R63" s="655" t="str">
        <f t="shared" si="63"/>
        <v>50</v>
      </c>
      <c r="S63" s="656">
        <f t="shared" si="63"/>
        <v>0</v>
      </c>
      <c r="T63" s="658" t="str">
        <f>+VLOOKUP($L63,Data_Validation!$A:$D,1,0)</f>
        <v>655</v>
      </c>
      <c r="U63" s="658">
        <f>+VLOOKUP($L63,Data_Validation!$A:$D,3,0)</f>
        <v>0</v>
      </c>
      <c r="V63" s="658">
        <f>+VLOOKUP($L63,Data_Validation!$A:$D,4,0)</f>
        <v>0</v>
      </c>
      <c r="W63" s="658" t="str">
        <f>+VLOOKUP($L63,Data_Validation!$A:$E,5,0)</f>
        <v>$</v>
      </c>
      <c r="X63" s="658">
        <f>+VLOOKUP($L63,Data_Validation!$A:$F,6,0)</f>
        <v>0</v>
      </c>
    </row>
    <row r="64" spans="1:24" ht="15" customHeight="1">
      <c r="A64" s="1190" t="s">
        <v>811</v>
      </c>
      <c r="B64" s="1190" t="s">
        <v>2619</v>
      </c>
      <c r="C64" s="1191"/>
      <c r="D64" s="1191"/>
      <c r="E64" s="1191"/>
      <c r="F64" s="1190" t="s">
        <v>2</v>
      </c>
      <c r="G64" s="1190" t="s">
        <v>787</v>
      </c>
      <c r="H64" s="1191"/>
      <c r="I64" s="1192">
        <v>0.2</v>
      </c>
      <c r="J64" s="1192">
        <v>0</v>
      </c>
      <c r="K64" s="1192">
        <v>0.2</v>
      </c>
      <c r="L64" s="655" t="str">
        <f t="shared" si="2"/>
        <v>657</v>
      </c>
      <c r="M64" s="656" t="str">
        <f t="shared" si="0"/>
        <v>DIR. ADMINIS. PIECES</v>
      </c>
      <c r="N64" s="657">
        <f>+IF(OR($Q64=Parametres!$G$2,$Q64=Parametres!$G$3),I64,C64)</f>
        <v>0.2</v>
      </c>
      <c r="O64" s="657">
        <f>+IF(OR($Q64=Parametres!$G$2,$Q64=Parametres!$G$3),J64,D64)</f>
        <v>0</v>
      </c>
      <c r="P64" s="657">
        <f>+IF(OR($Q64=Parametres!$G$2,$Q64=Parametres!$G$3),K64,E64)</f>
        <v>0.2</v>
      </c>
      <c r="Q64" s="656" t="str">
        <f t="shared" ref="Q64:S64" si="64">+F64</f>
        <v>1-Mémo</v>
      </c>
      <c r="R64" s="655" t="str">
        <f t="shared" si="64"/>
        <v>50</v>
      </c>
      <c r="S64" s="656">
        <f t="shared" si="64"/>
        <v>0</v>
      </c>
      <c r="T64" s="658" t="str">
        <f>+VLOOKUP($L64,Data_Validation!$A:$D,1,0)</f>
        <v>657</v>
      </c>
      <c r="U64" s="658">
        <f>+VLOOKUP($L64,Data_Validation!$A:$D,3,0)</f>
        <v>0</v>
      </c>
      <c r="V64" s="658">
        <f>+VLOOKUP($L64,Data_Validation!$A:$D,4,0)</f>
        <v>0</v>
      </c>
      <c r="W64" s="658" t="str">
        <f>+VLOOKUP($L64,Data_Validation!$A:$E,5,0)</f>
        <v>$</v>
      </c>
      <c r="X64" s="658">
        <f>+VLOOKUP($L64,Data_Validation!$A:$F,6,0)</f>
        <v>0</v>
      </c>
    </row>
    <row r="65" spans="1:24" ht="15" customHeight="1">
      <c r="A65" s="1190" t="s">
        <v>812</v>
      </c>
      <c r="B65" s="1190" t="s">
        <v>2637</v>
      </c>
      <c r="C65" s="1191"/>
      <c r="D65" s="1191"/>
      <c r="E65" s="1191"/>
      <c r="F65" s="1190" t="s">
        <v>2</v>
      </c>
      <c r="G65" s="1190" t="s">
        <v>787</v>
      </c>
      <c r="H65" s="1191"/>
      <c r="I65" s="1192">
        <v>1</v>
      </c>
      <c r="J65" s="1192">
        <v>0</v>
      </c>
      <c r="K65" s="1192">
        <v>1</v>
      </c>
      <c r="L65" s="655" t="str">
        <f t="shared" si="2"/>
        <v>661</v>
      </c>
      <c r="M65" s="656" t="str">
        <f t="shared" si="0"/>
        <v>PERSONELS CLER. NEUFS</v>
      </c>
      <c r="N65" s="657">
        <f>+IF(OR($Q65=Parametres!$G$2,$Q65=Parametres!$G$3),I65,C65)</f>
        <v>1</v>
      </c>
      <c r="O65" s="661">
        <f>+IF(OR($Q65=Parametres!$G$2,$Q65=Parametres!$G$3),J65,D65)</f>
        <v>0</v>
      </c>
      <c r="P65" s="657">
        <f>+IF(OR($Q65=Parametres!$G$2,$Q65=Parametres!$G$3),K65,E65)</f>
        <v>1</v>
      </c>
      <c r="Q65" s="656" t="str">
        <f t="shared" ref="Q65:S65" si="65">+F65</f>
        <v>1-Mémo</v>
      </c>
      <c r="R65" s="655" t="str">
        <f t="shared" si="65"/>
        <v>50</v>
      </c>
      <c r="S65" s="656">
        <f t="shared" si="65"/>
        <v>0</v>
      </c>
      <c r="T65" s="658" t="str">
        <f>+VLOOKUP($L65,Data_Validation!$A:$D,1,0)</f>
        <v>661</v>
      </c>
      <c r="U65" s="658">
        <f>+VLOOKUP($L65,Data_Validation!$A:$D,3,0)</f>
        <v>0</v>
      </c>
      <c r="V65" s="658">
        <f>+VLOOKUP($L65,Data_Validation!$A:$D,4,0)</f>
        <v>0</v>
      </c>
      <c r="W65" s="658" t="str">
        <f>+VLOOKUP($L65,Data_Validation!$A:$E,5,0)</f>
        <v>$</v>
      </c>
      <c r="X65" s="658">
        <f>+VLOOKUP($L65,Data_Validation!$A:$F,6,0)</f>
        <v>0</v>
      </c>
    </row>
    <row r="66" spans="1:24" ht="15" customHeight="1">
      <c r="A66" s="1190" t="s">
        <v>813</v>
      </c>
      <c r="B66" s="1190" t="s">
        <v>2640</v>
      </c>
      <c r="C66" s="1191"/>
      <c r="D66" s="1191"/>
      <c r="E66" s="1191"/>
      <c r="F66" s="1190" t="s">
        <v>2</v>
      </c>
      <c r="G66" s="1190" t="s">
        <v>787</v>
      </c>
      <c r="H66" s="1191"/>
      <c r="I66" s="1192">
        <v>1</v>
      </c>
      <c r="J66" s="1192">
        <v>0</v>
      </c>
      <c r="K66" s="1192">
        <v>1</v>
      </c>
      <c r="L66" s="655" t="str">
        <f t="shared" si="2"/>
        <v>662</v>
      </c>
      <c r="M66" s="656" t="str">
        <f t="shared" si="0"/>
        <v>PERSONELS CLER. USAGES</v>
      </c>
      <c r="N66" s="657">
        <f>+IF(OR($Q66=Parametres!$G$2,$Q66=Parametres!$G$3),I66,C66)</f>
        <v>1</v>
      </c>
      <c r="O66" s="657">
        <f>+IF(OR($Q66=Parametres!$G$2,$Q66=Parametres!$G$3),J66,D66)</f>
        <v>0</v>
      </c>
      <c r="P66" s="657">
        <f>+IF(OR($Q66=Parametres!$G$2,$Q66=Parametres!$G$3),K66,E66)</f>
        <v>1</v>
      </c>
      <c r="Q66" s="656" t="str">
        <f t="shared" ref="Q66:S66" si="66">+F66</f>
        <v>1-Mémo</v>
      </c>
      <c r="R66" s="655" t="str">
        <f t="shared" si="66"/>
        <v>50</v>
      </c>
      <c r="S66" s="656">
        <f t="shared" si="66"/>
        <v>0</v>
      </c>
      <c r="T66" s="658" t="str">
        <f>+VLOOKUP($L66,Data_Validation!$A:$D,1,0)</f>
        <v>662</v>
      </c>
      <c r="U66" s="658">
        <f>+VLOOKUP($L66,Data_Validation!$A:$D,3,0)</f>
        <v>0</v>
      </c>
      <c r="V66" s="658">
        <f>+VLOOKUP($L66,Data_Validation!$A:$D,4,0)</f>
        <v>0</v>
      </c>
      <c r="W66" s="658" t="str">
        <f>+VLOOKUP($L66,Data_Validation!$A:$E,5,0)</f>
        <v>$</v>
      </c>
      <c r="X66" s="658">
        <f>+VLOOKUP($L66,Data_Validation!$A:$F,6,0)</f>
        <v>0</v>
      </c>
    </row>
    <row r="67" spans="1:24" ht="15" customHeight="1">
      <c r="A67" s="1190" t="s">
        <v>814</v>
      </c>
      <c r="B67" s="1190" t="s">
        <v>2643</v>
      </c>
      <c r="C67" s="1191"/>
      <c r="D67" s="1191"/>
      <c r="E67" s="1191"/>
      <c r="F67" s="1190" t="s">
        <v>2</v>
      </c>
      <c r="G67" s="1190" t="s">
        <v>787</v>
      </c>
      <c r="H67" s="1191"/>
      <c r="I67" s="1192">
        <v>1</v>
      </c>
      <c r="J67" s="1192">
        <v>0</v>
      </c>
      <c r="K67" s="1192">
        <v>1</v>
      </c>
      <c r="L67" s="655" t="str">
        <f t="shared" ref="L67:L130" si="67">TEXT(B67,0)</f>
        <v>664</v>
      </c>
      <c r="M67" s="656" t="str">
        <f t="shared" si="0"/>
        <v>PERSONELS CLER. SERVICE</v>
      </c>
      <c r="N67" s="657">
        <f>+IF(OR($Q67=Parametres!$G$2,$Q67=Parametres!$G$3),I67,C67)</f>
        <v>1</v>
      </c>
      <c r="O67" s="657">
        <f>+IF(OR($Q67=Parametres!$G$2,$Q67=Parametres!$G$3),J67,D67)</f>
        <v>0</v>
      </c>
      <c r="P67" s="657">
        <f>+IF(OR($Q67=Parametres!$G$2,$Q67=Parametres!$G$3),K67,E67)</f>
        <v>1</v>
      </c>
      <c r="Q67" s="656" t="str">
        <f t="shared" ref="Q67:S67" si="68">+F67</f>
        <v>1-Mémo</v>
      </c>
      <c r="R67" s="655" t="str">
        <f t="shared" si="68"/>
        <v>50</v>
      </c>
      <c r="S67" s="656">
        <f t="shared" si="68"/>
        <v>0</v>
      </c>
      <c r="T67" s="658" t="str">
        <f>+VLOOKUP($L67,Data_Validation!$A:$D,1,0)</f>
        <v>664</v>
      </c>
      <c r="U67" s="658">
        <f>+VLOOKUP($L67,Data_Validation!$A:$D,3,0)</f>
        <v>0</v>
      </c>
      <c r="V67" s="658">
        <f>+VLOOKUP($L67,Data_Validation!$A:$D,4,0)</f>
        <v>0</v>
      </c>
      <c r="W67" s="658" t="str">
        <f>+VLOOKUP($L67,Data_Validation!$A:$E,5,0)</f>
        <v>$</v>
      </c>
      <c r="X67" s="658">
        <f>+VLOOKUP($L67,Data_Validation!$A:$F,6,0)</f>
        <v>0</v>
      </c>
    </row>
    <row r="68" spans="1:24" ht="15" customHeight="1">
      <c r="A68" s="1190" t="s">
        <v>815</v>
      </c>
      <c r="B68" s="1190" t="s">
        <v>2646</v>
      </c>
      <c r="C68" s="1191"/>
      <c r="D68" s="1191"/>
      <c r="E68" s="1191"/>
      <c r="F68" s="1190" t="s">
        <v>2</v>
      </c>
      <c r="G68" s="1190" t="s">
        <v>787</v>
      </c>
      <c r="H68" s="1191"/>
      <c r="I68" s="1192">
        <v>1</v>
      </c>
      <c r="J68" s="1192">
        <v>0</v>
      </c>
      <c r="K68" s="1192">
        <v>1</v>
      </c>
      <c r="L68" s="655" t="str">
        <f t="shared" si="67"/>
        <v>667</v>
      </c>
      <c r="M68" s="656" t="str">
        <f t="shared" si="0"/>
        <v>PERSONELS CLER. PIECES</v>
      </c>
      <c r="N68" s="657">
        <f>+IF(OR($Q68=Parametres!$G$2,$Q68=Parametres!$G$3),I68,C68)</f>
        <v>1</v>
      </c>
      <c r="O68" s="661">
        <f>+IF(OR($Q68=Parametres!$G$2,$Q68=Parametres!$G$3),J68,D68)</f>
        <v>0</v>
      </c>
      <c r="P68" s="657">
        <f>+IF(OR($Q68=Parametres!$G$2,$Q68=Parametres!$G$3),K68,E68)</f>
        <v>1</v>
      </c>
      <c r="Q68" s="656" t="str">
        <f t="shared" ref="Q68:S68" si="69">+F68</f>
        <v>1-Mémo</v>
      </c>
      <c r="R68" s="655" t="str">
        <f t="shared" si="69"/>
        <v>50</v>
      </c>
      <c r="S68" s="656">
        <f t="shared" si="69"/>
        <v>0</v>
      </c>
      <c r="T68" s="658" t="str">
        <f>+VLOOKUP($L68,Data_Validation!$A:$D,1,0)</f>
        <v>667</v>
      </c>
      <c r="U68" s="658">
        <f>+VLOOKUP($L68,Data_Validation!$A:$D,3,0)</f>
        <v>0</v>
      </c>
      <c r="V68" s="658">
        <f>+VLOOKUP($L68,Data_Validation!$A:$D,4,0)</f>
        <v>0</v>
      </c>
      <c r="W68" s="658" t="str">
        <f>+VLOOKUP($L68,Data_Validation!$A:$E,5,0)</f>
        <v>$</v>
      </c>
      <c r="X68" s="658">
        <f>+VLOOKUP($L68,Data_Validation!$A:$F,6,0)</f>
        <v>0</v>
      </c>
    </row>
    <row r="69" spans="1:24" ht="15" customHeight="1">
      <c r="A69" s="1190" t="s">
        <v>816</v>
      </c>
      <c r="B69" s="1190" t="s">
        <v>2724</v>
      </c>
      <c r="C69" s="1191"/>
      <c r="D69" s="1191"/>
      <c r="E69" s="1191"/>
      <c r="F69" s="1190" t="s">
        <v>2</v>
      </c>
      <c r="G69" s="1190" t="s">
        <v>3336</v>
      </c>
      <c r="H69" s="1191"/>
      <c r="I69" s="1192">
        <v>3</v>
      </c>
      <c r="J69" s="1192">
        <v>0</v>
      </c>
      <c r="K69" s="1192">
        <v>3</v>
      </c>
      <c r="L69" s="655" t="str">
        <f t="shared" si="67"/>
        <v>677</v>
      </c>
      <c r="M69" s="656" t="str">
        <f t="shared" si="0"/>
        <v>VW PIECES</v>
      </c>
      <c r="N69" s="657">
        <f>+IF(OR($Q69=Parametres!$G$2,$Q69=Parametres!$G$3),I69,C69)</f>
        <v>3</v>
      </c>
      <c r="O69" s="657">
        <f>+IF(OR($Q69=Parametres!$G$2,$Q69=Parametres!$G$3),J69,D69)</f>
        <v>0</v>
      </c>
      <c r="P69" s="657">
        <f>+IF(OR($Q69=Parametres!$G$2,$Q69=Parametres!$G$3),K69,E69)</f>
        <v>3</v>
      </c>
      <c r="Q69" s="656" t="str">
        <f t="shared" ref="Q69:S69" si="70">+F69</f>
        <v>1-Mémo</v>
      </c>
      <c r="R69" s="655" t="str">
        <f t="shared" si="70"/>
        <v>67</v>
      </c>
      <c r="S69" s="656">
        <f t="shared" si="70"/>
        <v>0</v>
      </c>
      <c r="T69" s="658" t="str">
        <f>+VLOOKUP($L69,Data_Validation!$A:$D,1,0)</f>
        <v>677</v>
      </c>
      <c r="U69" s="658">
        <f>+VLOOKUP($L69,Data_Validation!$A:$D,3,0)</f>
        <v>0</v>
      </c>
      <c r="V69" s="658">
        <f>+VLOOKUP($L69,Data_Validation!$A:$D,4,0)</f>
        <v>0</v>
      </c>
      <c r="W69" s="658" t="str">
        <f>+VLOOKUP($L69,Data_Validation!$A:$E,5,0)</f>
        <v>$</v>
      </c>
      <c r="X69" s="658">
        <f>+VLOOKUP($L69,Data_Validation!$A:$F,6,0)</f>
        <v>0</v>
      </c>
    </row>
    <row r="70" spans="1:24" ht="15" customHeight="1">
      <c r="A70" s="1190" t="s">
        <v>817</v>
      </c>
      <c r="B70" s="1190" t="s">
        <v>819</v>
      </c>
      <c r="C70" s="1192">
        <v>922366.82</v>
      </c>
      <c r="D70" s="1192">
        <v>-152352.28</v>
      </c>
      <c r="E70" s="1192">
        <v>770014.54</v>
      </c>
      <c r="F70" s="1190" t="s">
        <v>818</v>
      </c>
      <c r="G70" s="1190" t="s">
        <v>819</v>
      </c>
      <c r="H70" s="1191"/>
      <c r="I70" s="1191"/>
      <c r="J70" s="1191"/>
      <c r="K70" s="1191"/>
      <c r="L70" s="655" t="str">
        <f t="shared" si="67"/>
        <v>1102</v>
      </c>
      <c r="M70" s="656" t="str">
        <f t="shared" si="0"/>
        <v>BANQUE DE COMMERCE C/C</v>
      </c>
      <c r="N70" s="657">
        <f>+IF(OR($Q70=Parametres!$G$2,$Q70=Parametres!$G$3),I70,C70)</f>
        <v>922366.82</v>
      </c>
      <c r="O70" s="657">
        <f>+IF(OR($Q70=Parametres!$G$2,$Q70=Parametres!$G$3),J70,D70)</f>
        <v>-152352.28</v>
      </c>
      <c r="P70" s="657">
        <f>+IF(OR($Q70=Parametres!$G$2,$Q70=Parametres!$G$3),K70,E70)</f>
        <v>770014.54</v>
      </c>
      <c r="Q70" s="656" t="str">
        <f t="shared" ref="Q70:S70" si="71">+F70</f>
        <v>2-Actifs</v>
      </c>
      <c r="R70" s="655" t="str">
        <f t="shared" si="71"/>
        <v>1102</v>
      </c>
      <c r="S70" s="656">
        <f t="shared" si="71"/>
        <v>0</v>
      </c>
      <c r="T70" s="658" t="str">
        <f>+VLOOKUP($L70,Data_Validation!$A:$D,1,0)</f>
        <v>1102</v>
      </c>
      <c r="U70" s="658" t="str">
        <f>+VLOOKUP($L70,Data_Validation!$A:$D,3,0)</f>
        <v>Bilan</v>
      </c>
      <c r="V70" s="658" t="str">
        <f>+VLOOKUP($L70,Data_Validation!$A:$D,4,0)</f>
        <v>Encaisse</v>
      </c>
      <c r="W70" s="658" t="str">
        <f>+VLOOKUP($L70,Data_Validation!$A:$E,5,0)</f>
        <v>$</v>
      </c>
      <c r="X70" s="658">
        <f>+VLOOKUP($L70,Data_Validation!$A:$F,6,0)</f>
        <v>0</v>
      </c>
    </row>
    <row r="71" spans="1:24" ht="15" customHeight="1">
      <c r="A71" s="1190" t="s">
        <v>1340</v>
      </c>
      <c r="B71" s="1190" t="s">
        <v>3360</v>
      </c>
      <c r="C71" s="1192">
        <v>-5.39</v>
      </c>
      <c r="D71" s="1192">
        <v>5.39</v>
      </c>
      <c r="E71" s="1192">
        <v>0</v>
      </c>
      <c r="F71" s="1190" t="s">
        <v>818</v>
      </c>
      <c r="G71" s="1190" t="s">
        <v>819</v>
      </c>
      <c r="H71" s="1191"/>
      <c r="I71" s="1191"/>
      <c r="J71" s="1191"/>
      <c r="K71" s="1191"/>
      <c r="L71" s="655" t="str">
        <f t="shared" si="67"/>
        <v>1103</v>
      </c>
      <c r="M71" s="656" t="str">
        <f t="shared" si="0"/>
        <v>VISA</v>
      </c>
      <c r="N71" s="657">
        <f>+IF(OR($Q71=Parametres!$G$2,$Q71=Parametres!$G$3),I71,C71)</f>
        <v>-5.39</v>
      </c>
      <c r="O71" s="657">
        <f>+IF(OR($Q71=Parametres!$G$2,$Q71=Parametres!$G$3),J71,D71)</f>
        <v>5.39</v>
      </c>
      <c r="P71" s="657">
        <f>+IF(OR($Q71=Parametres!$G$2,$Q71=Parametres!$G$3),K71,E71)</f>
        <v>0</v>
      </c>
      <c r="Q71" s="656" t="str">
        <f t="shared" ref="Q71:S71" si="72">+F71</f>
        <v>2-Actifs</v>
      </c>
      <c r="R71" s="655" t="str">
        <f t="shared" si="72"/>
        <v>1102</v>
      </c>
      <c r="S71" s="656">
        <f t="shared" si="72"/>
        <v>0</v>
      </c>
      <c r="T71" s="658" t="str">
        <f>+VLOOKUP($L71,Data_Validation!$A:$D,1,0)</f>
        <v>1103</v>
      </c>
      <c r="U71" s="658" t="str">
        <f>+VLOOKUP($L71,Data_Validation!$A:$D,3,0)</f>
        <v>Bilan</v>
      </c>
      <c r="V71" s="658" t="str">
        <f>+VLOOKUP($L71,Data_Validation!$A:$D,4,0)</f>
        <v>Encaisse</v>
      </c>
      <c r="W71" s="658" t="str">
        <f>+VLOOKUP($L71,Data_Validation!$A:$E,5,0)</f>
        <v>$</v>
      </c>
      <c r="X71" s="658">
        <f>+VLOOKUP($L71,Data_Validation!$A:$F,6,0)</f>
        <v>0</v>
      </c>
    </row>
    <row r="72" spans="1:24" ht="15" customHeight="1">
      <c r="A72" s="1190" t="s">
        <v>820</v>
      </c>
      <c r="B72" s="1190" t="s">
        <v>3361</v>
      </c>
      <c r="C72" s="1192">
        <v>27.02</v>
      </c>
      <c r="D72" s="1192">
        <v>-27.02</v>
      </c>
      <c r="E72" s="1192">
        <v>0</v>
      </c>
      <c r="F72" s="1190" t="s">
        <v>818</v>
      </c>
      <c r="G72" s="1190" t="s">
        <v>819</v>
      </c>
      <c r="H72" s="1191"/>
      <c r="I72" s="1191"/>
      <c r="J72" s="1191"/>
      <c r="K72" s="1191"/>
      <c r="L72" s="655" t="str">
        <f t="shared" si="67"/>
        <v>1104</v>
      </c>
      <c r="M72" s="656" t="str">
        <f t="shared" si="0"/>
        <v>MASTER CARD (CANADA TRUST)</v>
      </c>
      <c r="N72" s="657">
        <f>+IF(OR($Q72=Parametres!$G$2,$Q72=Parametres!$G$3),I72,C72)</f>
        <v>27.02</v>
      </c>
      <c r="O72" s="661">
        <f>+IF(OR($Q72=Parametres!$G$2,$Q72=Parametres!$G$3),J72,D72)</f>
        <v>-27.02</v>
      </c>
      <c r="P72" s="657">
        <f>+IF(OR($Q72=Parametres!$G$2,$Q72=Parametres!$G$3),K72,E72)</f>
        <v>0</v>
      </c>
      <c r="Q72" s="656" t="str">
        <f t="shared" ref="Q72:S72" si="73">+F72</f>
        <v>2-Actifs</v>
      </c>
      <c r="R72" s="655" t="str">
        <f t="shared" si="73"/>
        <v>1102</v>
      </c>
      <c r="S72" s="656">
        <f t="shared" si="73"/>
        <v>0</v>
      </c>
      <c r="T72" s="658" t="str">
        <f>+VLOOKUP($L72,Data_Validation!$A:$D,1,0)</f>
        <v>1104</v>
      </c>
      <c r="U72" s="658" t="str">
        <f>+VLOOKUP($L72,Data_Validation!$A:$D,3,0)</f>
        <v>Bilan</v>
      </c>
      <c r="V72" s="658" t="str">
        <f>+VLOOKUP($L72,Data_Validation!$A:$D,4,0)</f>
        <v>Encaisse</v>
      </c>
      <c r="W72" s="658" t="str">
        <f>+VLOOKUP($L72,Data_Validation!$A:$E,5,0)</f>
        <v>$</v>
      </c>
      <c r="X72" s="658">
        <f>+VLOOKUP($L72,Data_Validation!$A:$F,6,0)</f>
        <v>0</v>
      </c>
    </row>
    <row r="73" spans="1:24" ht="15" customHeight="1">
      <c r="A73" s="1190" t="s">
        <v>3899</v>
      </c>
      <c r="B73" s="1190" t="s">
        <v>3900</v>
      </c>
      <c r="C73" s="1192">
        <v>-0.02</v>
      </c>
      <c r="D73" s="1192">
        <v>390.33</v>
      </c>
      <c r="E73" s="1192">
        <v>390.31</v>
      </c>
      <c r="F73" s="1190" t="s">
        <v>818</v>
      </c>
      <c r="G73" s="1190" t="s">
        <v>819</v>
      </c>
      <c r="H73" s="1191"/>
      <c r="I73" s="1191"/>
      <c r="J73" s="1191"/>
      <c r="K73" s="1191"/>
      <c r="L73" s="655" t="str">
        <f t="shared" si="67"/>
        <v>1109</v>
      </c>
      <c r="M73" s="656" t="str">
        <f t="shared" si="0"/>
        <v>KIMOBY</v>
      </c>
      <c r="N73" s="657">
        <f>+IF(OR($Q73=Parametres!$G$2,$Q73=Parametres!$G$3),I73,C73)</f>
        <v>-0.02</v>
      </c>
      <c r="O73" s="657">
        <f>+IF(OR($Q73=Parametres!$G$2,$Q73=Parametres!$G$3),J73,D73)</f>
        <v>390.33</v>
      </c>
      <c r="P73" s="657">
        <f>+IF(OR($Q73=Parametres!$G$2,$Q73=Parametres!$G$3),K73,E73)</f>
        <v>390.31</v>
      </c>
      <c r="Q73" s="656" t="str">
        <f t="shared" ref="Q73:S73" si="74">+F73</f>
        <v>2-Actifs</v>
      </c>
      <c r="R73" s="655" t="str">
        <f t="shared" si="74"/>
        <v>1102</v>
      </c>
      <c r="S73" s="656">
        <f t="shared" si="74"/>
        <v>0</v>
      </c>
      <c r="T73" s="658" t="str">
        <f>+VLOOKUP($L73,Data_Validation!$A:$D,1,0)</f>
        <v>1109</v>
      </c>
      <c r="U73" s="658" t="str">
        <f>+VLOOKUP($L73,Data_Validation!$A:$D,3,0)</f>
        <v>Bilan</v>
      </c>
      <c r="V73" s="658" t="str">
        <f>+VLOOKUP($L73,Data_Validation!$A:$D,4,0)</f>
        <v>Encaisse</v>
      </c>
      <c r="W73" s="658" t="str">
        <f>+VLOOKUP($L73,Data_Validation!$A:$E,5,0)</f>
        <v>$</v>
      </c>
      <c r="X73" s="658">
        <f>+VLOOKUP($L73,Data_Validation!$A:$F,6,0)</f>
        <v>0</v>
      </c>
    </row>
    <row r="74" spans="1:24" ht="15" customHeight="1">
      <c r="A74" s="1190" t="s">
        <v>821</v>
      </c>
      <c r="B74" s="1190" t="s">
        <v>3364</v>
      </c>
      <c r="C74" s="1192">
        <v>800000</v>
      </c>
      <c r="D74" s="1192">
        <v>0</v>
      </c>
      <c r="E74" s="1192">
        <v>800000</v>
      </c>
      <c r="F74" s="1190" t="s">
        <v>818</v>
      </c>
      <c r="G74" s="1190" t="s">
        <v>819</v>
      </c>
      <c r="H74" s="1191"/>
      <c r="I74" s="1191"/>
      <c r="J74" s="1191"/>
      <c r="K74" s="1191"/>
      <c r="L74" s="655" t="str">
        <f t="shared" si="67"/>
        <v>1111</v>
      </c>
      <c r="M74" s="656" t="str">
        <f t="shared" si="0"/>
        <v>REMBOURSEMENTS FLOORPLAN</v>
      </c>
      <c r="N74" s="657">
        <f>+IF(OR($Q74=Parametres!$G$2,$Q74=Parametres!$G$3),I74,C74)</f>
        <v>800000</v>
      </c>
      <c r="O74" s="657">
        <f>+IF(OR($Q74=Parametres!$G$2,$Q74=Parametres!$G$3),J74,D74)</f>
        <v>0</v>
      </c>
      <c r="P74" s="657">
        <f>+IF(OR($Q74=Parametres!$G$2,$Q74=Parametres!$G$3),K74,E74)</f>
        <v>800000</v>
      </c>
      <c r="Q74" s="656" t="str">
        <f t="shared" ref="Q74:S74" si="75">+F74</f>
        <v>2-Actifs</v>
      </c>
      <c r="R74" s="655" t="str">
        <f t="shared" si="75"/>
        <v>1102</v>
      </c>
      <c r="S74" s="656">
        <f t="shared" si="75"/>
        <v>0</v>
      </c>
      <c r="T74" s="658" t="str">
        <f>+VLOOKUP($L74,Data_Validation!$A:$D,1,0)</f>
        <v>1111</v>
      </c>
      <c r="U74" s="658" t="str">
        <f>+VLOOKUP($L74,Data_Validation!$A:$D,3,0)</f>
        <v>Bilan</v>
      </c>
      <c r="V74" s="658" t="str">
        <f>+VLOOKUP($L74,Data_Validation!$A:$D,4,0)</f>
        <v>Encaisse</v>
      </c>
      <c r="W74" s="658" t="str">
        <f>+VLOOKUP($L74,Data_Validation!$A:$E,5,0)</f>
        <v>$</v>
      </c>
      <c r="X74" s="658">
        <f>+VLOOKUP($L74,Data_Validation!$A:$F,6,0)</f>
        <v>0</v>
      </c>
    </row>
    <row r="75" spans="1:24" ht="15" customHeight="1">
      <c r="A75" s="1190" t="s">
        <v>822</v>
      </c>
      <c r="B75" s="1190" t="s">
        <v>1454</v>
      </c>
      <c r="C75" s="1192">
        <v>208.82</v>
      </c>
      <c r="D75" s="1192">
        <v>0</v>
      </c>
      <c r="E75" s="1192">
        <v>208.82</v>
      </c>
      <c r="F75" s="1190" t="s">
        <v>818</v>
      </c>
      <c r="G75" s="1190" t="s">
        <v>819</v>
      </c>
      <c r="H75" s="1191"/>
      <c r="I75" s="1191"/>
      <c r="J75" s="1191"/>
      <c r="K75" s="1191"/>
      <c r="L75" s="655" t="str">
        <f t="shared" si="67"/>
        <v>1182</v>
      </c>
      <c r="M75" s="656" t="str">
        <f t="shared" si="0"/>
        <v>PETITE CAISSE</v>
      </c>
      <c r="N75" s="657">
        <f>+IF(OR($Q75=Parametres!$G$2,$Q75=Parametres!$G$3),I75,C75)</f>
        <v>208.82</v>
      </c>
      <c r="O75" s="657">
        <f>+IF(OR($Q75=Parametres!$G$2,$Q75=Parametres!$G$3),J75,D75)</f>
        <v>0</v>
      </c>
      <c r="P75" s="657">
        <f>+IF(OR($Q75=Parametres!$G$2,$Q75=Parametres!$G$3),K75,E75)</f>
        <v>208.82</v>
      </c>
      <c r="Q75" s="656" t="str">
        <f t="shared" ref="Q75:S75" si="76">+F75</f>
        <v>2-Actifs</v>
      </c>
      <c r="R75" s="655" t="str">
        <f t="shared" si="76"/>
        <v>1102</v>
      </c>
      <c r="S75" s="656">
        <f t="shared" si="76"/>
        <v>0</v>
      </c>
      <c r="T75" s="658" t="str">
        <f>+VLOOKUP($L75,Data_Validation!$A:$D,1,0)</f>
        <v>1182</v>
      </c>
      <c r="U75" s="658" t="str">
        <f>+VLOOKUP($L75,Data_Validation!$A:$D,3,0)</f>
        <v>Bilan</v>
      </c>
      <c r="V75" s="658" t="str">
        <f>+VLOOKUP($L75,Data_Validation!$A:$D,4,0)</f>
        <v>Encaisse</v>
      </c>
      <c r="W75" s="658" t="str">
        <f>+VLOOKUP($L75,Data_Validation!$A:$E,5,0)</f>
        <v>$</v>
      </c>
      <c r="X75" s="658">
        <f>+VLOOKUP($L75,Data_Validation!$A:$F,6,0)</f>
        <v>0</v>
      </c>
    </row>
    <row r="76" spans="1:24" ht="15" customHeight="1">
      <c r="A76" s="1190" t="s">
        <v>824</v>
      </c>
      <c r="B76" s="1190" t="s">
        <v>825</v>
      </c>
      <c r="C76" s="1192">
        <v>2204658.86</v>
      </c>
      <c r="D76" s="1192">
        <v>-301391.06</v>
      </c>
      <c r="E76" s="1192">
        <v>1903267.8</v>
      </c>
      <c r="F76" s="1190" t="s">
        <v>818</v>
      </c>
      <c r="G76" s="1190" t="s">
        <v>825</v>
      </c>
      <c r="H76" s="1191"/>
      <c r="I76" s="1191"/>
      <c r="J76" s="1191"/>
      <c r="K76" s="1191"/>
      <c r="L76" s="655" t="str">
        <f t="shared" si="67"/>
        <v>1202</v>
      </c>
      <c r="M76" s="656" t="str">
        <f t="shared" si="0"/>
        <v>CONTRATS EN TRANSIT</v>
      </c>
      <c r="N76" s="657">
        <f>+IF(OR($Q76=Parametres!$G$2,$Q76=Parametres!$G$3),I76,C76)</f>
        <v>2204658.86</v>
      </c>
      <c r="O76" s="657">
        <f>+IF(OR($Q76=Parametres!$G$2,$Q76=Parametres!$G$3),J76,D76)</f>
        <v>-301391.06</v>
      </c>
      <c r="P76" s="657">
        <f>+IF(OR($Q76=Parametres!$G$2,$Q76=Parametres!$G$3),K76,E76)</f>
        <v>1903267.8</v>
      </c>
      <c r="Q76" s="656" t="str">
        <f t="shared" ref="Q76:S76" si="77">+F76</f>
        <v>2-Actifs</v>
      </c>
      <c r="R76" s="655" t="str">
        <f t="shared" si="77"/>
        <v>1202</v>
      </c>
      <c r="S76" s="656">
        <f t="shared" si="77"/>
        <v>0</v>
      </c>
      <c r="T76" s="658" t="str">
        <f>+VLOOKUP($L76,Data_Validation!$A:$D,1,0)</f>
        <v>1202</v>
      </c>
      <c r="U76" s="658" t="str">
        <f>+VLOOKUP($L76,Data_Validation!$A:$D,3,0)</f>
        <v>Bilan</v>
      </c>
      <c r="V76" s="658" t="str">
        <f>+VLOOKUP($L76,Data_Validation!$A:$D,4,0)</f>
        <v>Recevables Contrats en Transit</v>
      </c>
      <c r="W76" s="658" t="str">
        <f>+VLOOKUP($L76,Data_Validation!$A:$E,5,0)</f>
        <v>$</v>
      </c>
      <c r="X76" s="658">
        <f>+VLOOKUP($L76,Data_Validation!$A:$F,6,0)</f>
        <v>0</v>
      </c>
    </row>
    <row r="77" spans="1:24" ht="15" customHeight="1">
      <c r="A77" s="1190" t="s">
        <v>826</v>
      </c>
      <c r="B77" s="1190" t="s">
        <v>827</v>
      </c>
      <c r="C77" s="1192">
        <v>-103466</v>
      </c>
      <c r="D77" s="1192">
        <v>70040.53</v>
      </c>
      <c r="E77" s="1192">
        <v>-33425.47</v>
      </c>
      <c r="F77" s="1190" t="s">
        <v>818</v>
      </c>
      <c r="G77" s="1190" t="s">
        <v>827</v>
      </c>
      <c r="H77" s="1191"/>
      <c r="I77" s="1191"/>
      <c r="J77" s="1191"/>
      <c r="K77" s="1191"/>
      <c r="L77" s="655" t="str">
        <f t="shared" si="67"/>
        <v>1302</v>
      </c>
      <c r="M77" s="656" t="str">
        <f t="shared" si="0"/>
        <v>RECEVABLE-CLIENT-VEHICULE</v>
      </c>
      <c r="N77" s="657">
        <f>+IF(OR($Q77=Parametres!$G$2,$Q77=Parametres!$G$3),I77,C77)</f>
        <v>-103466</v>
      </c>
      <c r="O77" s="657">
        <f>+IF(OR($Q77=Parametres!$G$2,$Q77=Parametres!$G$3),J77,D77)</f>
        <v>70040.53</v>
      </c>
      <c r="P77" s="657">
        <f>+IF(OR($Q77=Parametres!$G$2,$Q77=Parametres!$G$3),K77,E77)</f>
        <v>-33425.47</v>
      </c>
      <c r="Q77" s="656" t="str">
        <f t="shared" ref="Q77:S77" si="78">+F77</f>
        <v>2-Actifs</v>
      </c>
      <c r="R77" s="655" t="str">
        <f t="shared" si="78"/>
        <v>1302</v>
      </c>
      <c r="S77" s="656">
        <f t="shared" si="78"/>
        <v>0</v>
      </c>
      <c r="T77" s="658" t="str">
        <f>+VLOOKUP($L77,Data_Validation!$A:$D,1,0)</f>
        <v>1302</v>
      </c>
      <c r="U77" s="658" t="str">
        <f>+VLOOKUP($L77,Data_Validation!$A:$D,3,0)</f>
        <v>Bilan</v>
      </c>
      <c r="V77" s="658" t="str">
        <f>+VLOOKUP($L77,Data_Validation!$A:$D,4,0)</f>
        <v>Recevables Véhicules</v>
      </c>
      <c r="W77" s="658" t="str">
        <f>+VLOOKUP($L77,Data_Validation!$A:$E,5,0)</f>
        <v>$</v>
      </c>
      <c r="X77" s="658">
        <f>+VLOOKUP($L77,Data_Validation!$A:$F,6,0)</f>
        <v>0</v>
      </c>
    </row>
    <row r="78" spans="1:24" ht="15" customHeight="1">
      <c r="A78" s="1190" t="s">
        <v>828</v>
      </c>
      <c r="B78" s="1190" t="s">
        <v>1461</v>
      </c>
      <c r="C78" s="1192">
        <v>702338.58</v>
      </c>
      <c r="D78" s="1192">
        <v>-282769.38</v>
      </c>
      <c r="E78" s="1192">
        <v>419569.2</v>
      </c>
      <c r="F78" s="1190" t="s">
        <v>818</v>
      </c>
      <c r="G78" s="1190" t="s">
        <v>827</v>
      </c>
      <c r="H78" s="1191"/>
      <c r="I78" s="1191"/>
      <c r="J78" s="1191"/>
      <c r="K78" s="1191"/>
      <c r="L78" s="655" t="str">
        <f t="shared" si="67"/>
        <v>1303</v>
      </c>
      <c r="M78" s="656" t="str">
        <f t="shared" si="0"/>
        <v>RECEVABLES LPA ET AU GROS</v>
      </c>
      <c r="N78" s="657">
        <f>+IF(OR($Q78=Parametres!$G$2,$Q78=Parametres!$G$3),I78,C78)</f>
        <v>702338.58</v>
      </c>
      <c r="O78" s="657">
        <f>+IF(OR($Q78=Parametres!$G$2,$Q78=Parametres!$G$3),J78,D78)</f>
        <v>-282769.38</v>
      </c>
      <c r="P78" s="657">
        <f>+IF(OR($Q78=Parametres!$G$2,$Q78=Parametres!$G$3),K78,E78)</f>
        <v>419569.2</v>
      </c>
      <c r="Q78" s="656" t="str">
        <f t="shared" ref="Q78:S78" si="79">+F78</f>
        <v>2-Actifs</v>
      </c>
      <c r="R78" s="655" t="str">
        <f t="shared" si="79"/>
        <v>1302</v>
      </c>
      <c r="S78" s="656">
        <f t="shared" si="79"/>
        <v>0</v>
      </c>
      <c r="T78" s="658" t="str">
        <f>+VLOOKUP($L78,Data_Validation!$A:$D,1,0)</f>
        <v>1303</v>
      </c>
      <c r="U78" s="658" t="str">
        <f>+VLOOKUP($L78,Data_Validation!$A:$D,3,0)</f>
        <v>Bilan</v>
      </c>
      <c r="V78" s="658" t="str">
        <f>+VLOOKUP($L78,Data_Validation!$A:$D,4,0)</f>
        <v>Recevables Véhicules</v>
      </c>
      <c r="W78" s="658" t="str">
        <f>+VLOOKUP($L78,Data_Validation!$A:$E,5,0)</f>
        <v>$</v>
      </c>
      <c r="X78" s="658">
        <f>+VLOOKUP($L78,Data_Validation!$A:$F,6,0)</f>
        <v>0</v>
      </c>
    </row>
    <row r="79" spans="1:24" ht="15" customHeight="1">
      <c r="A79" s="1190" t="s">
        <v>829</v>
      </c>
      <c r="B79" s="1190" t="s">
        <v>830</v>
      </c>
      <c r="C79" s="1192">
        <v>201129.39</v>
      </c>
      <c r="D79" s="1192">
        <v>42887.98</v>
      </c>
      <c r="E79" s="1192">
        <v>244017.37</v>
      </c>
      <c r="F79" s="1190" t="s">
        <v>818</v>
      </c>
      <c r="G79" s="1190" t="s">
        <v>830</v>
      </c>
      <c r="H79" s="1191"/>
      <c r="I79" s="1191"/>
      <c r="J79" s="1191"/>
      <c r="K79" s="1191"/>
      <c r="L79" s="655" t="str">
        <f t="shared" si="67"/>
        <v>1304</v>
      </c>
      <c r="M79" s="656" t="str">
        <f t="shared" si="0"/>
        <v>RECEVABLES PIECES &amp; SERVICE</v>
      </c>
      <c r="N79" s="657">
        <f>+IF(OR($Q79=Parametres!$G$2,$Q79=Parametres!$G$3),I79,C79)</f>
        <v>201129.39</v>
      </c>
      <c r="O79" s="657">
        <f>+IF(OR($Q79=Parametres!$G$2,$Q79=Parametres!$G$3),J79,D79)</f>
        <v>42887.98</v>
      </c>
      <c r="P79" s="657">
        <f>+IF(OR($Q79=Parametres!$G$2,$Q79=Parametres!$G$3),K79,E79)</f>
        <v>244017.37</v>
      </c>
      <c r="Q79" s="656" t="str">
        <f t="shared" ref="Q79:S79" si="80">+F79</f>
        <v>2-Actifs</v>
      </c>
      <c r="R79" s="655" t="str">
        <f t="shared" si="80"/>
        <v>1304</v>
      </c>
      <c r="S79" s="656">
        <f t="shared" si="80"/>
        <v>0</v>
      </c>
      <c r="T79" s="658" t="str">
        <f>+VLOOKUP($L79,Data_Validation!$A:$D,1,0)</f>
        <v>1304</v>
      </c>
      <c r="U79" s="658" t="str">
        <f>+VLOOKUP($L79,Data_Validation!$A:$D,3,0)</f>
        <v>Bilan</v>
      </c>
      <c r="V79" s="658" t="str">
        <f>+VLOOKUP($L79,Data_Validation!$A:$D,4,0)</f>
        <v>Recevables Pièces et Service</v>
      </c>
      <c r="W79" s="658" t="str">
        <f>+VLOOKUP($L79,Data_Validation!$A:$E,5,0)</f>
        <v>$</v>
      </c>
      <c r="X79" s="658">
        <f>+VLOOKUP($L79,Data_Validation!$A:$F,6,0)</f>
        <v>0</v>
      </c>
    </row>
    <row r="80" spans="1:24" ht="15.75" customHeight="1">
      <c r="A80" s="1190" t="s">
        <v>831</v>
      </c>
      <c r="B80" s="1190" t="s">
        <v>1466</v>
      </c>
      <c r="C80" s="1192">
        <v>4941.49</v>
      </c>
      <c r="D80" s="1192">
        <v>24287.23</v>
      </c>
      <c r="E80" s="1192">
        <v>29228.720000000001</v>
      </c>
      <c r="F80" s="1190" t="s">
        <v>818</v>
      </c>
      <c r="G80" s="1190" t="s">
        <v>830</v>
      </c>
      <c r="H80" s="1191"/>
      <c r="I80" s="1191"/>
      <c r="J80" s="1191"/>
      <c r="K80" s="1191"/>
      <c r="L80" s="655" t="str">
        <f t="shared" si="67"/>
        <v>1305</v>
      </c>
      <c r="M80" s="656" t="str">
        <f t="shared" si="0"/>
        <v>RECEVABLES CARROSSERIE</v>
      </c>
      <c r="N80" s="657">
        <f>+IF(OR($Q80=Parametres!$G$2,$Q80=Parametres!$G$3),I80,C80)</f>
        <v>4941.49</v>
      </c>
      <c r="O80" s="657">
        <f>+IF(OR($Q80=Parametres!$G$2,$Q80=Parametres!$G$3),J80,D80)</f>
        <v>24287.23</v>
      </c>
      <c r="P80" s="657">
        <f>+IF(OR($Q80=Parametres!$G$2,$Q80=Parametres!$G$3),K80,E80)</f>
        <v>29228.720000000001</v>
      </c>
      <c r="Q80" s="656" t="str">
        <f t="shared" ref="Q80:S80" si="81">+F80</f>
        <v>2-Actifs</v>
      </c>
      <c r="R80" s="655" t="str">
        <f t="shared" si="81"/>
        <v>1304</v>
      </c>
      <c r="S80" s="656">
        <f t="shared" si="81"/>
        <v>0</v>
      </c>
      <c r="T80" s="658" t="str">
        <f>+VLOOKUP($L80,Data_Validation!$A:$D,1,0)</f>
        <v>1305</v>
      </c>
      <c r="U80" s="658" t="str">
        <f>+VLOOKUP($L80,Data_Validation!$A:$D,3,0)</f>
        <v>Bilan</v>
      </c>
      <c r="V80" s="658" t="str">
        <f>+VLOOKUP($L80,Data_Validation!$A:$D,4,0)</f>
        <v>Recevables Carrosserie</v>
      </c>
      <c r="W80" s="658" t="str">
        <f>+VLOOKUP($L80,Data_Validation!$A:$E,5,0)</f>
        <v>$</v>
      </c>
      <c r="X80" s="658">
        <f>+VLOOKUP($L80,Data_Validation!$A:$F,6,0)</f>
        <v>0</v>
      </c>
    </row>
    <row r="81" spans="1:24" ht="15" customHeight="1">
      <c r="A81" s="1190" t="s">
        <v>832</v>
      </c>
      <c r="B81" s="1190" t="s">
        <v>3367</v>
      </c>
      <c r="C81" s="1192">
        <v>16077.06</v>
      </c>
      <c r="D81" s="1192">
        <v>10712.3</v>
      </c>
      <c r="E81" s="1192">
        <v>26789.360000000001</v>
      </c>
      <c r="F81" s="1190" t="s">
        <v>818</v>
      </c>
      <c r="G81" s="1190" t="s">
        <v>830</v>
      </c>
      <c r="H81" s="1077"/>
      <c r="I81" s="1182"/>
      <c r="J81" s="1182"/>
      <c r="K81" s="1182"/>
      <c r="L81" s="655" t="str">
        <f t="shared" si="67"/>
        <v>1306</v>
      </c>
      <c r="M81" s="656" t="str">
        <f t="shared" si="0"/>
        <v>RECEVABLES INTERCO</v>
      </c>
      <c r="N81" s="657">
        <f>+IF(OR($Q81=Parametres!$G$2,$Q81=Parametres!$G$3),I81,C81)</f>
        <v>16077.06</v>
      </c>
      <c r="O81" s="657">
        <f>+IF(OR($Q81=Parametres!$G$2,$Q81=Parametres!$G$3),J81,D81)</f>
        <v>10712.3</v>
      </c>
      <c r="P81" s="657">
        <f>+IF(OR($Q81=Parametres!$G$2,$Q81=Parametres!$G$3),K81,E81)</f>
        <v>26789.360000000001</v>
      </c>
      <c r="Q81" s="656" t="str">
        <f t="shared" ref="Q81:S81" si="82">+F81</f>
        <v>2-Actifs</v>
      </c>
      <c r="R81" s="655" t="str">
        <f t="shared" si="82"/>
        <v>1304</v>
      </c>
      <c r="S81" s="656">
        <f t="shared" si="82"/>
        <v>0</v>
      </c>
      <c r="T81" s="658" t="str">
        <f>+VLOOKUP($L81,Data_Validation!$A:$D,1,0)</f>
        <v>1306</v>
      </c>
      <c r="U81" s="658" t="str">
        <f>+VLOOKUP($L81,Data_Validation!$A:$D,3,0)</f>
        <v>Bilan</v>
      </c>
      <c r="V81" s="658" t="str">
        <f>+VLOOKUP($L81,Data_Validation!$A:$D,4,0)</f>
        <v>Recevables Intercos</v>
      </c>
      <c r="W81" s="658" t="str">
        <f>+VLOOKUP($L81,Data_Validation!$A:$E,5,0)</f>
        <v>$</v>
      </c>
      <c r="X81" s="658">
        <f>+VLOOKUP($L81,Data_Validation!$A:$F,6,0)</f>
        <v>0</v>
      </c>
    </row>
    <row r="82" spans="1:24" ht="15" customHeight="1">
      <c r="A82" s="1190" t="s">
        <v>833</v>
      </c>
      <c r="B82" s="1190" t="s">
        <v>3368</v>
      </c>
      <c r="C82" s="1192">
        <v>55828</v>
      </c>
      <c r="D82" s="1192">
        <v>-36328</v>
      </c>
      <c r="E82" s="1192">
        <v>19500</v>
      </c>
      <c r="F82" s="1190" t="s">
        <v>818</v>
      </c>
      <c r="G82" s="1190" t="s">
        <v>827</v>
      </c>
      <c r="H82" s="1077"/>
      <c r="I82" s="1182"/>
      <c r="J82" s="1182"/>
      <c r="K82" s="1182"/>
      <c r="L82" s="655" t="str">
        <f t="shared" si="67"/>
        <v>1307</v>
      </c>
      <c r="M82" s="656" t="str">
        <f t="shared" si="0"/>
        <v>RECEVABLES INTERCO VEHICULE</v>
      </c>
      <c r="N82" s="657">
        <f>+IF(OR($Q82=Parametres!$G$2,$Q82=Parametres!$G$3),I82,C82)</f>
        <v>55828</v>
      </c>
      <c r="O82" s="657">
        <f>+IF(OR($Q82=Parametres!$G$2,$Q82=Parametres!$G$3),J82,D82)</f>
        <v>-36328</v>
      </c>
      <c r="P82" s="657">
        <f>+IF(OR($Q82=Parametres!$G$2,$Q82=Parametres!$G$3),K82,E82)</f>
        <v>19500</v>
      </c>
      <c r="Q82" s="656" t="str">
        <f t="shared" ref="Q82:S82" si="83">+F82</f>
        <v>2-Actifs</v>
      </c>
      <c r="R82" s="655" t="str">
        <f t="shared" si="83"/>
        <v>1302</v>
      </c>
      <c r="S82" s="656">
        <f t="shared" si="83"/>
        <v>0</v>
      </c>
      <c r="T82" s="658" t="str">
        <f>+VLOOKUP($L82,Data_Validation!$A:$D,1,0)</f>
        <v>1307</v>
      </c>
      <c r="U82" s="658" t="str">
        <f>+VLOOKUP($L82,Data_Validation!$A:$D,3,0)</f>
        <v>Bilan</v>
      </c>
      <c r="V82" s="658" t="str">
        <f>+VLOOKUP($L82,Data_Validation!$A:$D,4,0)</f>
        <v>Recevables Intercos</v>
      </c>
      <c r="W82" s="658" t="str">
        <f>+VLOOKUP($L82,Data_Validation!$A:$E,5,0)</f>
        <v>$</v>
      </c>
      <c r="X82" s="658">
        <f>+VLOOKUP($L82,Data_Validation!$A:$F,6,0)</f>
        <v>0</v>
      </c>
    </row>
    <row r="83" spans="1:24" ht="15" customHeight="1">
      <c r="A83" s="1190" t="s">
        <v>834</v>
      </c>
      <c r="B83" s="1190" t="s">
        <v>1469</v>
      </c>
      <c r="C83" s="1192">
        <v>17423</v>
      </c>
      <c r="D83" s="1192">
        <v>-32</v>
      </c>
      <c r="E83" s="1192">
        <v>17391</v>
      </c>
      <c r="F83" s="1190" t="s">
        <v>818</v>
      </c>
      <c r="G83" s="1190" t="s">
        <v>835</v>
      </c>
      <c r="H83" s="1077"/>
      <c r="I83" s="1182"/>
      <c r="J83" s="1182"/>
      <c r="K83" s="1182"/>
      <c r="L83" s="655" t="str">
        <f t="shared" si="67"/>
        <v>1312</v>
      </c>
      <c r="M83" s="656" t="str">
        <f t="shared" si="0"/>
        <v>RESEVE VOLKS</v>
      </c>
      <c r="N83" s="657">
        <f>+IF(OR($Q83=Parametres!$G$2,$Q83=Parametres!$G$3),I83,C83)</f>
        <v>17423</v>
      </c>
      <c r="O83" s="657">
        <f>+IF(OR($Q83=Parametres!$G$2,$Q83=Parametres!$G$3),J83,D83)</f>
        <v>-32</v>
      </c>
      <c r="P83" s="657">
        <f>+IF(OR($Q83=Parametres!$G$2,$Q83=Parametres!$G$3),K83,E83)</f>
        <v>17391</v>
      </c>
      <c r="Q83" s="656" t="str">
        <f t="shared" ref="Q83:S83" si="84">+F83</f>
        <v>2-Actifs</v>
      </c>
      <c r="R83" s="655" t="str">
        <f t="shared" si="84"/>
        <v>1314</v>
      </c>
      <c r="S83" s="656">
        <f t="shared" si="84"/>
        <v>0</v>
      </c>
      <c r="T83" s="658" t="str">
        <f>+VLOOKUP($L83,Data_Validation!$A:$D,1,0)</f>
        <v>1312</v>
      </c>
      <c r="U83" s="658" t="str">
        <f>+VLOOKUP($L83,Data_Validation!$A:$D,3,0)</f>
        <v>Bilan</v>
      </c>
      <c r="V83" s="658" t="str">
        <f>+VLOOKUP($L83,Data_Validation!$A:$D,4,0)</f>
        <v>Recevables Manufacturier</v>
      </c>
      <c r="W83" s="658" t="str">
        <f>+VLOOKUP($L83,Data_Validation!$A:$E,5,0)</f>
        <v>$</v>
      </c>
      <c r="X83" s="658">
        <f>+VLOOKUP($L83,Data_Validation!$A:$F,6,0)</f>
        <v>0</v>
      </c>
    </row>
    <row r="84" spans="1:24" ht="15.75" customHeight="1">
      <c r="A84" s="1190" t="s">
        <v>836</v>
      </c>
      <c r="B84" s="1190" t="s">
        <v>837</v>
      </c>
      <c r="C84" s="1192">
        <v>5950.76</v>
      </c>
      <c r="D84" s="1192">
        <v>32190.400000000001</v>
      </c>
      <c r="E84" s="1192">
        <v>38141.160000000003</v>
      </c>
      <c r="F84" s="1190" t="s">
        <v>818</v>
      </c>
      <c r="G84" s="1190" t="s">
        <v>837</v>
      </c>
      <c r="H84" s="1077"/>
      <c r="I84" s="1182"/>
      <c r="J84" s="1182"/>
      <c r="K84" s="1182"/>
      <c r="L84" s="655" t="str">
        <f t="shared" si="67"/>
        <v>1332</v>
      </c>
      <c r="M84" s="656" t="str">
        <f t="shared" si="0"/>
        <v>RECLAM. RECEVABLE-GARANTIE</v>
      </c>
      <c r="N84" s="657">
        <f>+IF(OR($Q84=Parametres!$G$2,$Q84=Parametres!$G$3),I84,C84)</f>
        <v>5950.76</v>
      </c>
      <c r="O84" s="657">
        <f>+IF(OR($Q84=Parametres!$G$2,$Q84=Parametres!$G$3),J84,D84)</f>
        <v>32190.400000000001</v>
      </c>
      <c r="P84" s="663">
        <f>+IF(OR($Q84=Parametres!$G$2,$Q84=Parametres!$G$3),K84,E84)</f>
        <v>38141.160000000003</v>
      </c>
      <c r="Q84" s="656" t="str">
        <f t="shared" ref="Q84:S84" si="85">+F84</f>
        <v>2-Actifs</v>
      </c>
      <c r="R84" s="655" t="str">
        <f t="shared" si="85"/>
        <v>1332</v>
      </c>
      <c r="S84" s="656">
        <f t="shared" si="85"/>
        <v>0</v>
      </c>
      <c r="T84" s="658" t="str">
        <f>+VLOOKUP($L84,Data_Validation!$A:$D,1,0)</f>
        <v>1332</v>
      </c>
      <c r="U84" s="658" t="str">
        <f>+VLOOKUP($L84,Data_Validation!$A:$D,3,0)</f>
        <v>Bilan</v>
      </c>
      <c r="V84" s="658" t="str">
        <f>+VLOOKUP($L84,Data_Validation!$A:$D,4,0)</f>
        <v>Recevables Garantie Manufacturier</v>
      </c>
      <c r="W84" s="658" t="str">
        <f>+VLOOKUP($L84,Data_Validation!$A:$E,5,0)</f>
        <v>$</v>
      </c>
      <c r="X84" s="658">
        <f>+VLOOKUP($L84,Data_Validation!$A:$F,6,0)</f>
        <v>0</v>
      </c>
    </row>
    <row r="85" spans="1:24" ht="15" customHeight="1">
      <c r="A85" s="1190" t="s">
        <v>838</v>
      </c>
      <c r="B85" s="1190" t="s">
        <v>1474</v>
      </c>
      <c r="C85" s="1192">
        <v>-10530.77</v>
      </c>
      <c r="D85" s="1192">
        <v>14433.88</v>
      </c>
      <c r="E85" s="1192">
        <v>3903.11</v>
      </c>
      <c r="F85" s="1190" t="s">
        <v>818</v>
      </c>
      <c r="G85" s="1190" t="s">
        <v>823</v>
      </c>
      <c r="H85" s="1077"/>
      <c r="I85" s="1182"/>
      <c r="J85" s="1182"/>
      <c r="K85" s="1182"/>
      <c r="L85" s="655" t="str">
        <f t="shared" si="67"/>
        <v>1340</v>
      </c>
      <c r="M85" s="656" t="str">
        <f t="shared" si="0"/>
        <v>GARANTIE PPM</v>
      </c>
      <c r="N85" s="657">
        <f>+IF(OR($Q85=Parametres!$G$2,$Q85=Parametres!$G$3),I85,C85)</f>
        <v>-10530.77</v>
      </c>
      <c r="O85" s="657">
        <f>+IF(OR($Q85=Parametres!$G$2,$Q85=Parametres!$G$3),J85,D85)</f>
        <v>14433.88</v>
      </c>
      <c r="P85" s="663">
        <f>+IF(OR($Q85=Parametres!$G$2,$Q85=Parametres!$G$3),K85,E85)</f>
        <v>3903.11</v>
      </c>
      <c r="Q85" s="656" t="str">
        <f t="shared" ref="Q85:S85" si="86">+F85</f>
        <v>2-Actifs</v>
      </c>
      <c r="R85" s="655" t="str">
        <f t="shared" si="86"/>
        <v>1382</v>
      </c>
      <c r="S85" s="656">
        <f t="shared" si="86"/>
        <v>0</v>
      </c>
      <c r="T85" s="658" t="str">
        <f>+VLOOKUP($L85,Data_Validation!$A:$D,1,0)</f>
        <v>1340</v>
      </c>
      <c r="U85" s="658" t="str">
        <f>+VLOOKUP($L85,Data_Validation!$A:$D,3,0)</f>
        <v>Bilan</v>
      </c>
      <c r="V85" s="658" t="str">
        <f>+VLOOKUP($L85,Data_Validation!$A:$D,4,0)</f>
        <v>recevables Autres</v>
      </c>
      <c r="W85" s="658" t="str">
        <f>+VLOOKUP($L85,Data_Validation!$A:$E,5,0)</f>
        <v>$</v>
      </c>
      <c r="X85" s="658">
        <f>+VLOOKUP($L85,Data_Validation!$A:$F,6,0)</f>
        <v>0</v>
      </c>
    </row>
    <row r="86" spans="1:24" ht="15" customHeight="1">
      <c r="A86" s="1190" t="s">
        <v>839</v>
      </c>
      <c r="B86" s="1190" t="s">
        <v>1477</v>
      </c>
      <c r="C86" s="1192">
        <v>427025</v>
      </c>
      <c r="D86" s="1192">
        <v>156600</v>
      </c>
      <c r="E86" s="1192">
        <v>583625</v>
      </c>
      <c r="F86" s="1190" t="s">
        <v>818</v>
      </c>
      <c r="G86" s="1190" t="s">
        <v>835</v>
      </c>
      <c r="H86" s="1077"/>
      <c r="I86" s="1182"/>
      <c r="J86" s="1182"/>
      <c r="K86" s="1182"/>
      <c r="L86" s="655" t="str">
        <f t="shared" si="67"/>
        <v>1352</v>
      </c>
      <c r="M86" s="656" t="str">
        <f t="shared" si="0"/>
        <v>RECEV. MANUFACTURIER VOLKS</v>
      </c>
      <c r="N86" s="657">
        <f>+IF(OR($Q86=Parametres!$G$2,$Q86=Parametres!$G$3),I86,C86)</f>
        <v>427025</v>
      </c>
      <c r="O86" s="657">
        <f>+IF(OR($Q86=Parametres!$G$2,$Q86=Parametres!$G$3),J86,D86)</f>
        <v>156600</v>
      </c>
      <c r="P86" s="663">
        <f>+IF(OR($Q86=Parametres!$G$2,$Q86=Parametres!$G$3),K86,E86)</f>
        <v>583625</v>
      </c>
      <c r="Q86" s="656" t="str">
        <f t="shared" ref="Q86:S86" si="87">+F86</f>
        <v>2-Actifs</v>
      </c>
      <c r="R86" s="655" t="str">
        <f t="shared" si="87"/>
        <v>1314</v>
      </c>
      <c r="S86" s="656">
        <f t="shared" si="87"/>
        <v>0</v>
      </c>
      <c r="T86" s="658" t="str">
        <f>+VLOOKUP($L86,Data_Validation!$A:$D,1,0)</f>
        <v>1352</v>
      </c>
      <c r="U86" s="658" t="str">
        <f>+VLOOKUP($L86,Data_Validation!$A:$D,3,0)</f>
        <v>Bilan</v>
      </c>
      <c r="V86" s="658" t="str">
        <f>+VLOOKUP($L86,Data_Validation!$A:$D,4,0)</f>
        <v>Recevables Manufacturier</v>
      </c>
      <c r="W86" s="658" t="str">
        <f>+VLOOKUP($L86,Data_Validation!$A:$E,5,0)</f>
        <v>$</v>
      </c>
      <c r="X86" s="658">
        <f>+VLOOKUP($L86,Data_Validation!$A:$F,6,0)</f>
        <v>0</v>
      </c>
    </row>
    <row r="87" spans="1:24" ht="15" customHeight="1">
      <c r="A87" s="1190" t="s">
        <v>1349</v>
      </c>
      <c r="B87" s="1190" t="s">
        <v>1431</v>
      </c>
      <c r="C87" s="1192">
        <v>275389.17</v>
      </c>
      <c r="D87" s="1192">
        <v>-236731.54</v>
      </c>
      <c r="E87" s="1192">
        <v>38657.629999999997</v>
      </c>
      <c r="F87" s="1190" t="s">
        <v>818</v>
      </c>
      <c r="G87" s="1190" t="s">
        <v>1431</v>
      </c>
      <c r="H87" s="1077"/>
      <c r="I87" s="1182"/>
      <c r="J87" s="1182"/>
      <c r="K87" s="1182"/>
      <c r="L87" s="655" t="str">
        <f t="shared" si="67"/>
        <v>1372</v>
      </c>
      <c r="M87" s="656" t="str">
        <f t="shared" si="0"/>
        <v>TAXES DE VENTES A RECEVOIR</v>
      </c>
      <c r="N87" s="657">
        <f>+IF(OR($Q87=Parametres!$G$2,$Q87=Parametres!$G$3),I87,C87)</f>
        <v>275389.17</v>
      </c>
      <c r="O87" s="657">
        <f>+IF(OR($Q87=Parametres!$G$2,$Q87=Parametres!$G$3),J87,D87)</f>
        <v>-236731.54</v>
      </c>
      <c r="P87" s="663">
        <f>+IF(OR($Q87=Parametres!$G$2,$Q87=Parametres!$G$3),K87,E87)</f>
        <v>38657.629999999997</v>
      </c>
      <c r="Q87" s="656" t="str">
        <f t="shared" ref="Q87:S87" si="88">+F87</f>
        <v>2-Actifs</v>
      </c>
      <c r="R87" s="655" t="str">
        <f t="shared" si="88"/>
        <v>1372</v>
      </c>
      <c r="S87" s="656">
        <f t="shared" si="88"/>
        <v>0</v>
      </c>
      <c r="T87" s="658" t="str">
        <f>+VLOOKUP($L87,Data_Validation!$A:$D,1,0)</f>
        <v>1372</v>
      </c>
      <c r="U87" s="658" t="str">
        <f>+VLOOKUP($L87,Data_Validation!$A:$D,3,0)</f>
        <v>Bilan</v>
      </c>
      <c r="V87" s="658" t="str">
        <f>+VLOOKUP($L87,Data_Validation!$A:$D,4,0)</f>
        <v>Taxes de Vente à Payer</v>
      </c>
      <c r="W87" s="658" t="str">
        <f>+VLOOKUP($L87,Data_Validation!$A:$E,5,0)</f>
        <v>$</v>
      </c>
      <c r="X87" s="658">
        <f>+VLOOKUP($L87,Data_Validation!$A:$F,6,0)</f>
        <v>0</v>
      </c>
    </row>
    <row r="88" spans="1:24" ht="15" customHeight="1">
      <c r="A88" s="1190" t="s">
        <v>842</v>
      </c>
      <c r="B88" s="1190" t="s">
        <v>843</v>
      </c>
      <c r="C88" s="1192">
        <v>4639517.03</v>
      </c>
      <c r="D88" s="1192">
        <v>2024232.85</v>
      </c>
      <c r="E88" s="1192">
        <v>6663749.8799999999</v>
      </c>
      <c r="F88" s="1190" t="s">
        <v>818</v>
      </c>
      <c r="G88" s="1190" t="s">
        <v>843</v>
      </c>
      <c r="H88" s="1077"/>
      <c r="I88" s="1182"/>
      <c r="J88" s="1182"/>
      <c r="K88" s="1182"/>
      <c r="L88" s="655" t="str">
        <f t="shared" si="67"/>
        <v>1402</v>
      </c>
      <c r="M88" s="656" t="str">
        <f t="shared" si="0"/>
        <v>VEHIC. NEUFS VOLKS</v>
      </c>
      <c r="N88" s="657">
        <f>+IF(OR($Q88=Parametres!$G$2,$Q88=Parametres!$G$3),I88,C88)</f>
        <v>4639517.03</v>
      </c>
      <c r="O88" s="657">
        <f>+IF(OR($Q88=Parametres!$G$2,$Q88=Parametres!$G$3),J88,D88)</f>
        <v>2024232.85</v>
      </c>
      <c r="P88" s="657">
        <f>+IF(OR($Q88=Parametres!$G$2,$Q88=Parametres!$G$3),K88,E88)</f>
        <v>6663749.8799999999</v>
      </c>
      <c r="Q88" s="656" t="str">
        <f t="shared" ref="Q88:S88" si="89">+F88</f>
        <v>2-Actifs</v>
      </c>
      <c r="R88" s="655" t="str">
        <f t="shared" si="89"/>
        <v>1402</v>
      </c>
      <c r="S88" s="656">
        <f t="shared" si="89"/>
        <v>0</v>
      </c>
      <c r="T88" s="658" t="str">
        <f>+VLOOKUP($L88,Data_Validation!$A:$D,1,0)</f>
        <v>1402</v>
      </c>
      <c r="U88" s="658" t="str">
        <f>+VLOOKUP($L88,Data_Validation!$A:$D,3,0)</f>
        <v>Bilan</v>
      </c>
      <c r="V88" s="658" t="str">
        <f>+VLOOKUP($L88,Data_Validation!$A:$D,4,0)</f>
        <v>Inventaire Véhicules Neufs</v>
      </c>
      <c r="W88" s="658" t="str">
        <f>+VLOOKUP($L88,Data_Validation!$A:$E,5,0)</f>
        <v>$</v>
      </c>
      <c r="X88" s="658">
        <f>+VLOOKUP($L88,Data_Validation!$A:$F,6,0)</f>
        <v>0</v>
      </c>
    </row>
    <row r="89" spans="1:24" ht="15" customHeight="1">
      <c r="A89" s="1190" t="s">
        <v>846</v>
      </c>
      <c r="B89" s="1190" t="s">
        <v>1489</v>
      </c>
      <c r="C89" s="1192">
        <v>-34625</v>
      </c>
      <c r="D89" s="1192">
        <v>-8925</v>
      </c>
      <c r="E89" s="1192">
        <v>-43550</v>
      </c>
      <c r="F89" s="1190" t="s">
        <v>818</v>
      </c>
      <c r="G89" s="1190" t="s">
        <v>843</v>
      </c>
      <c r="H89" s="1077"/>
      <c r="I89" s="1182"/>
      <c r="J89" s="1182"/>
      <c r="K89" s="1182"/>
      <c r="L89" s="655" t="str">
        <f t="shared" si="67"/>
        <v>1403</v>
      </c>
      <c r="M89" s="656" t="str">
        <f t="shared" si="0"/>
        <v>BRUISING VOLKS VEH. NEUFS</v>
      </c>
      <c r="N89" s="657">
        <f>+IF(OR($Q89=Parametres!$G$2,$Q89=Parametres!$G$3),I89,C89)</f>
        <v>-34625</v>
      </c>
      <c r="O89" s="661">
        <f>+IF(OR($Q89=Parametres!$G$2,$Q89=Parametres!$G$3),J89,D89)</f>
        <v>-8925</v>
      </c>
      <c r="P89" s="657">
        <f>+IF(OR($Q89=Parametres!$G$2,$Q89=Parametres!$G$3),K89,E89)</f>
        <v>-43550</v>
      </c>
      <c r="Q89" s="656" t="str">
        <f t="shared" ref="Q89:S89" si="90">+F89</f>
        <v>2-Actifs</v>
      </c>
      <c r="R89" s="655" t="str">
        <f t="shared" si="90"/>
        <v>1402</v>
      </c>
      <c r="S89" s="656">
        <f t="shared" si="90"/>
        <v>0</v>
      </c>
      <c r="T89" s="658" t="str">
        <f>+VLOOKUP($L89,Data_Validation!$A:$D,1,0)</f>
        <v>1403</v>
      </c>
      <c r="U89" s="658" t="str">
        <f>+VLOOKUP($L89,Data_Validation!$A:$D,3,0)</f>
        <v>Bilan</v>
      </c>
      <c r="V89" s="658" t="str">
        <f>+VLOOKUP($L89,Data_Validation!$A:$D,4,0)</f>
        <v>Inventaire Véhicules Neufs</v>
      </c>
      <c r="W89" s="658" t="str">
        <f>+VLOOKUP($L89,Data_Validation!$A:$E,5,0)</f>
        <v>$</v>
      </c>
      <c r="X89" s="658">
        <f>+VLOOKUP($L89,Data_Validation!$A:$F,6,0)</f>
        <v>0</v>
      </c>
    </row>
    <row r="90" spans="1:24" ht="15" customHeight="1">
      <c r="A90" s="1190" t="s">
        <v>847</v>
      </c>
      <c r="B90" s="1190" t="s">
        <v>848</v>
      </c>
      <c r="C90" s="1192">
        <v>-29998</v>
      </c>
      <c r="D90" s="1192">
        <v>2460</v>
      </c>
      <c r="E90" s="1192">
        <v>-27538</v>
      </c>
      <c r="F90" s="1190" t="s">
        <v>818</v>
      </c>
      <c r="G90" s="1190" t="s">
        <v>848</v>
      </c>
      <c r="H90" s="1077"/>
      <c r="I90" s="1182"/>
      <c r="J90" s="1182"/>
      <c r="K90" s="1182"/>
      <c r="L90" s="655" t="str">
        <f t="shared" si="67"/>
        <v>1413</v>
      </c>
      <c r="M90" s="656" t="str">
        <f t="shared" si="0"/>
        <v>BRUISING USED CAR</v>
      </c>
      <c r="N90" s="657">
        <f>+IF(OR($Q90=Parametres!$G$2,$Q90=Parametres!$G$3),I90,C90)</f>
        <v>-29998</v>
      </c>
      <c r="O90" s="657">
        <f>+IF(OR($Q90=Parametres!$G$2,$Q90=Parametres!$G$3),J90,D90)</f>
        <v>2460</v>
      </c>
      <c r="P90" s="664">
        <f>+IF(OR($Q90=Parametres!$G$2,$Q90=Parametres!$G$3),K90,E90)</f>
        <v>-27538</v>
      </c>
      <c r="Q90" s="656" t="str">
        <f t="shared" ref="Q90:S90" si="91">+F90</f>
        <v>2-Actifs</v>
      </c>
      <c r="R90" s="655" t="str">
        <f t="shared" si="91"/>
        <v>1413</v>
      </c>
      <c r="S90" s="656">
        <f t="shared" si="91"/>
        <v>0</v>
      </c>
      <c r="T90" s="658" t="str">
        <f>+VLOOKUP($L90,Data_Validation!$A:$D,1,0)</f>
        <v>1413</v>
      </c>
      <c r="U90" s="658" t="str">
        <f>+VLOOKUP($L90,Data_Validation!$A:$D,3,0)</f>
        <v>Bilan</v>
      </c>
      <c r="V90" s="658" t="str">
        <f>+VLOOKUP($L90,Data_Validation!$A:$D,4,0)</f>
        <v>Inventaire Véhicules Usagés</v>
      </c>
      <c r="W90" s="658" t="str">
        <f>+VLOOKUP($L90,Data_Validation!$A:$E,5,0)</f>
        <v>$</v>
      </c>
      <c r="X90" s="658">
        <f>+VLOOKUP($L90,Data_Validation!$A:$F,6,0)</f>
        <v>0</v>
      </c>
    </row>
    <row r="91" spans="1:24" ht="15" customHeight="1">
      <c r="A91" s="1190" t="s">
        <v>849</v>
      </c>
      <c r="B91" s="1190" t="s">
        <v>850</v>
      </c>
      <c r="C91" s="1192">
        <v>2515879.79</v>
      </c>
      <c r="D91" s="1192">
        <v>187096.08</v>
      </c>
      <c r="E91" s="1192">
        <v>2702975.87</v>
      </c>
      <c r="F91" s="1190" t="s">
        <v>818</v>
      </c>
      <c r="G91" s="1190" t="s">
        <v>850</v>
      </c>
      <c r="H91" s="1077"/>
      <c r="I91" s="1182"/>
      <c r="J91" s="1182"/>
      <c r="K91" s="1182"/>
      <c r="L91" s="655" t="str">
        <f t="shared" si="67"/>
        <v>1416</v>
      </c>
      <c r="M91" s="656" t="str">
        <f t="shared" si="0"/>
        <v>INV. VEH. USAGE VW</v>
      </c>
      <c r="N91" s="657">
        <f>+IF(OR($Q91=Parametres!$G$2,$Q91=Parametres!$G$3),I91,C91)</f>
        <v>2515879.79</v>
      </c>
      <c r="O91" s="657">
        <f>+IF(OR($Q91=Parametres!$G$2,$Q91=Parametres!$G$3),J91,D91)</f>
        <v>187096.08</v>
      </c>
      <c r="P91" s="664">
        <f>+IF(OR($Q91=Parametres!$G$2,$Q91=Parametres!$G$3),K91,E91)</f>
        <v>2702975.87</v>
      </c>
      <c r="Q91" s="656" t="str">
        <f t="shared" ref="Q91:S91" si="92">+F91</f>
        <v>2-Actifs</v>
      </c>
      <c r="R91" s="655" t="str">
        <f t="shared" si="92"/>
        <v>1416</v>
      </c>
      <c r="S91" s="656">
        <f t="shared" si="92"/>
        <v>0</v>
      </c>
      <c r="T91" s="658" t="str">
        <f>+VLOOKUP($L91,Data_Validation!$A:$D,1,0)</f>
        <v>1416</v>
      </c>
      <c r="U91" s="658" t="str">
        <f>+VLOOKUP($L91,Data_Validation!$A:$D,3,0)</f>
        <v>Bilan</v>
      </c>
      <c r="V91" s="658" t="str">
        <f>+VLOOKUP($L91,Data_Validation!$A:$D,4,0)</f>
        <v>Inventaire Véhicules Usagés</v>
      </c>
      <c r="W91" s="658" t="str">
        <f>+VLOOKUP($L91,Data_Validation!$A:$E,5,0)</f>
        <v>$</v>
      </c>
      <c r="X91" s="658">
        <f>+VLOOKUP($L91,Data_Validation!$A:$F,6,0)</f>
        <v>0</v>
      </c>
    </row>
    <row r="92" spans="1:24" ht="15" customHeight="1">
      <c r="A92" s="1190" t="s">
        <v>853</v>
      </c>
      <c r="B92" s="1190" t="s">
        <v>854</v>
      </c>
      <c r="C92" s="1192">
        <v>-6506.71</v>
      </c>
      <c r="D92" s="1192">
        <v>-2114.2199999999998</v>
      </c>
      <c r="E92" s="1192">
        <v>-8620.93</v>
      </c>
      <c r="F92" s="1190" t="s">
        <v>818</v>
      </c>
      <c r="G92" s="1190" t="s">
        <v>854</v>
      </c>
      <c r="H92" s="1077"/>
      <c r="I92" s="1182"/>
      <c r="J92" s="1182"/>
      <c r="K92" s="1182"/>
      <c r="L92" s="655" t="str">
        <f t="shared" si="67"/>
        <v>1423</v>
      </c>
      <c r="M92" s="656" t="str">
        <f t="shared" si="0"/>
        <v>RESERVE DEMO</v>
      </c>
      <c r="N92" s="657">
        <f>+IF(OR($Q92=Parametres!$G$2,$Q92=Parametres!$G$3),I92,C92)</f>
        <v>-6506.71</v>
      </c>
      <c r="O92" s="657">
        <f>+IF(OR($Q92=Parametres!$G$2,$Q92=Parametres!$G$3),J92,D92)</f>
        <v>-2114.2199999999998</v>
      </c>
      <c r="P92" s="664">
        <f>+IF(OR($Q92=Parametres!$G$2,$Q92=Parametres!$G$3),K92,E92)</f>
        <v>-8620.93</v>
      </c>
      <c r="Q92" s="656" t="str">
        <f t="shared" ref="Q92:S92" si="93">+F92</f>
        <v>2-Actifs</v>
      </c>
      <c r="R92" s="655" t="str">
        <f t="shared" si="93"/>
        <v>1423</v>
      </c>
      <c r="S92" s="656">
        <f t="shared" si="93"/>
        <v>0</v>
      </c>
      <c r="T92" s="658" t="str">
        <f>+VLOOKUP($L92,Data_Validation!$A:$D,1,0)</f>
        <v>1423</v>
      </c>
      <c r="U92" s="658" t="str">
        <f>+VLOOKUP($L92,Data_Validation!$A:$D,3,0)</f>
        <v>Bilan</v>
      </c>
      <c r="V92" s="658" t="str">
        <f>+VLOOKUP($L92,Data_Validation!$A:$D,4,0)</f>
        <v>Inventaire Véhicules Neufs</v>
      </c>
      <c r="W92" s="658" t="str">
        <f>+VLOOKUP($L92,Data_Validation!$A:$E,5,0)</f>
        <v>$</v>
      </c>
      <c r="X92" s="658">
        <f>+VLOOKUP($L92,Data_Validation!$A:$F,6,0)</f>
        <v>0</v>
      </c>
    </row>
    <row r="93" spans="1:24" ht="15" customHeight="1">
      <c r="A93" s="1190" t="s">
        <v>855</v>
      </c>
      <c r="B93" s="1190" t="s">
        <v>3370</v>
      </c>
      <c r="C93" s="1192">
        <v>-6266.09</v>
      </c>
      <c r="D93" s="1192">
        <v>-1521.18</v>
      </c>
      <c r="E93" s="1192">
        <v>-7787.27</v>
      </c>
      <c r="F93" s="1190" t="s">
        <v>818</v>
      </c>
      <c r="G93" s="1190" t="s">
        <v>856</v>
      </c>
      <c r="H93" s="1077"/>
      <c r="I93" s="1077"/>
      <c r="J93" s="1077"/>
      <c r="K93" s="1077"/>
      <c r="L93" s="655" t="str">
        <f t="shared" si="67"/>
        <v>1433</v>
      </c>
      <c r="M93" s="656" t="str">
        <f t="shared" si="0"/>
        <v>RESERVE COURTOISIE</v>
      </c>
      <c r="N93" s="657">
        <f>+IF(OR($Q93=Parametres!$G$2,$Q93=Parametres!$G$3),I93,C93)</f>
        <v>-6266.09</v>
      </c>
      <c r="O93" s="657">
        <f>+IF(OR($Q93=Parametres!$G$2,$Q93=Parametres!$G$3),J93,D93)</f>
        <v>-1521.18</v>
      </c>
      <c r="P93" s="664">
        <f>+IF(OR($Q93=Parametres!$G$2,$Q93=Parametres!$G$3),K93,E93)</f>
        <v>-7787.27</v>
      </c>
      <c r="Q93" s="656" t="str">
        <f t="shared" ref="Q93:S93" si="94">+F93</f>
        <v>2-Actifs</v>
      </c>
      <c r="R93" s="655" t="str">
        <f t="shared" si="94"/>
        <v>143</v>
      </c>
      <c r="S93" s="656">
        <f t="shared" si="94"/>
        <v>0</v>
      </c>
      <c r="T93" s="658" t="str">
        <f>+VLOOKUP($L93,Data_Validation!$A:$D,1,0)</f>
        <v>1433</v>
      </c>
      <c r="U93" s="658" t="str">
        <f>+VLOOKUP($L93,Data_Validation!$A:$D,3,0)</f>
        <v>Bilan</v>
      </c>
      <c r="V93" s="658" t="str">
        <f>+VLOOKUP($L93,Data_Validation!$A:$D,4,0)</f>
        <v>Inventaire Véhicules Neufs</v>
      </c>
      <c r="W93" s="658" t="str">
        <f>+VLOOKUP($L93,Data_Validation!$A:$E,5,0)</f>
        <v>$</v>
      </c>
      <c r="X93" s="658">
        <f>+VLOOKUP($L93,Data_Validation!$A:$F,6,0)</f>
        <v>0</v>
      </c>
    </row>
    <row r="94" spans="1:24" ht="15.75" customHeight="1">
      <c r="A94" s="1190" t="s">
        <v>857</v>
      </c>
      <c r="B94" s="1190" t="s">
        <v>858</v>
      </c>
      <c r="C94" s="1192">
        <v>153202.14000000001</v>
      </c>
      <c r="D94" s="1192">
        <v>372179.86</v>
      </c>
      <c r="E94" s="1192">
        <v>525382</v>
      </c>
      <c r="F94" s="1190" t="s">
        <v>818</v>
      </c>
      <c r="G94" s="1190" t="s">
        <v>858</v>
      </c>
      <c r="H94" s="1077"/>
      <c r="I94" s="1077"/>
      <c r="J94" s="1077"/>
      <c r="K94" s="1077"/>
      <c r="L94" s="655" t="str">
        <f t="shared" si="67"/>
        <v>1442</v>
      </c>
      <c r="M94" s="656" t="str">
        <f t="shared" si="0"/>
        <v>PIECES &amp; ACCESSOIRES NEUFS</v>
      </c>
      <c r="N94" s="657">
        <f>+IF(OR($Q94=Parametres!$G$2,$Q94=Parametres!$G$3),I94,C94)</f>
        <v>153202.14000000001</v>
      </c>
      <c r="O94" s="657">
        <f>+IF(OR($Q94=Parametres!$G$2,$Q94=Parametres!$G$3),J94,D94)</f>
        <v>372179.86</v>
      </c>
      <c r="P94" s="657">
        <f>+IF(OR($Q94=Parametres!$G$2,$Q94=Parametres!$G$3),K94,E94)</f>
        <v>525382</v>
      </c>
      <c r="Q94" s="656" t="str">
        <f t="shared" ref="Q94:S94" si="95">+F94</f>
        <v>2-Actifs</v>
      </c>
      <c r="R94" s="655" t="str">
        <f t="shared" si="95"/>
        <v>1442</v>
      </c>
      <c r="S94" s="656">
        <f t="shared" si="95"/>
        <v>0</v>
      </c>
      <c r="T94" s="658" t="str">
        <f>+VLOOKUP($L94,Data_Validation!$A:$D,1,0)</f>
        <v>1442</v>
      </c>
      <c r="U94" s="658" t="str">
        <f>+VLOOKUP($L94,Data_Validation!$A:$D,3,0)</f>
        <v>Bilan</v>
      </c>
      <c r="V94" s="658" t="str">
        <f>+VLOOKUP($L94,Data_Validation!$A:$D,4,0)</f>
        <v>Inventaire Pièces, Pneus, Huile</v>
      </c>
      <c r="W94" s="658" t="str">
        <f>+VLOOKUP($L94,Data_Validation!$A:$E,5,0)</f>
        <v>$</v>
      </c>
      <c r="X94" s="658">
        <f>+VLOOKUP($L94,Data_Validation!$A:$F,6,0)</f>
        <v>0</v>
      </c>
    </row>
    <row r="95" spans="1:24" ht="15" customHeight="1">
      <c r="A95" s="1190" t="s">
        <v>859</v>
      </c>
      <c r="B95" s="1190" t="s">
        <v>3371</v>
      </c>
      <c r="C95" s="1192">
        <v>-421343.01</v>
      </c>
      <c r="D95" s="1192">
        <v>430234.01</v>
      </c>
      <c r="E95" s="1192">
        <v>8891</v>
      </c>
      <c r="F95" s="1190" t="s">
        <v>818</v>
      </c>
      <c r="G95" s="1190" t="s">
        <v>858</v>
      </c>
      <c r="H95" s="1077"/>
      <c r="I95" s="1077"/>
      <c r="J95" s="1077"/>
      <c r="K95" s="1077"/>
      <c r="L95" s="655" t="str">
        <f t="shared" si="67"/>
        <v>1448</v>
      </c>
      <c r="M95" s="656" t="str">
        <f t="shared" si="0"/>
        <v>AUTRES MARQUES P&amp;A</v>
      </c>
      <c r="N95" s="657">
        <f>+IF(OR($Q95=Parametres!$G$2,$Q95=Parametres!$G$3),I95,C95)</f>
        <v>-421343.01</v>
      </c>
      <c r="O95" s="657">
        <f>+IF(OR($Q95=Parametres!$G$2,$Q95=Parametres!$G$3),J95,D95)</f>
        <v>430234.01</v>
      </c>
      <c r="P95" s="657">
        <f>+IF(OR($Q95=Parametres!$G$2,$Q95=Parametres!$G$3),K95,E95)</f>
        <v>8891</v>
      </c>
      <c r="Q95" s="656" t="str">
        <f t="shared" ref="Q95:S95" si="96">+F95</f>
        <v>2-Actifs</v>
      </c>
      <c r="R95" s="655" t="str">
        <f t="shared" si="96"/>
        <v>1442</v>
      </c>
      <c r="S95" s="656">
        <f t="shared" si="96"/>
        <v>0</v>
      </c>
      <c r="T95" s="658" t="str">
        <f>+VLOOKUP($L95,Data_Validation!$A:$D,1,0)</f>
        <v>1448</v>
      </c>
      <c r="U95" s="658" t="str">
        <f>+VLOOKUP($L95,Data_Validation!$A:$D,3,0)</f>
        <v>Bilan</v>
      </c>
      <c r="V95" s="658" t="str">
        <f>+VLOOKUP($L95,Data_Validation!$A:$D,4,0)</f>
        <v>Inventaire Pièces, Pneus, Huile</v>
      </c>
      <c r="W95" s="658" t="str">
        <f>+VLOOKUP($L95,Data_Validation!$A:$E,5,0)</f>
        <v>$</v>
      </c>
      <c r="X95" s="658">
        <f>+VLOOKUP($L95,Data_Validation!$A:$F,6,0)</f>
        <v>0</v>
      </c>
    </row>
    <row r="96" spans="1:24" ht="15" customHeight="1">
      <c r="A96" s="1190" t="s">
        <v>860</v>
      </c>
      <c r="B96" s="1190" t="s">
        <v>1500</v>
      </c>
      <c r="C96" s="1192">
        <v>815210.85</v>
      </c>
      <c r="D96" s="1192">
        <v>-689854.85</v>
      </c>
      <c r="E96" s="1192">
        <v>125356</v>
      </c>
      <c r="F96" s="1190" t="s">
        <v>818</v>
      </c>
      <c r="G96" s="1190" t="s">
        <v>858</v>
      </c>
      <c r="H96" s="1077"/>
      <c r="I96" s="1077"/>
      <c r="J96" s="1077"/>
      <c r="K96" s="1077"/>
      <c r="L96" s="655" t="str">
        <f t="shared" si="67"/>
        <v>1452</v>
      </c>
      <c r="M96" s="656" t="str">
        <f t="shared" si="0"/>
        <v>PNEUS</v>
      </c>
      <c r="N96" s="657">
        <f>+IF(OR($Q96=Parametres!$G$2,$Q96=Parametres!$G$3),I96,C96)</f>
        <v>815210.85</v>
      </c>
      <c r="O96" s="657">
        <f>+IF(OR($Q96=Parametres!$G$2,$Q96=Parametres!$G$3),J96,D96)</f>
        <v>-689854.85</v>
      </c>
      <c r="P96" s="664">
        <f>+IF(OR($Q96=Parametres!$G$2,$Q96=Parametres!$G$3),K96,E96)</f>
        <v>125356</v>
      </c>
      <c r="Q96" s="656" t="str">
        <f t="shared" ref="Q96:S96" si="97">+F96</f>
        <v>2-Actifs</v>
      </c>
      <c r="R96" s="655" t="str">
        <f t="shared" si="97"/>
        <v>1442</v>
      </c>
      <c r="S96" s="656">
        <f t="shared" si="97"/>
        <v>0</v>
      </c>
      <c r="T96" s="658" t="str">
        <f>+VLOOKUP($L96,Data_Validation!$A:$D,1,0)</f>
        <v>1452</v>
      </c>
      <c r="U96" s="658" t="str">
        <f>+VLOOKUP($L96,Data_Validation!$A:$D,3,0)</f>
        <v>Bilan</v>
      </c>
      <c r="V96" s="658" t="str">
        <f>+VLOOKUP($L96,Data_Validation!$A:$D,4,0)</f>
        <v>Inventaire Pièces, Pneus, Huile</v>
      </c>
      <c r="W96" s="658" t="str">
        <f>+VLOOKUP($L96,Data_Validation!$A:$E,5,0)</f>
        <v>$</v>
      </c>
      <c r="X96" s="658">
        <f>+VLOOKUP($L96,Data_Validation!$A:$F,6,0)</f>
        <v>0</v>
      </c>
    </row>
    <row r="97" spans="1:24" ht="15" customHeight="1">
      <c r="A97" s="1190" t="s">
        <v>861</v>
      </c>
      <c r="B97" s="1190" t="s">
        <v>862</v>
      </c>
      <c r="C97" s="1192">
        <v>198480.71</v>
      </c>
      <c r="D97" s="1192">
        <v>-198480.71</v>
      </c>
      <c r="E97" s="1192">
        <v>0</v>
      </c>
      <c r="F97" s="1190" t="s">
        <v>818</v>
      </c>
      <c r="G97" s="1190" t="s">
        <v>862</v>
      </c>
      <c r="H97" s="653"/>
      <c r="I97" s="653"/>
      <c r="J97" s="653"/>
      <c r="K97" s="653"/>
      <c r="L97" s="655" t="str">
        <f t="shared" si="67"/>
        <v>1456</v>
      </c>
      <c r="M97" s="656" t="str">
        <f t="shared" si="0"/>
        <v>PIECES VW NON ORIGINE</v>
      </c>
      <c r="N97" s="657">
        <f>+IF(OR($Q97=Parametres!$G$2,$Q97=Parametres!$G$3),I97,C97)</f>
        <v>198480.71</v>
      </c>
      <c r="O97" s="661">
        <f>+IF(OR($Q97=Parametres!$G$2,$Q97=Parametres!$G$3),J97,D97)</f>
        <v>-198480.71</v>
      </c>
      <c r="P97" s="657">
        <f>+IF(OR($Q97=Parametres!$G$2,$Q97=Parametres!$G$3),K97,E97)</f>
        <v>0</v>
      </c>
      <c r="Q97" s="656" t="str">
        <f t="shared" ref="Q97:S97" si="98">+F97</f>
        <v>2-Actifs</v>
      </c>
      <c r="R97" s="655" t="str">
        <f t="shared" si="98"/>
        <v>1456</v>
      </c>
      <c r="S97" s="656">
        <f t="shared" si="98"/>
        <v>0</v>
      </c>
      <c r="T97" s="658" t="str">
        <f>+VLOOKUP($L97,Data_Validation!$A:$D,1,0)</f>
        <v>1456</v>
      </c>
      <c r="U97" s="658" t="str">
        <f>+VLOOKUP($L97,Data_Validation!$A:$D,3,0)</f>
        <v>Bilan</v>
      </c>
      <c r="V97" s="658" t="str">
        <f>+VLOOKUP($L97,Data_Validation!$A:$D,4,0)</f>
        <v>Inventaire Pièces, Pneus, Huile</v>
      </c>
      <c r="W97" s="658" t="str">
        <f>+VLOOKUP($L97,Data_Validation!$A:$E,5,0)</f>
        <v>$</v>
      </c>
      <c r="X97" s="658">
        <f>+VLOOKUP($L97,Data_Validation!$A:$F,6,0)</f>
        <v>0</v>
      </c>
    </row>
    <row r="98" spans="1:24" ht="15" customHeight="1">
      <c r="A98" s="1190" t="s">
        <v>863</v>
      </c>
      <c r="B98" s="1190" t="s">
        <v>864</v>
      </c>
      <c r="C98" s="1192">
        <v>11577.6</v>
      </c>
      <c r="D98" s="1192">
        <v>373.57</v>
      </c>
      <c r="E98" s="1192">
        <v>11951.17</v>
      </c>
      <c r="F98" s="1190" t="s">
        <v>818</v>
      </c>
      <c r="G98" s="1190" t="s">
        <v>864</v>
      </c>
      <c r="H98" s="653"/>
      <c r="I98" s="653"/>
      <c r="J98" s="653"/>
      <c r="K98" s="653"/>
      <c r="L98" s="655" t="str">
        <f t="shared" si="67"/>
        <v>1472</v>
      </c>
      <c r="M98" s="656" t="str">
        <f t="shared" si="0"/>
        <v>WIP M-O VW</v>
      </c>
      <c r="N98" s="657">
        <f>+IF(OR($Q98=Parametres!$G$2,$Q98=Parametres!$G$3),I98,C98)</f>
        <v>11577.6</v>
      </c>
      <c r="O98" s="661">
        <f>+IF(OR($Q98=Parametres!$G$2,$Q98=Parametres!$G$3),J98,D98)</f>
        <v>373.57</v>
      </c>
      <c r="P98" s="657">
        <f>+IF(OR($Q98=Parametres!$G$2,$Q98=Parametres!$G$3),K98,E98)</f>
        <v>11951.17</v>
      </c>
      <c r="Q98" s="656" t="str">
        <f t="shared" ref="Q98:S98" si="99">+F98</f>
        <v>2-Actifs</v>
      </c>
      <c r="R98" s="655" t="str">
        <f t="shared" si="99"/>
        <v>1472</v>
      </c>
      <c r="S98" s="656">
        <f t="shared" si="99"/>
        <v>0</v>
      </c>
      <c r="T98" s="658" t="str">
        <f>+VLOOKUP($L98,Data_Validation!$A:$D,1,0)</f>
        <v>1472</v>
      </c>
      <c r="U98" s="658" t="str">
        <f>+VLOOKUP($L98,Data_Validation!$A:$D,3,0)</f>
        <v>Bilan</v>
      </c>
      <c r="V98" s="658" t="str">
        <f>+VLOOKUP($L98,Data_Validation!$A:$D,4,0)</f>
        <v>Travaux en Cours</v>
      </c>
      <c r="W98" s="658" t="str">
        <f>+VLOOKUP($L98,Data_Validation!$A:$E,5,0)</f>
        <v>$</v>
      </c>
      <c r="X98" s="658">
        <f>+VLOOKUP($L98,Data_Validation!$A:$F,6,0)</f>
        <v>0</v>
      </c>
    </row>
    <row r="99" spans="1:24" ht="15.75" customHeight="1">
      <c r="A99" s="1190" t="s">
        <v>865</v>
      </c>
      <c r="B99" s="1190" t="s">
        <v>1507</v>
      </c>
      <c r="C99" s="1192">
        <v>-14281.1</v>
      </c>
      <c r="D99" s="1192">
        <v>-8472.48</v>
      </c>
      <c r="E99" s="1192">
        <v>-22753.58</v>
      </c>
      <c r="F99" s="1190" t="s">
        <v>818</v>
      </c>
      <c r="G99" s="1190" t="s">
        <v>864</v>
      </c>
      <c r="H99" s="653"/>
      <c r="I99" s="653"/>
      <c r="J99" s="653"/>
      <c r="K99" s="653"/>
      <c r="L99" s="655" t="str">
        <f t="shared" si="67"/>
        <v>1474</v>
      </c>
      <c r="M99" s="656" t="str">
        <f t="shared" si="0"/>
        <v>INVENTAIRE SOUS-TRAITANTS</v>
      </c>
      <c r="N99" s="657">
        <f>+IF(OR($Q99=Parametres!$G$2,$Q99=Parametres!$G$3),I99,C99)</f>
        <v>-14281.1</v>
      </c>
      <c r="O99" s="661">
        <f>+IF(OR($Q99=Parametres!$G$2,$Q99=Parametres!$G$3),J99,D99)</f>
        <v>-8472.48</v>
      </c>
      <c r="P99" s="657">
        <f>+IF(OR($Q99=Parametres!$G$2,$Q99=Parametres!$G$3),K99,E99)</f>
        <v>-22753.58</v>
      </c>
      <c r="Q99" s="656" t="str">
        <f t="shared" ref="Q99:S99" si="100">+F99</f>
        <v>2-Actifs</v>
      </c>
      <c r="R99" s="655" t="str">
        <f t="shared" si="100"/>
        <v>1472</v>
      </c>
      <c r="S99" s="656">
        <f t="shared" si="100"/>
        <v>0</v>
      </c>
      <c r="T99" s="658" t="str">
        <f>+VLOOKUP($L99,Data_Validation!$A:$D,1,0)</f>
        <v>1474</v>
      </c>
      <c r="U99" s="658" t="str">
        <f>+VLOOKUP($L99,Data_Validation!$A:$D,3,0)</f>
        <v>Bilan</v>
      </c>
      <c r="V99" s="658" t="str">
        <f>+VLOOKUP($L99,Data_Validation!$A:$D,4,0)</f>
        <v>Sous-Traitance</v>
      </c>
      <c r="W99" s="658" t="str">
        <f>+VLOOKUP($L99,Data_Validation!$A:$E,5,0)</f>
        <v>$</v>
      </c>
      <c r="X99" s="658">
        <f>+VLOOKUP($L99,Data_Validation!$A:$F,6,0)</f>
        <v>0</v>
      </c>
    </row>
    <row r="100" spans="1:24" ht="15" customHeight="1">
      <c r="A100" s="1190" t="s">
        <v>866</v>
      </c>
      <c r="B100" s="1190" t="s">
        <v>1510</v>
      </c>
      <c r="C100" s="1192">
        <v>-43045.17</v>
      </c>
      <c r="D100" s="1192">
        <v>69895.17</v>
      </c>
      <c r="E100" s="1192">
        <v>26850</v>
      </c>
      <c r="F100" s="1190" t="s">
        <v>818</v>
      </c>
      <c r="G100" s="1190" t="s">
        <v>858</v>
      </c>
      <c r="H100" s="653"/>
      <c r="I100" s="654"/>
      <c r="J100" s="654"/>
      <c r="K100" s="654"/>
      <c r="L100" s="655" t="str">
        <f t="shared" si="67"/>
        <v>1492</v>
      </c>
      <c r="M100" s="656" t="str">
        <f t="shared" si="0"/>
        <v>CARBURANT, HUILE, GRAISSE</v>
      </c>
      <c r="N100" s="657">
        <f>+IF(OR($Q100=Parametres!$G$2,$Q100=Parametres!$G$3),I100,C100)</f>
        <v>-43045.17</v>
      </c>
      <c r="O100" s="661">
        <f>+IF(OR($Q100=Parametres!$G$2,$Q100=Parametres!$G$3),J100,D100)</f>
        <v>69895.17</v>
      </c>
      <c r="P100" s="657">
        <f>+IF(OR($Q100=Parametres!$G$2,$Q100=Parametres!$G$3),K100,E100)</f>
        <v>26850</v>
      </c>
      <c r="Q100" s="656" t="str">
        <f t="shared" ref="Q100:S100" si="101">+F100</f>
        <v>2-Actifs</v>
      </c>
      <c r="R100" s="655" t="str">
        <f t="shared" si="101"/>
        <v>1442</v>
      </c>
      <c r="S100" s="656">
        <f t="shared" si="101"/>
        <v>0</v>
      </c>
      <c r="T100" s="658" t="str">
        <f>+VLOOKUP($L100,Data_Validation!$A:$D,1,0)</f>
        <v>1492</v>
      </c>
      <c r="U100" s="658" t="str">
        <f>+VLOOKUP($L100,Data_Validation!$A:$D,3,0)</f>
        <v>Bilan</v>
      </c>
      <c r="V100" s="658" t="str">
        <f>+VLOOKUP($L100,Data_Validation!$A:$D,4,0)</f>
        <v>Inventaire Pièces, Pneus, Huile</v>
      </c>
      <c r="W100" s="658" t="str">
        <f>+VLOOKUP($L100,Data_Validation!$A:$E,5,0)</f>
        <v>$</v>
      </c>
      <c r="X100" s="658">
        <f>+VLOOKUP($L100,Data_Validation!$A:$F,6,0)</f>
        <v>0</v>
      </c>
    </row>
    <row r="101" spans="1:24" ht="15" customHeight="1">
      <c r="A101" s="1190" t="s">
        <v>867</v>
      </c>
      <c r="B101" s="1190" t="s">
        <v>868</v>
      </c>
      <c r="C101" s="1192">
        <v>614.1</v>
      </c>
      <c r="D101" s="1192">
        <v>-614.1</v>
      </c>
      <c r="E101" s="1192">
        <v>0</v>
      </c>
      <c r="F101" s="1190" t="s">
        <v>818</v>
      </c>
      <c r="G101" s="1190" t="s">
        <v>868</v>
      </c>
      <c r="H101" s="653"/>
      <c r="I101" s="654"/>
      <c r="J101" s="654"/>
      <c r="K101" s="654"/>
      <c r="L101" s="655" t="str">
        <f t="shared" si="67"/>
        <v>1498</v>
      </c>
      <c r="M101" s="656" t="str">
        <f t="shared" si="0"/>
        <v>AUTRES INVENTAIRES</v>
      </c>
      <c r="N101" s="657">
        <f>+IF(OR($Q101=Parametres!$G$2,$Q101=Parametres!$G$3),I101,C101)</f>
        <v>614.1</v>
      </c>
      <c r="O101" s="657">
        <f>+IF(OR($Q101=Parametres!$G$2,$Q101=Parametres!$G$3),J101,D101)</f>
        <v>-614.1</v>
      </c>
      <c r="P101" s="657">
        <f>+IF(OR($Q101=Parametres!$G$2,$Q101=Parametres!$G$3),K101,E101)</f>
        <v>0</v>
      </c>
      <c r="Q101" s="656" t="str">
        <f t="shared" ref="Q101:S101" si="102">+F101</f>
        <v>2-Actifs</v>
      </c>
      <c r="R101" s="655" t="str">
        <f t="shared" si="102"/>
        <v>1498</v>
      </c>
      <c r="S101" s="656">
        <f t="shared" si="102"/>
        <v>0</v>
      </c>
      <c r="T101" s="658" t="str">
        <f>+VLOOKUP($L101,Data_Validation!$A:$D,1,0)</f>
        <v>1498</v>
      </c>
      <c r="U101" s="658" t="str">
        <f>+VLOOKUP($L101,Data_Validation!$A:$D,3,0)</f>
        <v>Bilan</v>
      </c>
      <c r="V101" s="658" t="str">
        <f>+VLOOKUP($L101,Data_Validation!$A:$D,4,0)</f>
        <v>Inventaire Pièces, Pneus, Huile</v>
      </c>
      <c r="W101" s="658" t="str">
        <f>+VLOOKUP($L101,Data_Validation!$A:$E,5,0)</f>
        <v>$</v>
      </c>
      <c r="X101" s="658">
        <f>+VLOOKUP($L101,Data_Validation!$A:$F,6,0)</f>
        <v>0</v>
      </c>
    </row>
    <row r="102" spans="1:24" ht="15" customHeight="1">
      <c r="A102" s="1190" t="s">
        <v>869</v>
      </c>
      <c r="B102" s="1190" t="s">
        <v>1515</v>
      </c>
      <c r="C102" s="1192">
        <v>159.9</v>
      </c>
      <c r="D102" s="1192">
        <v>0</v>
      </c>
      <c r="E102" s="1192">
        <v>159.9</v>
      </c>
      <c r="F102" s="1190" t="s">
        <v>818</v>
      </c>
      <c r="G102" s="1190" t="s">
        <v>870</v>
      </c>
      <c r="H102" s="653"/>
      <c r="I102" s="653"/>
      <c r="J102" s="653"/>
      <c r="K102" s="653"/>
      <c r="L102" s="655" t="str">
        <f t="shared" si="67"/>
        <v>1502</v>
      </c>
      <c r="M102" s="656" t="str">
        <f t="shared" si="0"/>
        <v>FPA PUB.VEHICULES NEUFS</v>
      </c>
      <c r="N102" s="657">
        <f>+IF(OR($Q102=Parametres!$G$2,$Q102=Parametres!$G$3),I102,C102)</f>
        <v>159.9</v>
      </c>
      <c r="O102" s="657">
        <f>+IF(OR($Q102=Parametres!$G$2,$Q102=Parametres!$G$3),J102,D102)</f>
        <v>0</v>
      </c>
      <c r="P102" s="657">
        <f>+IF(OR($Q102=Parametres!$G$2,$Q102=Parametres!$G$3),K102,E102)</f>
        <v>159.9</v>
      </c>
      <c r="Q102" s="656" t="str">
        <f t="shared" ref="Q102:S102" si="103">+F102</f>
        <v>2-Actifs</v>
      </c>
      <c r="R102" s="655" t="str">
        <f t="shared" si="103"/>
        <v>1500</v>
      </c>
      <c r="S102" s="656">
        <f t="shared" si="103"/>
        <v>0</v>
      </c>
      <c r="T102" s="658" t="str">
        <f>+VLOOKUP($L102,Data_Validation!$A:$D,1,0)</f>
        <v>1502</v>
      </c>
      <c r="U102" s="658" t="str">
        <f>+VLOOKUP($L102,Data_Validation!$A:$D,3,0)</f>
        <v>Bilan</v>
      </c>
      <c r="V102" s="658" t="str">
        <f>+VLOOKUP($L102,Data_Validation!$A:$D,4,0)</f>
        <v>Frais Payés d'Avance</v>
      </c>
      <c r="W102" s="658" t="str">
        <f>+VLOOKUP($L102,Data_Validation!$A:$E,5,0)</f>
        <v>$</v>
      </c>
      <c r="X102" s="658">
        <f>+VLOOKUP($L102,Data_Validation!$A:$F,6,0)</f>
        <v>0</v>
      </c>
    </row>
    <row r="103" spans="1:24" ht="15.75" customHeight="1">
      <c r="A103" s="1190" t="s">
        <v>872</v>
      </c>
      <c r="B103" s="1190" t="s">
        <v>1521</v>
      </c>
      <c r="C103" s="1192">
        <v>-4.55</v>
      </c>
      <c r="D103" s="1192">
        <v>-5913.12</v>
      </c>
      <c r="E103" s="1192">
        <v>-5917.67</v>
      </c>
      <c r="F103" s="1190" t="s">
        <v>818</v>
      </c>
      <c r="G103" s="1190" t="s">
        <v>870</v>
      </c>
      <c r="H103" s="653"/>
      <c r="I103" s="653"/>
      <c r="J103" s="653"/>
      <c r="K103" s="653"/>
      <c r="L103" s="655" t="str">
        <f t="shared" si="67"/>
        <v>1506</v>
      </c>
      <c r="M103" s="656" t="str">
        <f t="shared" si="0"/>
        <v>FPA PUBLICITE SERVICE</v>
      </c>
      <c r="N103" s="657">
        <f>+IF(OR($Q103=Parametres!$G$2,$Q103=Parametres!$G$3),I103,C103)</f>
        <v>-4.55</v>
      </c>
      <c r="O103" s="657">
        <f>+IF(OR($Q103=Parametres!$G$2,$Q103=Parametres!$G$3),J103,D103)</f>
        <v>-5913.12</v>
      </c>
      <c r="P103" s="657">
        <f>+IF(OR($Q103=Parametres!$G$2,$Q103=Parametres!$G$3),K103,E103)</f>
        <v>-5917.67</v>
      </c>
      <c r="Q103" s="656" t="str">
        <f t="shared" ref="Q103:S103" si="104">+F103</f>
        <v>2-Actifs</v>
      </c>
      <c r="R103" s="655" t="str">
        <f t="shared" si="104"/>
        <v>1500</v>
      </c>
      <c r="S103" s="656">
        <f t="shared" si="104"/>
        <v>0</v>
      </c>
      <c r="T103" s="658" t="str">
        <f>+VLOOKUP($L103,Data_Validation!$A:$D,1,0)</f>
        <v>1506</v>
      </c>
      <c r="U103" s="658" t="str">
        <f>+VLOOKUP($L103,Data_Validation!$A:$D,3,0)</f>
        <v>Bilan</v>
      </c>
      <c r="V103" s="658" t="str">
        <f>+VLOOKUP($L103,Data_Validation!$A:$D,4,0)</f>
        <v>Frais Payés d'Avance</v>
      </c>
      <c r="W103" s="658" t="str">
        <f>+VLOOKUP($L103,Data_Validation!$A:$E,5,0)</f>
        <v>$</v>
      </c>
      <c r="X103" s="658">
        <f>+VLOOKUP($L103,Data_Validation!$A:$F,6,0)</f>
        <v>0</v>
      </c>
    </row>
    <row r="104" spans="1:24" ht="15" customHeight="1">
      <c r="A104" s="1190" t="s">
        <v>873</v>
      </c>
      <c r="B104" s="1190" t="s">
        <v>1527</v>
      </c>
      <c r="C104" s="1192">
        <v>2960.9</v>
      </c>
      <c r="D104" s="1192">
        <v>0</v>
      </c>
      <c r="E104" s="1192">
        <v>2960.9</v>
      </c>
      <c r="F104" s="1190" t="s">
        <v>818</v>
      </c>
      <c r="G104" s="1190" t="s">
        <v>870</v>
      </c>
      <c r="H104" s="653"/>
      <c r="I104" s="653"/>
      <c r="J104" s="653"/>
      <c r="K104" s="653"/>
      <c r="L104" s="655" t="str">
        <f t="shared" si="67"/>
        <v>1510</v>
      </c>
      <c r="M104" s="656" t="str">
        <f t="shared" si="0"/>
        <v>DIAMOND KOTE (NANO)</v>
      </c>
      <c r="N104" s="657">
        <f>+IF(OR($Q104=Parametres!$G$2,$Q104=Parametres!$G$3),I104,C104)</f>
        <v>2960.9</v>
      </c>
      <c r="O104" s="657">
        <f>+IF(OR($Q104=Parametres!$G$2,$Q104=Parametres!$G$3),J104,D104)</f>
        <v>0</v>
      </c>
      <c r="P104" s="657">
        <f>+IF(OR($Q104=Parametres!$G$2,$Q104=Parametres!$G$3),K104,E104)</f>
        <v>2960.9</v>
      </c>
      <c r="Q104" s="656" t="str">
        <f t="shared" ref="Q104:S104" si="105">+F104</f>
        <v>2-Actifs</v>
      </c>
      <c r="R104" s="655" t="str">
        <f t="shared" si="105"/>
        <v>1500</v>
      </c>
      <c r="S104" s="656">
        <f t="shared" si="105"/>
        <v>0</v>
      </c>
      <c r="T104" s="658" t="str">
        <f>+VLOOKUP($L104,Data_Validation!$A:$D,1,0)</f>
        <v>1510</v>
      </c>
      <c r="U104" s="658" t="str">
        <f>+VLOOKUP($L104,Data_Validation!$A:$D,3,0)</f>
        <v>Bilan</v>
      </c>
      <c r="V104" s="658" t="str">
        <f>+VLOOKUP($L104,Data_Validation!$A:$D,4,0)</f>
        <v>Frais Payés d'Avance</v>
      </c>
      <c r="W104" s="658" t="str">
        <f>+VLOOKUP($L104,Data_Validation!$A:$E,5,0)</f>
        <v>$</v>
      </c>
      <c r="X104" s="658">
        <f>+VLOOKUP($L104,Data_Validation!$A:$F,6,0)</f>
        <v>0</v>
      </c>
    </row>
    <row r="105" spans="1:24" ht="15" customHeight="1">
      <c r="A105" s="1190" t="s">
        <v>874</v>
      </c>
      <c r="B105" s="1190" t="s">
        <v>1530</v>
      </c>
      <c r="C105" s="1192">
        <v>8904.08</v>
      </c>
      <c r="D105" s="1192">
        <v>-513.84</v>
      </c>
      <c r="E105" s="1192">
        <v>8390.24</v>
      </c>
      <c r="F105" s="1190" t="s">
        <v>818</v>
      </c>
      <c r="G105" s="1190" t="s">
        <v>870</v>
      </c>
      <c r="H105" s="653"/>
      <c r="I105" s="653"/>
      <c r="J105" s="653"/>
      <c r="K105" s="653"/>
      <c r="L105" s="655" t="str">
        <f t="shared" si="67"/>
        <v>1520</v>
      </c>
      <c r="M105" s="656" t="str">
        <f t="shared" si="0"/>
        <v>FPA IMMATRICULATION</v>
      </c>
      <c r="N105" s="657">
        <f>+IF(OR($Q105=Parametres!$G$2,$Q105=Parametres!$G$3),I105,C105)</f>
        <v>8904.08</v>
      </c>
      <c r="O105" s="657">
        <f>+IF(OR($Q105=Parametres!$G$2,$Q105=Parametres!$G$3),J105,D105)</f>
        <v>-513.84</v>
      </c>
      <c r="P105" s="657">
        <f>+IF(OR($Q105=Parametres!$G$2,$Q105=Parametres!$G$3),K105,E105)</f>
        <v>8390.24</v>
      </c>
      <c r="Q105" s="656" t="str">
        <f t="shared" ref="Q105:S105" si="106">+F105</f>
        <v>2-Actifs</v>
      </c>
      <c r="R105" s="655" t="str">
        <f t="shared" si="106"/>
        <v>1500</v>
      </c>
      <c r="S105" s="656">
        <f t="shared" si="106"/>
        <v>0</v>
      </c>
      <c r="T105" s="658" t="str">
        <f>+VLOOKUP($L105,Data_Validation!$A:$D,1,0)</f>
        <v>1520</v>
      </c>
      <c r="U105" s="658" t="str">
        <f>+VLOOKUP($L105,Data_Validation!$A:$D,3,0)</f>
        <v>Bilan</v>
      </c>
      <c r="V105" s="658" t="str">
        <f>+VLOOKUP($L105,Data_Validation!$A:$D,4,0)</f>
        <v>Frais Payés d'Avance</v>
      </c>
      <c r="W105" s="658" t="str">
        <f>+VLOOKUP($L105,Data_Validation!$A:$E,5,0)</f>
        <v>$</v>
      </c>
      <c r="X105" s="658">
        <f>+VLOOKUP($L105,Data_Validation!$A:$F,6,0)</f>
        <v>0</v>
      </c>
    </row>
    <row r="106" spans="1:24" ht="15" customHeight="1">
      <c r="A106" s="1190" t="s">
        <v>875</v>
      </c>
      <c r="B106" s="1190" t="s">
        <v>1542</v>
      </c>
      <c r="C106" s="1192">
        <v>2441</v>
      </c>
      <c r="D106" s="1192">
        <v>0</v>
      </c>
      <c r="E106" s="1192">
        <v>2441</v>
      </c>
      <c r="F106" s="1190" t="s">
        <v>818</v>
      </c>
      <c r="G106" s="1190" t="s">
        <v>870</v>
      </c>
      <c r="H106" s="653"/>
      <c r="I106" s="653"/>
      <c r="J106" s="653"/>
      <c r="K106" s="653"/>
      <c r="L106" s="655" t="str">
        <f t="shared" si="67"/>
        <v>1532</v>
      </c>
      <c r="M106" s="656" t="str">
        <f t="shared" si="0"/>
        <v>FPA C.C.A.M.Q.</v>
      </c>
      <c r="N106" s="657">
        <f>+IF(OR($Q106=Parametres!$G$2,$Q106=Parametres!$G$3),I106,C106)</f>
        <v>2441</v>
      </c>
      <c r="O106" s="657">
        <f>+IF(OR($Q106=Parametres!$G$2,$Q106=Parametres!$G$3),J106,D106)</f>
        <v>0</v>
      </c>
      <c r="P106" s="657">
        <f>+IF(OR($Q106=Parametres!$G$2,$Q106=Parametres!$G$3),K106,E106)</f>
        <v>2441</v>
      </c>
      <c r="Q106" s="656" t="str">
        <f t="shared" ref="Q106:S106" si="107">+F106</f>
        <v>2-Actifs</v>
      </c>
      <c r="R106" s="655" t="str">
        <f t="shared" si="107"/>
        <v>1500</v>
      </c>
      <c r="S106" s="656">
        <f t="shared" si="107"/>
        <v>0</v>
      </c>
      <c r="T106" s="658" t="str">
        <f>+VLOOKUP($L106,Data_Validation!$A:$D,1,0)</f>
        <v>1532</v>
      </c>
      <c r="U106" s="658" t="str">
        <f>+VLOOKUP($L106,Data_Validation!$A:$D,3,0)</f>
        <v>Bilan</v>
      </c>
      <c r="V106" s="658" t="str">
        <f>+VLOOKUP($L106,Data_Validation!$A:$D,4,0)</f>
        <v>Frais Payés d'Avance</v>
      </c>
      <c r="W106" s="658" t="str">
        <f>+VLOOKUP($L106,Data_Validation!$A:$E,5,0)</f>
        <v>$</v>
      </c>
      <c r="X106" s="658">
        <f>+VLOOKUP($L106,Data_Validation!$A:$F,6,0)</f>
        <v>0</v>
      </c>
    </row>
    <row r="107" spans="1:24" ht="15" customHeight="1">
      <c r="A107" s="1190" t="s">
        <v>879</v>
      </c>
      <c r="B107" s="1190" t="s">
        <v>1560</v>
      </c>
      <c r="C107" s="1192">
        <v>1834.58</v>
      </c>
      <c r="D107" s="1192">
        <v>0</v>
      </c>
      <c r="E107" s="1192">
        <v>1834.58</v>
      </c>
      <c r="F107" s="1190" t="s">
        <v>818</v>
      </c>
      <c r="G107" s="1190" t="s">
        <v>870</v>
      </c>
      <c r="H107" s="653"/>
      <c r="I107" s="653"/>
      <c r="J107" s="653"/>
      <c r="K107" s="653"/>
      <c r="L107" s="655" t="str">
        <f t="shared" si="67"/>
        <v>1546</v>
      </c>
      <c r="M107" s="656" t="str">
        <f t="shared" si="0"/>
        <v>FPA ELECTRICITE HYDRO-QUEBEC</v>
      </c>
      <c r="N107" s="657">
        <f>+IF(OR($Q107=Parametres!$G$2,$Q107=Parametres!$G$3),I107,C107)</f>
        <v>1834.58</v>
      </c>
      <c r="O107" s="657">
        <f>+IF(OR($Q107=Parametres!$G$2,$Q107=Parametres!$G$3),J107,D107)</f>
        <v>0</v>
      </c>
      <c r="P107" s="657">
        <f>+IF(OR($Q107=Parametres!$G$2,$Q107=Parametres!$G$3),K107,E107)</f>
        <v>1834.58</v>
      </c>
      <c r="Q107" s="656" t="str">
        <f t="shared" ref="Q107:S107" si="108">+F107</f>
        <v>2-Actifs</v>
      </c>
      <c r="R107" s="655" t="str">
        <f t="shared" si="108"/>
        <v>1500</v>
      </c>
      <c r="S107" s="656">
        <f t="shared" si="108"/>
        <v>0</v>
      </c>
      <c r="T107" s="658" t="str">
        <f>+VLOOKUP($L107,Data_Validation!$A:$D,1,0)</f>
        <v>1546</v>
      </c>
      <c r="U107" s="658" t="str">
        <f>+VLOOKUP($L107,Data_Validation!$A:$D,3,0)</f>
        <v>Bilan</v>
      </c>
      <c r="V107" s="658" t="str">
        <f>+VLOOKUP($L107,Data_Validation!$A:$D,4,0)</f>
        <v>Autres Courus</v>
      </c>
      <c r="W107" s="658" t="str">
        <f>+VLOOKUP($L107,Data_Validation!$A:$E,5,0)</f>
        <v>$</v>
      </c>
      <c r="X107" s="658">
        <f>+VLOOKUP($L107,Data_Validation!$A:$F,6,0)</f>
        <v>0</v>
      </c>
    </row>
    <row r="108" spans="1:24" ht="15" customHeight="1">
      <c r="A108" s="1190" t="s">
        <v>881</v>
      </c>
      <c r="B108" s="1190" t="s">
        <v>3374</v>
      </c>
      <c r="C108" s="1192">
        <v>56310</v>
      </c>
      <c r="D108" s="1192">
        <v>1566.15</v>
      </c>
      <c r="E108" s="1192">
        <v>57876.15</v>
      </c>
      <c r="F108" s="1190" t="s">
        <v>818</v>
      </c>
      <c r="G108" s="1190" t="s">
        <v>870</v>
      </c>
      <c r="H108" s="653"/>
      <c r="I108" s="653"/>
      <c r="J108" s="653"/>
      <c r="K108" s="653"/>
      <c r="L108" s="655" t="str">
        <f t="shared" si="67"/>
        <v>1553</v>
      </c>
      <c r="M108" s="656" t="str">
        <f t="shared" si="0"/>
        <v>CSST A PAYER OU RECEVOIR</v>
      </c>
      <c r="N108" s="657">
        <f>+IF(OR($Q108=Parametres!$G$2,$Q108=Parametres!$G$3),I108,C108)</f>
        <v>56310</v>
      </c>
      <c r="O108" s="657">
        <f>+IF(OR($Q108=Parametres!$G$2,$Q108=Parametres!$G$3),J108,D108)</f>
        <v>1566.15</v>
      </c>
      <c r="P108" s="657">
        <f>+IF(OR($Q108=Parametres!$G$2,$Q108=Parametres!$G$3),K108,E108)</f>
        <v>57876.15</v>
      </c>
      <c r="Q108" s="656" t="str">
        <f t="shared" ref="Q108:S108" si="109">+F108</f>
        <v>2-Actifs</v>
      </c>
      <c r="R108" s="655" t="str">
        <f t="shared" si="109"/>
        <v>1500</v>
      </c>
      <c r="S108" s="656">
        <f t="shared" si="109"/>
        <v>0</v>
      </c>
      <c r="T108" s="658" t="str">
        <f>+VLOOKUP($L108,Data_Validation!$A:$D,1,0)</f>
        <v>1553</v>
      </c>
      <c r="U108" s="658" t="str">
        <f>+VLOOKUP($L108,Data_Validation!$A:$D,3,0)</f>
        <v>Bilan</v>
      </c>
      <c r="V108" s="658" t="str">
        <f>+VLOOKUP($L108,Data_Validation!$A:$D,4,0)</f>
        <v>Frais Payés d'Avance</v>
      </c>
      <c r="W108" s="658" t="str">
        <f>+VLOOKUP($L108,Data_Validation!$A:$E,5,0)</f>
        <v>$</v>
      </c>
      <c r="X108" s="658">
        <f>+VLOOKUP($L108,Data_Validation!$A:$F,6,0)</f>
        <v>0</v>
      </c>
    </row>
    <row r="109" spans="1:24" ht="15.75" customHeight="1">
      <c r="A109" s="1190" t="s">
        <v>882</v>
      </c>
      <c r="B109" s="1190" t="s">
        <v>1566</v>
      </c>
      <c r="C109" s="1192">
        <v>42.23</v>
      </c>
      <c r="D109" s="1192">
        <v>16378.65</v>
      </c>
      <c r="E109" s="1192">
        <v>16420.88</v>
      </c>
      <c r="F109" s="1190" t="s">
        <v>818</v>
      </c>
      <c r="G109" s="1190" t="s">
        <v>870</v>
      </c>
      <c r="H109" s="653"/>
      <c r="I109" s="653"/>
      <c r="J109" s="653"/>
      <c r="K109" s="653"/>
      <c r="L109" s="655" t="str">
        <f t="shared" si="67"/>
        <v>1582</v>
      </c>
      <c r="M109" s="656" t="str">
        <f t="shared" si="0"/>
        <v>FPA TAXES MUNICIPALES</v>
      </c>
      <c r="N109" s="657">
        <f>+IF(OR($Q109=Parametres!$G$2,$Q109=Parametres!$G$3),I109,C109)</f>
        <v>42.23</v>
      </c>
      <c r="O109" s="657">
        <f>+IF(OR($Q109=Parametres!$G$2,$Q109=Parametres!$G$3),J109,D109)</f>
        <v>16378.65</v>
      </c>
      <c r="P109" s="657">
        <f>+IF(OR($Q109=Parametres!$G$2,$Q109=Parametres!$G$3),K109,E109)</f>
        <v>16420.88</v>
      </c>
      <c r="Q109" s="656" t="str">
        <f t="shared" ref="Q109:S109" si="110">+F109</f>
        <v>2-Actifs</v>
      </c>
      <c r="R109" s="655" t="str">
        <f t="shared" si="110"/>
        <v>1500</v>
      </c>
      <c r="S109" s="656">
        <f t="shared" si="110"/>
        <v>0</v>
      </c>
      <c r="T109" s="658" t="str">
        <f>+VLOOKUP($L109,Data_Validation!$A:$D,1,0)</f>
        <v>1582</v>
      </c>
      <c r="U109" s="658" t="str">
        <f>+VLOOKUP($L109,Data_Validation!$A:$D,3,0)</f>
        <v>Bilan</v>
      </c>
      <c r="V109" s="658" t="str">
        <f>+VLOOKUP($L109,Data_Validation!$A:$D,4,0)</f>
        <v>Frais Payés d'Avance</v>
      </c>
      <c r="W109" s="658" t="str">
        <f>+VLOOKUP($L109,Data_Validation!$A:$E,5,0)</f>
        <v>$</v>
      </c>
      <c r="X109" s="658">
        <f>+VLOOKUP($L109,Data_Validation!$A:$F,6,0)</f>
        <v>0</v>
      </c>
    </row>
    <row r="110" spans="1:24" ht="15" customHeight="1">
      <c r="A110" s="1190" t="s">
        <v>883</v>
      </c>
      <c r="B110" s="1190" t="s">
        <v>1572</v>
      </c>
      <c r="C110" s="1192">
        <v>420.58</v>
      </c>
      <c r="D110" s="1192">
        <v>-403.79</v>
      </c>
      <c r="E110" s="1192">
        <v>16.79</v>
      </c>
      <c r="F110" s="1190" t="s">
        <v>818</v>
      </c>
      <c r="G110" s="1190" t="s">
        <v>870</v>
      </c>
      <c r="H110" s="653"/>
      <c r="I110" s="653"/>
      <c r="J110" s="653"/>
      <c r="K110" s="653"/>
      <c r="L110" s="655" t="str">
        <f t="shared" si="67"/>
        <v>1586</v>
      </c>
      <c r="M110" s="656" t="str">
        <f t="shared" si="0"/>
        <v>FPA TAXES SCOLAIRES</v>
      </c>
      <c r="N110" s="657">
        <f>+IF(OR($Q110=Parametres!$G$2,$Q110=Parametres!$G$3),I110,C110)</f>
        <v>420.58</v>
      </c>
      <c r="O110" s="661">
        <f>+IF(OR($Q110=Parametres!$G$2,$Q110=Parametres!$G$3),J110,D110)</f>
        <v>-403.79</v>
      </c>
      <c r="P110" s="657">
        <f>+IF(OR($Q110=Parametres!$G$2,$Q110=Parametres!$G$3),K110,E110)</f>
        <v>16.79</v>
      </c>
      <c r="Q110" s="656" t="str">
        <f t="shared" ref="Q110:S110" si="111">+F110</f>
        <v>2-Actifs</v>
      </c>
      <c r="R110" s="655" t="str">
        <f t="shared" si="111"/>
        <v>1500</v>
      </c>
      <c r="S110" s="656">
        <f t="shared" si="111"/>
        <v>0</v>
      </c>
      <c r="T110" s="658" t="str">
        <f>+VLOOKUP($L110,Data_Validation!$A:$D,1,0)</f>
        <v>1586</v>
      </c>
      <c r="U110" s="658" t="str">
        <f>+VLOOKUP($L110,Data_Validation!$A:$D,3,0)</f>
        <v>Bilan</v>
      </c>
      <c r="V110" s="658" t="str">
        <f>+VLOOKUP($L110,Data_Validation!$A:$D,4,0)</f>
        <v>Frais Payés d'Avance</v>
      </c>
      <c r="W110" s="658" t="str">
        <f>+VLOOKUP($L110,Data_Validation!$A:$E,5,0)</f>
        <v>$</v>
      </c>
      <c r="X110" s="658">
        <f>+VLOOKUP($L110,Data_Validation!$A:$F,6,0)</f>
        <v>0</v>
      </c>
    </row>
    <row r="111" spans="1:24" ht="15" customHeight="1">
      <c r="A111" s="1190" t="s">
        <v>885</v>
      </c>
      <c r="B111" s="1190" t="s">
        <v>1575</v>
      </c>
      <c r="C111" s="1192">
        <v>49007.98</v>
      </c>
      <c r="D111" s="1192">
        <v>-5059.1899999999996</v>
      </c>
      <c r="E111" s="1192">
        <v>43948.79</v>
      </c>
      <c r="F111" s="1190" t="s">
        <v>818</v>
      </c>
      <c r="G111" s="1190" t="s">
        <v>870</v>
      </c>
      <c r="H111" s="653"/>
      <c r="I111" s="653"/>
      <c r="J111" s="653"/>
      <c r="K111" s="653"/>
      <c r="L111" s="655" t="str">
        <f t="shared" si="67"/>
        <v>1592</v>
      </c>
      <c r="M111" s="656" t="str">
        <f t="shared" si="0"/>
        <v>FPA AUTRES</v>
      </c>
      <c r="N111" s="657">
        <f>+IF(OR($Q111=Parametres!$G$2,$Q111=Parametres!$G$3),I111,C111)</f>
        <v>49007.98</v>
      </c>
      <c r="O111" s="657">
        <f>+IF(OR($Q111=Parametres!$G$2,$Q111=Parametres!$G$3),J111,D111)</f>
        <v>-5059.1899999999996</v>
      </c>
      <c r="P111" s="657">
        <f>+IF(OR($Q111=Parametres!$G$2,$Q111=Parametres!$G$3),K111,E111)</f>
        <v>43948.79</v>
      </c>
      <c r="Q111" s="656" t="str">
        <f t="shared" ref="Q111:S111" si="112">+F111</f>
        <v>2-Actifs</v>
      </c>
      <c r="R111" s="655" t="str">
        <f t="shared" si="112"/>
        <v>1500</v>
      </c>
      <c r="S111" s="656">
        <f t="shared" si="112"/>
        <v>0</v>
      </c>
      <c r="T111" s="658" t="str">
        <f>+VLOOKUP($L111,Data_Validation!$A:$D,1,0)</f>
        <v>1592</v>
      </c>
      <c r="U111" s="658" t="str">
        <f>+VLOOKUP($L111,Data_Validation!$A:$D,3,0)</f>
        <v>Bilan</v>
      </c>
      <c r="V111" s="658" t="str">
        <f>+VLOOKUP($L111,Data_Validation!$A:$D,4,0)</f>
        <v>Frais Payés d'Avance</v>
      </c>
      <c r="W111" s="658" t="str">
        <f>+VLOOKUP($L111,Data_Validation!$A:$E,5,0)</f>
        <v>$</v>
      </c>
      <c r="X111" s="658">
        <f>+VLOOKUP($L111,Data_Validation!$A:$F,6,0)</f>
        <v>0</v>
      </c>
    </row>
    <row r="112" spans="1:24" ht="15" customHeight="1">
      <c r="A112" s="1190" t="s">
        <v>886</v>
      </c>
      <c r="B112" s="1190" t="s">
        <v>1587</v>
      </c>
      <c r="C112" s="1192">
        <v>185670.28</v>
      </c>
      <c r="D112" s="1192">
        <v>-37165.65</v>
      </c>
      <c r="E112" s="1192">
        <v>148504.63</v>
      </c>
      <c r="F112" s="1190" t="s">
        <v>818</v>
      </c>
      <c r="G112" s="1190" t="s">
        <v>887</v>
      </c>
      <c r="H112" s="653"/>
      <c r="I112" s="653"/>
      <c r="J112" s="653"/>
      <c r="K112" s="653"/>
      <c r="L112" s="655" t="str">
        <f t="shared" si="67"/>
        <v>1732</v>
      </c>
      <c r="M112" s="656" t="str">
        <f t="shared" si="0"/>
        <v>AMELIOR. LOCATIVES</v>
      </c>
      <c r="N112" s="657">
        <f>+IF(OR($Q112=Parametres!$G$2,$Q112=Parametres!$G$3),I112,C112)</f>
        <v>185670.28</v>
      </c>
      <c r="O112" s="657">
        <f>+IF(OR($Q112=Parametres!$G$2,$Q112=Parametres!$G$3),J112,D112)</f>
        <v>-37165.65</v>
      </c>
      <c r="P112" s="657">
        <f>+IF(OR($Q112=Parametres!$G$2,$Q112=Parametres!$G$3),K112,E112)</f>
        <v>148504.63</v>
      </c>
      <c r="Q112" s="656" t="str">
        <f t="shared" ref="Q112:S112" si="113">+F112</f>
        <v>2-Actifs</v>
      </c>
      <c r="R112" s="655" t="str">
        <f t="shared" si="113"/>
        <v>1700</v>
      </c>
      <c r="S112" s="656">
        <f t="shared" si="113"/>
        <v>0</v>
      </c>
      <c r="T112" s="658" t="str">
        <f>+VLOOKUP($L112,Data_Validation!$A:$D,1,0)</f>
        <v>1732</v>
      </c>
      <c r="U112" s="658" t="str">
        <f>+VLOOKUP($L112,Data_Validation!$A:$D,3,0)</f>
        <v>Bilan</v>
      </c>
      <c r="V112" s="658" t="str">
        <f>+VLOOKUP($L112,Data_Validation!$A:$D,4,0)</f>
        <v>Améliorations Locatives</v>
      </c>
      <c r="W112" s="658" t="str">
        <f>+VLOOKUP($L112,Data_Validation!$A:$E,5,0)</f>
        <v>$</v>
      </c>
      <c r="X112" s="658">
        <f>+VLOOKUP($L112,Data_Validation!$A:$F,6,0)</f>
        <v>0</v>
      </c>
    </row>
    <row r="113" spans="1:24" ht="15.75" customHeight="1">
      <c r="A113" s="1190" t="s">
        <v>888</v>
      </c>
      <c r="B113" s="1190" t="s">
        <v>1590</v>
      </c>
      <c r="C113" s="1192">
        <v>-113651.93</v>
      </c>
      <c r="D113" s="1192">
        <v>-225</v>
      </c>
      <c r="E113" s="1192">
        <v>-113876.93</v>
      </c>
      <c r="F113" s="1190" t="s">
        <v>818</v>
      </c>
      <c r="G113" s="1190" t="s">
        <v>887</v>
      </c>
      <c r="H113" s="653"/>
      <c r="I113" s="653"/>
      <c r="J113" s="653"/>
      <c r="K113" s="653"/>
      <c r="L113" s="655" t="str">
        <f t="shared" si="67"/>
        <v>1733</v>
      </c>
      <c r="M113" s="656" t="str">
        <f t="shared" si="0"/>
        <v>AMORT. CUM. AMEL. LOCAT.</v>
      </c>
      <c r="N113" s="657">
        <f>+IF(OR($Q113=Parametres!$G$2,$Q113=Parametres!$G$3),I113,C113)</f>
        <v>-113651.93</v>
      </c>
      <c r="O113" s="657">
        <f>+IF(OR($Q113=Parametres!$G$2,$Q113=Parametres!$G$3),J113,D113)</f>
        <v>-225</v>
      </c>
      <c r="P113" s="657">
        <f>+IF(OR($Q113=Parametres!$G$2,$Q113=Parametres!$G$3),K113,E113)</f>
        <v>-113876.93</v>
      </c>
      <c r="Q113" s="656" t="str">
        <f t="shared" ref="Q113:S113" si="114">+F113</f>
        <v>2-Actifs</v>
      </c>
      <c r="R113" s="655" t="str">
        <f t="shared" si="114"/>
        <v>1700</v>
      </c>
      <c r="S113" s="656">
        <f t="shared" si="114"/>
        <v>0</v>
      </c>
      <c r="T113" s="658" t="str">
        <f>+VLOOKUP($L113,Data_Validation!$A:$D,1,0)</f>
        <v>1733</v>
      </c>
      <c r="U113" s="658" t="str">
        <f>+VLOOKUP($L113,Data_Validation!$A:$D,3,0)</f>
        <v>Bilan</v>
      </c>
      <c r="V113" s="658" t="str">
        <f>+VLOOKUP($L113,Data_Validation!$A:$D,4,0)</f>
        <v>Améliorations Locatives</v>
      </c>
      <c r="W113" s="658" t="str">
        <f>+VLOOKUP($L113,Data_Validation!$A:$E,5,0)</f>
        <v>$</v>
      </c>
      <c r="X113" s="658">
        <f>+VLOOKUP($L113,Data_Validation!$A:$F,6,0)</f>
        <v>0</v>
      </c>
    </row>
    <row r="114" spans="1:24" ht="15" customHeight="1">
      <c r="A114" s="1190" t="s">
        <v>3354</v>
      </c>
      <c r="B114" s="1190" t="s">
        <v>3376</v>
      </c>
      <c r="C114" s="1192">
        <v>10527.65</v>
      </c>
      <c r="D114" s="1192">
        <v>0</v>
      </c>
      <c r="E114" s="1192">
        <v>10527.65</v>
      </c>
      <c r="F114" s="1190" t="s">
        <v>818</v>
      </c>
      <c r="G114" s="1190" t="s">
        <v>887</v>
      </c>
      <c r="H114" s="653"/>
      <c r="I114" s="653"/>
      <c r="J114" s="653"/>
      <c r="K114" s="653"/>
      <c r="L114" s="655" t="str">
        <f t="shared" si="67"/>
        <v>1734</v>
      </c>
      <c r="M114" s="656" t="str">
        <f t="shared" si="0"/>
        <v>AMELIOR. LOCATIVES CPO</v>
      </c>
      <c r="N114" s="657">
        <f>+IF(OR($Q114=Parametres!$G$2,$Q114=Parametres!$G$3),I114,C114)</f>
        <v>10527.65</v>
      </c>
      <c r="O114" s="657">
        <f>+IF(OR($Q114=Parametres!$G$2,$Q114=Parametres!$G$3),J114,D114)</f>
        <v>0</v>
      </c>
      <c r="P114" s="657">
        <f>+IF(OR($Q114=Parametres!$G$2,$Q114=Parametres!$G$3),K114,E114)</f>
        <v>10527.65</v>
      </c>
      <c r="Q114" s="656" t="str">
        <f t="shared" ref="Q114:S114" si="115">+F114</f>
        <v>2-Actifs</v>
      </c>
      <c r="R114" s="655" t="str">
        <f t="shared" si="115"/>
        <v>1700</v>
      </c>
      <c r="S114" s="656">
        <f t="shared" si="115"/>
        <v>0</v>
      </c>
      <c r="T114" s="658" t="str">
        <f>+VLOOKUP($L114,Data_Validation!$A:$D,1,0)</f>
        <v>1734</v>
      </c>
      <c r="U114" s="658" t="str">
        <f>+VLOOKUP($L114,Data_Validation!$A:$D,3,0)</f>
        <v>Bilan</v>
      </c>
      <c r="V114" s="658" t="str">
        <f>+VLOOKUP($L114,Data_Validation!$A:$D,4,0)</f>
        <v>Améliorations Locatives</v>
      </c>
      <c r="W114" s="658" t="str">
        <f>+VLOOKUP($L114,Data_Validation!$A:$E,5,0)</f>
        <v>$</v>
      </c>
      <c r="X114" s="658">
        <f>+VLOOKUP($L114,Data_Validation!$A:$F,6,0)</f>
        <v>0</v>
      </c>
    </row>
    <row r="115" spans="1:24" ht="15" customHeight="1">
      <c r="A115" s="1190" t="s">
        <v>3410</v>
      </c>
      <c r="B115" s="1190" t="s">
        <v>3411</v>
      </c>
      <c r="C115" s="1192">
        <v>2994725.12</v>
      </c>
      <c r="D115" s="1192">
        <v>1294205.23</v>
      </c>
      <c r="E115" s="1192">
        <v>4288930.3499999996</v>
      </c>
      <c r="F115" s="1190" t="s">
        <v>818</v>
      </c>
      <c r="G115" s="1190" t="s">
        <v>887</v>
      </c>
      <c r="H115" s="653"/>
      <c r="I115" s="654"/>
      <c r="J115" s="654"/>
      <c r="K115" s="654"/>
      <c r="L115" s="655" t="str">
        <f t="shared" si="67"/>
        <v>1740</v>
      </c>
      <c r="M115" s="656" t="str">
        <f t="shared" si="0"/>
        <v>PROJET VOLKS - RENOVATION</v>
      </c>
      <c r="N115" s="657">
        <f>+IF(OR($Q115=Parametres!$G$2,$Q115=Parametres!$G$3),I115,C115)</f>
        <v>2994725.12</v>
      </c>
      <c r="O115" s="657">
        <f>+IF(OR($Q115=Parametres!$G$2,$Q115=Parametres!$G$3),J115,D115)</f>
        <v>1294205.23</v>
      </c>
      <c r="P115" s="657">
        <f>+IF(OR($Q115=Parametres!$G$2,$Q115=Parametres!$G$3),K115,E115)</f>
        <v>4288930.3499999996</v>
      </c>
      <c r="Q115" s="656" t="str">
        <f t="shared" ref="Q115:S115" si="116">+F115</f>
        <v>2-Actifs</v>
      </c>
      <c r="R115" s="655" t="str">
        <f t="shared" si="116"/>
        <v>1700</v>
      </c>
      <c r="S115" s="656">
        <f t="shared" si="116"/>
        <v>0</v>
      </c>
      <c r="T115" s="658" t="str">
        <f>+VLOOKUP($L115,Data_Validation!$A:$D,1,0)</f>
        <v>1740</v>
      </c>
      <c r="U115" s="658" t="str">
        <f>+VLOOKUP($L115,Data_Validation!$A:$D,3,0)</f>
        <v>Bilan</v>
      </c>
      <c r="V115" s="658" t="str">
        <f>+VLOOKUP($L115,Data_Validation!$A:$D,4,0)</f>
        <v>Améliorations Locatives</v>
      </c>
      <c r="W115" s="658" t="str">
        <f>+VLOOKUP($L115,Data_Validation!$A:$E,5,0)</f>
        <v>$</v>
      </c>
      <c r="X115" s="658">
        <f>+VLOOKUP($L115,Data_Validation!$A:$F,6,0)</f>
        <v>0</v>
      </c>
    </row>
    <row r="116" spans="1:24" ht="15" customHeight="1">
      <c r="A116" s="1190" t="s">
        <v>889</v>
      </c>
      <c r="B116" s="1190" t="s">
        <v>1593</v>
      </c>
      <c r="C116" s="1192">
        <v>1248997.3799999999</v>
      </c>
      <c r="D116" s="1192">
        <v>0</v>
      </c>
      <c r="E116" s="1192">
        <v>1248997.3799999999</v>
      </c>
      <c r="F116" s="1190" t="s">
        <v>818</v>
      </c>
      <c r="G116" s="1190" t="s">
        <v>887</v>
      </c>
      <c r="H116" s="652"/>
      <c r="I116" s="654"/>
      <c r="J116" s="654"/>
      <c r="K116" s="654"/>
      <c r="L116" s="655" t="str">
        <f t="shared" si="67"/>
        <v>1742</v>
      </c>
      <c r="M116" s="656" t="str">
        <f t="shared" si="0"/>
        <v>MACHINERIE &amp; EQUIPEMENT</v>
      </c>
      <c r="N116" s="657">
        <f>+IF(OR($Q116=Parametres!$G$2,$Q116=Parametres!$G$3),I116,C116)</f>
        <v>1248997.3799999999</v>
      </c>
      <c r="O116" s="657">
        <f>+IF(OR($Q116=Parametres!$G$2,$Q116=Parametres!$G$3),J116,D116)</f>
        <v>0</v>
      </c>
      <c r="P116" s="657">
        <f>+IF(OR($Q116=Parametres!$G$2,$Q116=Parametres!$G$3),K116,E116)</f>
        <v>1248997.3799999999</v>
      </c>
      <c r="Q116" s="656" t="str">
        <f t="shared" ref="Q116:S116" si="117">+F116</f>
        <v>2-Actifs</v>
      </c>
      <c r="R116" s="655" t="str">
        <f t="shared" si="117"/>
        <v>1700</v>
      </c>
      <c r="S116" s="656">
        <f t="shared" si="117"/>
        <v>0</v>
      </c>
      <c r="T116" s="658" t="str">
        <f>+VLOOKUP($L116,Data_Validation!$A:$D,1,0)</f>
        <v>1742</v>
      </c>
      <c r="U116" s="658" t="str">
        <f>+VLOOKUP($L116,Data_Validation!$A:$D,3,0)</f>
        <v>Bilan</v>
      </c>
      <c r="V116" s="658" t="str">
        <f>+VLOOKUP($L116,Data_Validation!$A:$D,4,0)</f>
        <v>Équipements Service</v>
      </c>
      <c r="W116" s="658" t="str">
        <f>+VLOOKUP($L116,Data_Validation!$A:$E,5,0)</f>
        <v>$</v>
      </c>
      <c r="X116" s="658">
        <f>+VLOOKUP($L116,Data_Validation!$A:$F,6,0)</f>
        <v>0</v>
      </c>
    </row>
    <row r="117" spans="1:24" ht="15.75" customHeight="1">
      <c r="A117" s="1190" t="s">
        <v>890</v>
      </c>
      <c r="B117" s="1190" t="s">
        <v>1596</v>
      </c>
      <c r="C117" s="1192">
        <v>-866283.34</v>
      </c>
      <c r="D117" s="1192">
        <v>-4612.5</v>
      </c>
      <c r="E117" s="1192">
        <v>-870895.84</v>
      </c>
      <c r="F117" s="1190" t="s">
        <v>818</v>
      </c>
      <c r="G117" s="1190" t="s">
        <v>887</v>
      </c>
      <c r="H117" s="652"/>
      <c r="I117" s="654"/>
      <c r="J117" s="654"/>
      <c r="K117" s="654"/>
      <c r="L117" s="655" t="str">
        <f t="shared" si="67"/>
        <v>1743</v>
      </c>
      <c r="M117" s="656" t="str">
        <f t="shared" si="0"/>
        <v>AMORTISS.MACHINERIE &amp; EQUIP.</v>
      </c>
      <c r="N117" s="657">
        <f>+IF(OR($Q117=Parametres!$G$2,$Q117=Parametres!$G$3),I117,C117)</f>
        <v>-866283.34</v>
      </c>
      <c r="O117" s="657">
        <f>+IF(OR($Q117=Parametres!$G$2,$Q117=Parametres!$G$3),J117,D117)</f>
        <v>-4612.5</v>
      </c>
      <c r="P117" s="657">
        <f>+IF(OR($Q117=Parametres!$G$2,$Q117=Parametres!$G$3),K117,E117)</f>
        <v>-870895.84</v>
      </c>
      <c r="Q117" s="656" t="str">
        <f t="shared" ref="Q117:S117" si="118">+F117</f>
        <v>2-Actifs</v>
      </c>
      <c r="R117" s="655" t="str">
        <f t="shared" si="118"/>
        <v>1700</v>
      </c>
      <c r="S117" s="656">
        <f t="shared" si="118"/>
        <v>0</v>
      </c>
      <c r="T117" s="658" t="str">
        <f>+VLOOKUP($L117,Data_Validation!$A:$D,1,0)</f>
        <v>1743</v>
      </c>
      <c r="U117" s="658" t="str">
        <f>+VLOOKUP($L117,Data_Validation!$A:$D,3,0)</f>
        <v>Bilan</v>
      </c>
      <c r="V117" s="658" t="str">
        <f>+VLOOKUP($L117,Data_Validation!$A:$D,4,0)</f>
        <v>Équipements Service</v>
      </c>
      <c r="W117" s="658" t="str">
        <f>+VLOOKUP($L117,Data_Validation!$A:$E,5,0)</f>
        <v>$</v>
      </c>
      <c r="X117" s="658">
        <f>+VLOOKUP($L117,Data_Validation!$A:$F,6,0)</f>
        <v>0</v>
      </c>
    </row>
    <row r="118" spans="1:24" ht="15" customHeight="1">
      <c r="A118" s="1190" t="s">
        <v>891</v>
      </c>
      <c r="B118" s="1190" t="s">
        <v>1599</v>
      </c>
      <c r="C118" s="1192">
        <v>47461.59</v>
      </c>
      <c r="D118" s="1192">
        <v>0</v>
      </c>
      <c r="E118" s="1192">
        <v>47461.59</v>
      </c>
      <c r="F118" s="1190" t="s">
        <v>818</v>
      </c>
      <c r="G118" s="1190" t="s">
        <v>887</v>
      </c>
      <c r="H118" s="652"/>
      <c r="I118" s="665"/>
      <c r="J118" s="665"/>
      <c r="K118" s="665"/>
      <c r="L118" s="655" t="str">
        <f t="shared" si="67"/>
        <v>1744</v>
      </c>
      <c r="M118" s="656" t="str">
        <f t="shared" si="0"/>
        <v>EQUIPEMENT PIECES</v>
      </c>
      <c r="N118" s="657">
        <f>+IF(OR($Q118=Parametres!$G$2,$Q118=Parametres!$G$3),I118,C118)</f>
        <v>47461.59</v>
      </c>
      <c r="O118" s="657">
        <f>+IF(OR($Q118=Parametres!$G$2,$Q118=Parametres!$G$3),J118,D118)</f>
        <v>0</v>
      </c>
      <c r="P118" s="657">
        <f>+IF(OR($Q118=Parametres!$G$2,$Q118=Parametres!$G$3),K118,E118)</f>
        <v>47461.59</v>
      </c>
      <c r="Q118" s="656" t="str">
        <f t="shared" ref="Q118:S118" si="119">+F118</f>
        <v>2-Actifs</v>
      </c>
      <c r="R118" s="655" t="str">
        <f t="shared" si="119"/>
        <v>1700</v>
      </c>
      <c r="S118" s="656">
        <f t="shared" si="119"/>
        <v>0</v>
      </c>
      <c r="T118" s="658" t="str">
        <f>+VLOOKUP($L118,Data_Validation!$A:$D,1,0)</f>
        <v>1744</v>
      </c>
      <c r="U118" s="658" t="str">
        <f>+VLOOKUP($L118,Data_Validation!$A:$D,3,0)</f>
        <v>Bilan</v>
      </c>
      <c r="V118" s="658" t="str">
        <f>+VLOOKUP($L118,Data_Validation!$A:$D,4,0)</f>
        <v>Équipements Service</v>
      </c>
      <c r="W118" s="658" t="str">
        <f>+VLOOKUP($L118,Data_Validation!$A:$E,5,0)</f>
        <v>$</v>
      </c>
      <c r="X118" s="658">
        <f>+VLOOKUP($L118,Data_Validation!$A:$F,6,0)</f>
        <v>0</v>
      </c>
    </row>
    <row r="119" spans="1:24" ht="15" customHeight="1">
      <c r="A119" s="1190" t="s">
        <v>892</v>
      </c>
      <c r="B119" s="1190" t="s">
        <v>1602</v>
      </c>
      <c r="C119" s="1192">
        <v>-47487.09</v>
      </c>
      <c r="D119" s="1192">
        <v>-8.5</v>
      </c>
      <c r="E119" s="1192">
        <v>-47495.59</v>
      </c>
      <c r="F119" s="1190" t="s">
        <v>818</v>
      </c>
      <c r="G119" s="1190" t="s">
        <v>887</v>
      </c>
      <c r="H119" s="653"/>
      <c r="I119" s="654"/>
      <c r="J119" s="654"/>
      <c r="K119" s="654"/>
      <c r="L119" s="655" t="str">
        <f t="shared" si="67"/>
        <v>1745</v>
      </c>
      <c r="M119" s="656" t="str">
        <f t="shared" si="0"/>
        <v>AMORTISS.EQUIPEMENTS PIECES</v>
      </c>
      <c r="N119" s="657">
        <f>+IF(OR($Q119=Parametres!$G$2,$Q119=Parametres!$G$3),I119,C119)</f>
        <v>-47487.09</v>
      </c>
      <c r="O119" s="657">
        <f>+IF(OR($Q119=Parametres!$G$2,$Q119=Parametres!$G$3),J119,D119)</f>
        <v>-8.5</v>
      </c>
      <c r="P119" s="657">
        <f>+IF(OR($Q119=Parametres!$G$2,$Q119=Parametres!$G$3),K119,E119)</f>
        <v>-47495.59</v>
      </c>
      <c r="Q119" s="656" t="str">
        <f t="shared" ref="Q119:S119" si="120">+F119</f>
        <v>2-Actifs</v>
      </c>
      <c r="R119" s="655" t="str">
        <f t="shared" si="120"/>
        <v>1700</v>
      </c>
      <c r="S119" s="656">
        <f t="shared" si="120"/>
        <v>0</v>
      </c>
      <c r="T119" s="658" t="str">
        <f>+VLOOKUP($L119,Data_Validation!$A:$D,1,0)</f>
        <v>1745</v>
      </c>
      <c r="U119" s="658" t="str">
        <f>+VLOOKUP($L119,Data_Validation!$A:$D,3,0)</f>
        <v>Bilan</v>
      </c>
      <c r="V119" s="658" t="str">
        <f>+VLOOKUP($L119,Data_Validation!$A:$D,4,0)</f>
        <v>Équipements Service</v>
      </c>
      <c r="W119" s="658" t="str">
        <f>+VLOOKUP($L119,Data_Validation!$A:$E,5,0)</f>
        <v>$</v>
      </c>
      <c r="X119" s="658">
        <f>+VLOOKUP($L119,Data_Validation!$A:$F,6,0)</f>
        <v>0</v>
      </c>
    </row>
    <row r="120" spans="1:24" ht="15" customHeight="1">
      <c r="A120" s="1190" t="s">
        <v>893</v>
      </c>
      <c r="B120" s="1190" t="s">
        <v>1611</v>
      </c>
      <c r="C120" s="1192">
        <v>440156.49</v>
      </c>
      <c r="D120" s="1192">
        <v>0</v>
      </c>
      <c r="E120" s="1192">
        <v>440156.49</v>
      </c>
      <c r="F120" s="1190" t="s">
        <v>818</v>
      </c>
      <c r="G120" s="1190" t="s">
        <v>887</v>
      </c>
      <c r="H120" s="653"/>
      <c r="I120" s="654"/>
      <c r="J120" s="654"/>
      <c r="K120" s="654"/>
      <c r="L120" s="655" t="str">
        <f t="shared" si="67"/>
        <v>1762</v>
      </c>
      <c r="M120" s="656" t="str">
        <f t="shared" si="0"/>
        <v>AMEUBLEMENT &amp; INSTR.</v>
      </c>
      <c r="N120" s="657">
        <f>+IF(OR($Q120=Parametres!$G$2,$Q120=Parametres!$G$3),I120,C120)</f>
        <v>440156.49</v>
      </c>
      <c r="O120" s="657">
        <f>+IF(OR($Q120=Parametres!$G$2,$Q120=Parametres!$G$3),J120,D120)</f>
        <v>0</v>
      </c>
      <c r="P120" s="657">
        <f>+IF(OR($Q120=Parametres!$G$2,$Q120=Parametres!$G$3),K120,E120)</f>
        <v>440156.49</v>
      </c>
      <c r="Q120" s="656" t="str">
        <f t="shared" ref="Q120:S120" si="121">+F120</f>
        <v>2-Actifs</v>
      </c>
      <c r="R120" s="655" t="str">
        <f t="shared" si="121"/>
        <v>1700</v>
      </c>
      <c r="S120" s="656">
        <f t="shared" si="121"/>
        <v>0</v>
      </c>
      <c r="T120" s="658" t="str">
        <f>+VLOOKUP($L120,Data_Validation!$A:$D,1,0)</f>
        <v>1762</v>
      </c>
      <c r="U120" s="658" t="str">
        <f>+VLOOKUP($L120,Data_Validation!$A:$D,3,0)</f>
        <v>Bilan</v>
      </c>
      <c r="V120" s="658" t="str">
        <f>+VLOOKUP($L120,Data_Validation!$A:$D,4,0)</f>
        <v>Mobilier</v>
      </c>
      <c r="W120" s="658" t="str">
        <f>+VLOOKUP($L120,Data_Validation!$A:$E,5,0)</f>
        <v>$</v>
      </c>
      <c r="X120" s="658">
        <f>+VLOOKUP($L120,Data_Validation!$A:$F,6,0)</f>
        <v>0</v>
      </c>
    </row>
    <row r="121" spans="1:24" ht="15" customHeight="1">
      <c r="A121" s="1190" t="s">
        <v>894</v>
      </c>
      <c r="B121" s="1190" t="s">
        <v>1614</v>
      </c>
      <c r="C121" s="1192">
        <v>-416540.22</v>
      </c>
      <c r="D121" s="1192">
        <v>-497</v>
      </c>
      <c r="E121" s="1192">
        <v>-417037.22</v>
      </c>
      <c r="F121" s="1190" t="s">
        <v>818</v>
      </c>
      <c r="G121" s="1190" t="s">
        <v>887</v>
      </c>
      <c r="H121" s="653"/>
      <c r="I121" s="653"/>
      <c r="J121" s="653"/>
      <c r="K121" s="653"/>
      <c r="L121" s="655" t="str">
        <f t="shared" si="67"/>
        <v>1763</v>
      </c>
      <c r="M121" s="656" t="str">
        <f t="shared" si="0"/>
        <v>AMORTISS.AMEUBL.INSTR.</v>
      </c>
      <c r="N121" s="657">
        <f>+IF(OR($Q121=Parametres!$G$2,$Q121=Parametres!$G$3),I121,C121)</f>
        <v>-416540.22</v>
      </c>
      <c r="O121" s="661">
        <f>+IF(OR($Q121=Parametres!$G$2,$Q121=Parametres!$G$3),J121,D121)</f>
        <v>-497</v>
      </c>
      <c r="P121" s="657">
        <f>+IF(OR($Q121=Parametres!$G$2,$Q121=Parametres!$G$3),K121,E121)</f>
        <v>-417037.22</v>
      </c>
      <c r="Q121" s="656" t="str">
        <f t="shared" ref="Q121:S121" si="122">+F121</f>
        <v>2-Actifs</v>
      </c>
      <c r="R121" s="655" t="str">
        <f t="shared" si="122"/>
        <v>1700</v>
      </c>
      <c r="S121" s="656">
        <f t="shared" si="122"/>
        <v>0</v>
      </c>
      <c r="T121" s="658" t="str">
        <f>+VLOOKUP($L121,Data_Validation!$A:$D,1,0)</f>
        <v>1763</v>
      </c>
      <c r="U121" s="658" t="str">
        <f>+VLOOKUP($L121,Data_Validation!$A:$D,3,0)</f>
        <v>Bilan</v>
      </c>
      <c r="V121" s="658" t="str">
        <f>+VLOOKUP($L121,Data_Validation!$A:$D,4,0)</f>
        <v>Mobilier</v>
      </c>
      <c r="W121" s="658" t="str">
        <f>+VLOOKUP($L121,Data_Validation!$A:$E,5,0)</f>
        <v>$</v>
      </c>
      <c r="X121" s="658">
        <f>+VLOOKUP($L121,Data_Validation!$A:$F,6,0)</f>
        <v>0</v>
      </c>
    </row>
    <row r="122" spans="1:24" ht="15" customHeight="1">
      <c r="A122" s="1190" t="s">
        <v>895</v>
      </c>
      <c r="B122" s="1190" t="s">
        <v>1617</v>
      </c>
      <c r="C122" s="1192">
        <v>3987.88</v>
      </c>
      <c r="D122" s="1192">
        <v>0</v>
      </c>
      <c r="E122" s="1192">
        <v>3987.88</v>
      </c>
      <c r="F122" s="1190" t="s">
        <v>818</v>
      </c>
      <c r="G122" s="1190" t="s">
        <v>887</v>
      </c>
      <c r="H122" s="653"/>
      <c r="I122" s="654"/>
      <c r="J122" s="654"/>
      <c r="K122" s="654"/>
      <c r="L122" s="655" t="str">
        <f t="shared" si="67"/>
        <v>1772</v>
      </c>
      <c r="M122" s="656" t="str">
        <f t="shared" si="0"/>
        <v>VEHICULES DE CIE</v>
      </c>
      <c r="N122" s="657">
        <f>+IF(OR($Q122=Parametres!$G$2,$Q122=Parametres!$G$3),I122,C122)</f>
        <v>3987.88</v>
      </c>
      <c r="O122" s="657">
        <f>+IF(OR($Q122=Parametres!$G$2,$Q122=Parametres!$G$3),J122,D122)</f>
        <v>0</v>
      </c>
      <c r="P122" s="657">
        <f>+IF(OR($Q122=Parametres!$G$2,$Q122=Parametres!$G$3),K122,E122)</f>
        <v>3987.88</v>
      </c>
      <c r="Q122" s="656" t="str">
        <f t="shared" ref="Q122:S122" si="123">+F122</f>
        <v>2-Actifs</v>
      </c>
      <c r="R122" s="655" t="str">
        <f t="shared" si="123"/>
        <v>1700</v>
      </c>
      <c r="S122" s="656">
        <f t="shared" si="123"/>
        <v>0</v>
      </c>
      <c r="T122" s="658" t="str">
        <f>+VLOOKUP($L122,Data_Validation!$A:$D,1,0)</f>
        <v>1772</v>
      </c>
      <c r="U122" s="658" t="str">
        <f>+VLOOKUP($L122,Data_Validation!$A:$D,3,0)</f>
        <v>Bilan</v>
      </c>
      <c r="V122" s="658" t="str">
        <f>+VLOOKUP($L122,Data_Validation!$A:$D,4,0)</f>
        <v>Équipements Service</v>
      </c>
      <c r="W122" s="658" t="str">
        <f>+VLOOKUP($L122,Data_Validation!$A:$E,5,0)</f>
        <v>$</v>
      </c>
      <c r="X122" s="658">
        <f>+VLOOKUP($L122,Data_Validation!$A:$F,6,0)</f>
        <v>0</v>
      </c>
    </row>
    <row r="123" spans="1:24" ht="15.75" customHeight="1">
      <c r="A123" s="1190" t="s">
        <v>896</v>
      </c>
      <c r="B123" s="1190" t="s">
        <v>1620</v>
      </c>
      <c r="C123" s="1192">
        <v>-3987.88</v>
      </c>
      <c r="D123" s="1192">
        <v>0</v>
      </c>
      <c r="E123" s="1192">
        <v>-3987.88</v>
      </c>
      <c r="F123" s="1190" t="s">
        <v>818</v>
      </c>
      <c r="G123" s="1190" t="s">
        <v>887</v>
      </c>
      <c r="H123" s="653"/>
      <c r="I123" s="653"/>
      <c r="J123" s="653"/>
      <c r="K123" s="653"/>
      <c r="L123" s="655" t="str">
        <f t="shared" si="67"/>
        <v>1773</v>
      </c>
      <c r="M123" s="656" t="str">
        <f t="shared" si="0"/>
        <v>DEPRECIATION &amp; AMORT.</v>
      </c>
      <c r="N123" s="657">
        <f>+IF(OR($Q123=Parametres!$G$2,$Q123=Parametres!$G$3),I123,C123)</f>
        <v>-3987.88</v>
      </c>
      <c r="O123" s="661">
        <f>+IF(OR($Q123=Parametres!$G$2,$Q123=Parametres!$G$3),J123,D123)</f>
        <v>0</v>
      </c>
      <c r="P123" s="657">
        <f>+IF(OR($Q123=Parametres!$G$2,$Q123=Parametres!$G$3),K123,E123)</f>
        <v>-3987.88</v>
      </c>
      <c r="Q123" s="656" t="str">
        <f t="shared" ref="Q123:S123" si="124">+F123</f>
        <v>2-Actifs</v>
      </c>
      <c r="R123" s="655" t="str">
        <f t="shared" si="124"/>
        <v>1700</v>
      </c>
      <c r="S123" s="656">
        <f t="shared" si="124"/>
        <v>0</v>
      </c>
      <c r="T123" s="658" t="str">
        <f>+VLOOKUP($L123,Data_Validation!$A:$D,1,0)</f>
        <v>1773</v>
      </c>
      <c r="U123" s="658" t="str">
        <f>+VLOOKUP($L123,Data_Validation!$A:$D,3,0)</f>
        <v>Bilan</v>
      </c>
      <c r="V123" s="658" t="str">
        <f>+VLOOKUP($L123,Data_Validation!$A:$D,4,0)</f>
        <v>Équipements Service</v>
      </c>
      <c r="W123" s="658" t="str">
        <f>+VLOOKUP($L123,Data_Validation!$A:$E,5,0)</f>
        <v>$</v>
      </c>
      <c r="X123" s="658">
        <f>+VLOOKUP($L123,Data_Validation!$A:$F,6,0)</f>
        <v>0</v>
      </c>
    </row>
    <row r="124" spans="1:24" ht="15" customHeight="1">
      <c r="A124" s="1190" t="s">
        <v>897</v>
      </c>
      <c r="B124" s="1190" t="s">
        <v>1623</v>
      </c>
      <c r="C124" s="1192">
        <v>142874.67000000001</v>
      </c>
      <c r="D124" s="1192">
        <v>2548.9899999999998</v>
      </c>
      <c r="E124" s="1192">
        <v>145423.66</v>
      </c>
      <c r="F124" s="1190" t="s">
        <v>818</v>
      </c>
      <c r="G124" s="1190" t="s">
        <v>887</v>
      </c>
      <c r="H124" s="653"/>
      <c r="I124" s="654"/>
      <c r="J124" s="654"/>
      <c r="K124" s="654"/>
      <c r="L124" s="655" t="str">
        <f t="shared" si="67"/>
        <v>1786</v>
      </c>
      <c r="M124" s="656" t="str">
        <f t="shared" si="0"/>
        <v>EQUIPEMENT INFORMATIQUE</v>
      </c>
      <c r="N124" s="657">
        <f>+IF(OR($Q124=Parametres!$G$2,$Q124=Parametres!$G$3),I124,C124)</f>
        <v>142874.67000000001</v>
      </c>
      <c r="O124" s="657">
        <f>+IF(OR($Q124=Parametres!$G$2,$Q124=Parametres!$G$3),J124,D124)</f>
        <v>2548.9899999999998</v>
      </c>
      <c r="P124" s="657">
        <f>+IF(OR($Q124=Parametres!$G$2,$Q124=Parametres!$G$3),K124,E124)</f>
        <v>145423.66</v>
      </c>
      <c r="Q124" s="656" t="str">
        <f t="shared" ref="Q124:S124" si="125">+F124</f>
        <v>2-Actifs</v>
      </c>
      <c r="R124" s="655" t="str">
        <f t="shared" si="125"/>
        <v>1700</v>
      </c>
      <c r="S124" s="656">
        <f t="shared" si="125"/>
        <v>0</v>
      </c>
      <c r="T124" s="658" t="str">
        <f>+VLOOKUP($L124,Data_Validation!$A:$D,1,0)</f>
        <v>1786</v>
      </c>
      <c r="U124" s="658" t="str">
        <f>+VLOOKUP($L124,Data_Validation!$A:$D,3,0)</f>
        <v>Bilan</v>
      </c>
      <c r="V124" s="658" t="str">
        <f>+VLOOKUP($L124,Data_Validation!$A:$D,4,0)</f>
        <v>Équipements Informatique</v>
      </c>
      <c r="W124" s="658" t="str">
        <f>+VLOOKUP($L124,Data_Validation!$A:$E,5,0)</f>
        <v>$</v>
      </c>
      <c r="X124" s="658">
        <f>+VLOOKUP($L124,Data_Validation!$A:$F,6,0)</f>
        <v>0</v>
      </c>
    </row>
    <row r="125" spans="1:24" ht="15" customHeight="1">
      <c r="A125" s="1190" t="s">
        <v>898</v>
      </c>
      <c r="B125" s="1190" t="s">
        <v>1626</v>
      </c>
      <c r="C125" s="1192">
        <v>-124786.45</v>
      </c>
      <c r="D125" s="1192">
        <v>-972</v>
      </c>
      <c r="E125" s="1192">
        <v>-125758.45</v>
      </c>
      <c r="F125" s="1190" t="s">
        <v>818</v>
      </c>
      <c r="G125" s="1190" t="s">
        <v>887</v>
      </c>
      <c r="H125" s="653"/>
      <c r="I125" s="653"/>
      <c r="J125" s="653"/>
      <c r="K125" s="653"/>
      <c r="L125" s="655" t="str">
        <f t="shared" si="67"/>
        <v>1787</v>
      </c>
      <c r="M125" s="656" t="str">
        <f t="shared" si="0"/>
        <v>AMORTISS.EQUIP.INFORMATIQUES</v>
      </c>
      <c r="N125" s="657">
        <f>+IF(OR($Q125=Parametres!$G$2,$Q125=Parametres!$G$3),I125,C125)</f>
        <v>-124786.45</v>
      </c>
      <c r="O125" s="657">
        <f>+IF(OR($Q125=Parametres!$G$2,$Q125=Parametres!$G$3),J125,D125)</f>
        <v>-972</v>
      </c>
      <c r="P125" s="657">
        <f>+IF(OR($Q125=Parametres!$G$2,$Q125=Parametres!$G$3),K125,E125)</f>
        <v>-125758.45</v>
      </c>
      <c r="Q125" s="656" t="str">
        <f t="shared" ref="Q125:S125" si="126">+F125</f>
        <v>2-Actifs</v>
      </c>
      <c r="R125" s="655" t="str">
        <f t="shared" si="126"/>
        <v>1700</v>
      </c>
      <c r="S125" s="656">
        <f t="shared" si="126"/>
        <v>0</v>
      </c>
      <c r="T125" s="658" t="str">
        <f>+VLOOKUP($L125,Data_Validation!$A:$D,1,0)</f>
        <v>1787</v>
      </c>
      <c r="U125" s="658" t="str">
        <f>+VLOOKUP($L125,Data_Validation!$A:$D,3,0)</f>
        <v>Bilan</v>
      </c>
      <c r="V125" s="658" t="str">
        <f>+VLOOKUP($L125,Data_Validation!$A:$D,4,0)</f>
        <v>Équipements Informatique</v>
      </c>
      <c r="W125" s="658" t="str">
        <f>+VLOOKUP($L125,Data_Validation!$A:$E,5,0)</f>
        <v>$</v>
      </c>
      <c r="X125" s="658">
        <f>+VLOOKUP($L125,Data_Validation!$A:$F,6,0)</f>
        <v>0</v>
      </c>
    </row>
    <row r="126" spans="1:24" ht="15" customHeight="1">
      <c r="A126" s="1190" t="s">
        <v>899</v>
      </c>
      <c r="B126" s="1190" t="s">
        <v>1629</v>
      </c>
      <c r="C126" s="1192">
        <v>119393.66</v>
      </c>
      <c r="D126" s="1192">
        <v>0</v>
      </c>
      <c r="E126" s="1192">
        <v>119393.66</v>
      </c>
      <c r="F126" s="1190" t="s">
        <v>818</v>
      </c>
      <c r="G126" s="1190" t="s">
        <v>887</v>
      </c>
      <c r="H126" s="653"/>
      <c r="I126" s="654"/>
      <c r="J126" s="654"/>
      <c r="K126" s="654"/>
      <c r="L126" s="655" t="str">
        <f t="shared" si="67"/>
        <v>1792</v>
      </c>
      <c r="M126" s="656" t="str">
        <f t="shared" si="0"/>
        <v>ENSEIGNES</v>
      </c>
      <c r="N126" s="657">
        <f>+IF(OR($Q126=Parametres!$G$2,$Q126=Parametres!$G$3),I126,C126)</f>
        <v>119393.66</v>
      </c>
      <c r="O126" s="657">
        <f>+IF(OR($Q126=Parametres!$G$2,$Q126=Parametres!$G$3),J126,D126)</f>
        <v>0</v>
      </c>
      <c r="P126" s="657">
        <f>+IF(OR($Q126=Parametres!$G$2,$Q126=Parametres!$G$3),K126,E126)</f>
        <v>119393.66</v>
      </c>
      <c r="Q126" s="656" t="str">
        <f t="shared" ref="Q126:S126" si="127">+F126</f>
        <v>2-Actifs</v>
      </c>
      <c r="R126" s="655" t="str">
        <f t="shared" si="127"/>
        <v>1700</v>
      </c>
      <c r="S126" s="656">
        <f t="shared" si="127"/>
        <v>0</v>
      </c>
      <c r="T126" s="658" t="str">
        <f>+VLOOKUP($L126,Data_Validation!$A:$D,1,0)</f>
        <v>1792</v>
      </c>
      <c r="U126" s="658" t="str">
        <f>+VLOOKUP($L126,Data_Validation!$A:$D,3,0)</f>
        <v>Bilan</v>
      </c>
      <c r="V126" s="658" t="str">
        <f>+VLOOKUP($L126,Data_Validation!$A:$D,4,0)</f>
        <v>Enseigne</v>
      </c>
      <c r="W126" s="658" t="str">
        <f>+VLOOKUP($L126,Data_Validation!$A:$E,5,0)</f>
        <v>$</v>
      </c>
      <c r="X126" s="658">
        <f>+VLOOKUP($L126,Data_Validation!$A:$F,6,0)</f>
        <v>0</v>
      </c>
    </row>
    <row r="127" spans="1:24" ht="15" customHeight="1">
      <c r="A127" s="1190" t="s">
        <v>900</v>
      </c>
      <c r="B127" s="1190" t="s">
        <v>1632</v>
      </c>
      <c r="C127" s="1192">
        <v>-119393.65</v>
      </c>
      <c r="D127" s="1192">
        <v>0</v>
      </c>
      <c r="E127" s="1192">
        <v>-119393.65</v>
      </c>
      <c r="F127" s="1190" t="s">
        <v>818</v>
      </c>
      <c r="G127" s="1190" t="s">
        <v>887</v>
      </c>
      <c r="H127" s="652"/>
      <c r="I127" s="665"/>
      <c r="J127" s="665"/>
      <c r="K127" s="665"/>
      <c r="L127" s="655" t="str">
        <f t="shared" si="67"/>
        <v>1793</v>
      </c>
      <c r="M127" s="656" t="str">
        <f t="shared" si="0"/>
        <v>AMORT. CUM. ENSEIGNES</v>
      </c>
      <c r="N127" s="657">
        <f>+IF(OR($Q127=Parametres!$G$2,$Q127=Parametres!$G$3),I127,C127)</f>
        <v>-119393.65</v>
      </c>
      <c r="O127" s="657">
        <f>+IF(OR($Q127=Parametres!$G$2,$Q127=Parametres!$G$3),J127,D127)</f>
        <v>0</v>
      </c>
      <c r="P127" s="657">
        <f>+IF(OR($Q127=Parametres!$G$2,$Q127=Parametres!$G$3),K127,E127)</f>
        <v>-119393.65</v>
      </c>
      <c r="Q127" s="656" t="str">
        <f t="shared" ref="Q127:S127" si="128">+F127</f>
        <v>2-Actifs</v>
      </c>
      <c r="R127" s="655" t="str">
        <f t="shared" si="128"/>
        <v>1700</v>
      </c>
      <c r="S127" s="656">
        <f t="shared" si="128"/>
        <v>0</v>
      </c>
      <c r="T127" s="658" t="str">
        <f>+VLOOKUP($L127,Data_Validation!$A:$D,1,0)</f>
        <v>1793</v>
      </c>
      <c r="U127" s="658" t="str">
        <f>+VLOOKUP($L127,Data_Validation!$A:$D,3,0)</f>
        <v>Bilan</v>
      </c>
      <c r="V127" s="658" t="str">
        <f>+VLOOKUP($L127,Data_Validation!$A:$D,4,0)</f>
        <v>Enseigne</v>
      </c>
      <c r="W127" s="658" t="str">
        <f>+VLOOKUP($L127,Data_Validation!$A:$E,5,0)</f>
        <v>$</v>
      </c>
      <c r="X127" s="658">
        <f>+VLOOKUP($L127,Data_Validation!$A:$F,6,0)</f>
        <v>0</v>
      </c>
    </row>
    <row r="128" spans="1:24" ht="15" customHeight="1">
      <c r="A128" s="1190" t="s">
        <v>3338</v>
      </c>
      <c r="B128" s="1190" t="s">
        <v>901</v>
      </c>
      <c r="C128" s="1192">
        <v>4473600</v>
      </c>
      <c r="D128" s="1192">
        <v>0</v>
      </c>
      <c r="E128" s="1192">
        <v>4473600</v>
      </c>
      <c r="F128" s="1190" t="s">
        <v>818</v>
      </c>
      <c r="G128" s="1190" t="s">
        <v>901</v>
      </c>
      <c r="H128" s="653"/>
      <c r="I128" s="654"/>
      <c r="J128" s="654"/>
      <c r="K128" s="654"/>
      <c r="L128" s="655" t="str">
        <f t="shared" si="67"/>
        <v>1804</v>
      </c>
      <c r="M128" s="656" t="str">
        <f t="shared" si="0"/>
        <v>AVANCES COMPLEXE INTERCO</v>
      </c>
      <c r="N128" s="657">
        <f>+IF(OR($Q128=Parametres!$G$2,$Q128=Parametres!$G$3),I128,C128)</f>
        <v>4473600</v>
      </c>
      <c r="O128" s="657">
        <f>+IF(OR($Q128=Parametres!$G$2,$Q128=Parametres!$G$3),J128,D128)</f>
        <v>0</v>
      </c>
      <c r="P128" s="657">
        <f>+IF(OR($Q128=Parametres!$G$2,$Q128=Parametres!$G$3),K128,E128)</f>
        <v>4473600</v>
      </c>
      <c r="Q128" s="656" t="str">
        <f t="shared" ref="Q128:S128" si="129">+F128</f>
        <v>2-Actifs</v>
      </c>
      <c r="R128" s="655" t="str">
        <f t="shared" si="129"/>
        <v>1804</v>
      </c>
      <c r="S128" s="656">
        <f t="shared" si="129"/>
        <v>0</v>
      </c>
      <c r="T128" s="658" t="str">
        <f>+VLOOKUP($L128,Data_Validation!$A:$D,1,0)</f>
        <v>1804</v>
      </c>
      <c r="U128" s="658" t="str">
        <f>+VLOOKUP($L128,Data_Validation!$A:$D,3,0)</f>
        <v>Bilan</v>
      </c>
      <c r="V128" s="658" t="str">
        <f>+VLOOKUP($L128,Data_Validation!$A:$D,4,0)</f>
        <v>Avances à Recevoir Long Terme</v>
      </c>
      <c r="W128" s="658" t="str">
        <f>+VLOOKUP($L128,Data_Validation!$A:$E,5,0)</f>
        <v>$</v>
      </c>
      <c r="X128" s="658">
        <f>+VLOOKUP($L128,Data_Validation!$A:$F,6,0)</f>
        <v>0</v>
      </c>
    </row>
    <row r="129" spans="1:24" ht="15" customHeight="1">
      <c r="A129" s="1190" t="s">
        <v>902</v>
      </c>
      <c r="B129" s="1190" t="s">
        <v>1637</v>
      </c>
      <c r="C129" s="1192">
        <v>2795.53</v>
      </c>
      <c r="D129" s="1192">
        <v>-1151.4100000000001</v>
      </c>
      <c r="E129" s="1192">
        <v>1644.12</v>
      </c>
      <c r="F129" s="1190" t="s">
        <v>818</v>
      </c>
      <c r="G129" s="1190" t="s">
        <v>823</v>
      </c>
      <c r="H129" s="652"/>
      <c r="I129" s="665"/>
      <c r="J129" s="665"/>
      <c r="K129" s="665"/>
      <c r="L129" s="655" t="str">
        <f t="shared" si="67"/>
        <v>1806</v>
      </c>
      <c r="M129" s="656" t="str">
        <f t="shared" si="0"/>
        <v>FINANCEMENT RECEVABLE</v>
      </c>
      <c r="N129" s="657">
        <f>+IF(OR($Q129=Parametres!$G$2,$Q129=Parametres!$G$3),I129,C129)</f>
        <v>2795.53</v>
      </c>
      <c r="O129" s="657">
        <f>+IF(OR($Q129=Parametres!$G$2,$Q129=Parametres!$G$3),J129,D129)</f>
        <v>-1151.4100000000001</v>
      </c>
      <c r="P129" s="657">
        <f>+IF(OR($Q129=Parametres!$G$2,$Q129=Parametres!$G$3),K129,E129)</f>
        <v>1644.12</v>
      </c>
      <c r="Q129" s="656" t="str">
        <f t="shared" ref="Q129:S129" si="130">+F129</f>
        <v>2-Actifs</v>
      </c>
      <c r="R129" s="655" t="str">
        <f t="shared" si="130"/>
        <v>1382</v>
      </c>
      <c r="S129" s="656">
        <f t="shared" si="130"/>
        <v>0</v>
      </c>
      <c r="T129" s="658" t="str">
        <f>+VLOOKUP($L129,Data_Validation!$A:$D,1,0)</f>
        <v>1806</v>
      </c>
      <c r="U129" s="658" t="str">
        <f>+VLOOKUP($L129,Data_Validation!$A:$D,3,0)</f>
        <v>Bilan</v>
      </c>
      <c r="V129" s="658" t="str">
        <f>+VLOOKUP($L129,Data_Validation!$A:$D,4,0)</f>
        <v>Recevables Autres</v>
      </c>
      <c r="W129" s="658" t="str">
        <f>+VLOOKUP($L129,Data_Validation!$A:$E,5,0)</f>
        <v>$</v>
      </c>
      <c r="X129" s="658">
        <f>+VLOOKUP($L129,Data_Validation!$A:$F,6,0)</f>
        <v>0</v>
      </c>
    </row>
    <row r="130" spans="1:24" ht="15" customHeight="1">
      <c r="A130" s="1190" t="s">
        <v>903</v>
      </c>
      <c r="B130" s="1190" t="s">
        <v>905</v>
      </c>
      <c r="C130" s="1192">
        <v>-7012332.0199999996</v>
      </c>
      <c r="D130" s="1192">
        <v>-2498253.83</v>
      </c>
      <c r="E130" s="1192">
        <v>-9510585.8499999996</v>
      </c>
      <c r="F130" s="1190" t="s">
        <v>904</v>
      </c>
      <c r="G130" s="1190" t="s">
        <v>905</v>
      </c>
      <c r="H130" s="653"/>
      <c r="I130" s="653"/>
      <c r="J130" s="653"/>
      <c r="K130" s="653"/>
      <c r="L130" s="655" t="str">
        <f t="shared" si="67"/>
        <v>2101</v>
      </c>
      <c r="M130" s="656" t="str">
        <f t="shared" si="0"/>
        <v>NOTE A PAYER VEH. NEUFS VOLKS</v>
      </c>
      <c r="N130" s="657">
        <f>+IF(OR($Q130=Parametres!$G$2,$Q130=Parametres!$G$3),I130,C130)</f>
        <v>-7012332.0199999996</v>
      </c>
      <c r="O130" s="657">
        <f>+IF(OR($Q130=Parametres!$G$2,$Q130=Parametres!$G$3),J130,D130)</f>
        <v>-2498253.83</v>
      </c>
      <c r="P130" s="657">
        <f>+IF(OR($Q130=Parametres!$G$2,$Q130=Parametres!$G$3),K130,E130)</f>
        <v>-9510585.8499999996</v>
      </c>
      <c r="Q130" s="656" t="str">
        <f t="shared" ref="Q130:S130" si="131">+F130</f>
        <v>3-Passifs</v>
      </c>
      <c r="R130" s="655" t="str">
        <f t="shared" si="131"/>
        <v>2101</v>
      </c>
      <c r="S130" s="656">
        <f t="shared" si="131"/>
        <v>0</v>
      </c>
      <c r="T130" s="658" t="str">
        <f>+VLOOKUP($L130,Data_Validation!$A:$D,1,0)</f>
        <v>2101</v>
      </c>
      <c r="U130" s="658" t="str">
        <f>+VLOOKUP($L130,Data_Validation!$A:$D,3,0)</f>
        <v>Bilan</v>
      </c>
      <c r="V130" s="658" t="str">
        <f>+VLOOKUP($L130,Data_Validation!$A:$D,4,0)</f>
        <v>Effet à Payer Véhicules Neufs</v>
      </c>
      <c r="W130" s="658" t="str">
        <f>+VLOOKUP($L130,Data_Validation!$A:$E,5,0)</f>
        <v>$</v>
      </c>
      <c r="X130" s="658">
        <f>+VLOOKUP($L130,Data_Validation!$A:$F,6,0)</f>
        <v>0</v>
      </c>
    </row>
    <row r="131" spans="1:24" ht="15.75" customHeight="1">
      <c r="A131" s="1190" t="s">
        <v>906</v>
      </c>
      <c r="B131" s="1190" t="s">
        <v>907</v>
      </c>
      <c r="C131" s="1192">
        <v>-1117534.25</v>
      </c>
      <c r="D131" s="1192">
        <v>-44369.72</v>
      </c>
      <c r="E131" s="1192">
        <v>-1161903.97</v>
      </c>
      <c r="F131" s="1190" t="s">
        <v>904</v>
      </c>
      <c r="G131" s="1190" t="s">
        <v>907</v>
      </c>
      <c r="H131" s="653"/>
      <c r="I131" s="653"/>
      <c r="J131" s="653"/>
      <c r="K131" s="653"/>
      <c r="L131" s="655" t="str">
        <f t="shared" ref="L131:L179" si="132">TEXT(B131,0)</f>
        <v>2103</v>
      </c>
      <c r="M131" s="656" t="str">
        <f t="shared" si="0"/>
        <v>NOTE PAYABLE-FIN. VEH. USAG.</v>
      </c>
      <c r="N131" s="657">
        <f>+IF(OR($Q131=Parametres!$G$2,$Q131=Parametres!$G$3),I131,C131)</f>
        <v>-1117534.25</v>
      </c>
      <c r="O131" s="661">
        <f>+IF(OR($Q131=Parametres!$G$2,$Q131=Parametres!$G$3),J131,D131)</f>
        <v>-44369.72</v>
      </c>
      <c r="P131" s="657">
        <f>+IF(OR($Q131=Parametres!$G$2,$Q131=Parametres!$G$3),K131,E131)</f>
        <v>-1161903.97</v>
      </c>
      <c r="Q131" s="656" t="str">
        <f t="shared" ref="Q131:S131" si="133">+F131</f>
        <v>3-Passifs</v>
      </c>
      <c r="R131" s="655" t="str">
        <f t="shared" si="133"/>
        <v>2103</v>
      </c>
      <c r="S131" s="656">
        <f t="shared" si="133"/>
        <v>0</v>
      </c>
      <c r="T131" s="658" t="str">
        <f>+VLOOKUP($L131,Data_Validation!$A:$D,1,0)</f>
        <v>2103</v>
      </c>
      <c r="U131" s="658" t="str">
        <f>+VLOOKUP($L131,Data_Validation!$A:$D,3,0)</f>
        <v>Bilan</v>
      </c>
      <c r="V131" s="658" t="str">
        <f>+VLOOKUP($L131,Data_Validation!$A:$D,4,0)</f>
        <v>Effet à Payer Véhicules Usagés</v>
      </c>
      <c r="W131" s="658" t="str">
        <f>+VLOOKUP($L131,Data_Validation!$A:$E,5,0)</f>
        <v>$</v>
      </c>
      <c r="X131" s="658">
        <f>+VLOOKUP($L131,Data_Validation!$A:$F,6,0)</f>
        <v>0</v>
      </c>
    </row>
    <row r="132" spans="1:24" ht="15" customHeight="1">
      <c r="A132" s="1190" t="s">
        <v>910</v>
      </c>
      <c r="B132" s="1190" t="s">
        <v>911</v>
      </c>
      <c r="C132" s="1192">
        <v>-183.28</v>
      </c>
      <c r="D132" s="1192">
        <v>51.21</v>
      </c>
      <c r="E132" s="1192">
        <v>-132.07</v>
      </c>
      <c r="F132" s="1190" t="s">
        <v>904</v>
      </c>
      <c r="G132" s="1190" t="s">
        <v>911</v>
      </c>
      <c r="H132" s="653"/>
      <c r="I132" s="653"/>
      <c r="J132" s="653"/>
      <c r="K132" s="653"/>
      <c r="L132" s="655" t="str">
        <f t="shared" si="132"/>
        <v>2220</v>
      </c>
      <c r="M132" s="656" t="str">
        <f t="shared" si="0"/>
        <v>TPA A PAYER</v>
      </c>
      <c r="N132" s="657">
        <f>+IF(OR($Q132=Parametres!$G$2,$Q132=Parametres!$G$3),I132,C132)</f>
        <v>-183.28</v>
      </c>
      <c r="O132" s="657">
        <f>+IF(OR($Q132=Parametres!$G$2,$Q132=Parametres!$G$3),J132,D132)</f>
        <v>51.21</v>
      </c>
      <c r="P132" s="657">
        <f>+IF(OR($Q132=Parametres!$G$2,$Q132=Parametres!$G$3),K132,E132)</f>
        <v>-132.07</v>
      </c>
      <c r="Q132" s="656" t="str">
        <f t="shared" ref="Q132:S132" si="134">+F132</f>
        <v>3-Passifs</v>
      </c>
      <c r="R132" s="655" t="str">
        <f t="shared" si="134"/>
        <v>2220</v>
      </c>
      <c r="S132" s="656">
        <f t="shared" si="134"/>
        <v>0</v>
      </c>
      <c r="T132" s="658" t="str">
        <f>+VLOOKUP($L132,Data_Validation!$A:$D,1,0)</f>
        <v>2220</v>
      </c>
      <c r="U132" s="658" t="str">
        <f>+VLOOKUP($L132,Data_Validation!$A:$D,3,0)</f>
        <v>Bilan</v>
      </c>
      <c r="V132" s="658" t="str">
        <f>+VLOOKUP($L132,Data_Validation!$A:$D,4,0)</f>
        <v>Taxes de Vente à Payer</v>
      </c>
      <c r="W132" s="658" t="str">
        <f>+VLOOKUP($L132,Data_Validation!$A:$E,5,0)</f>
        <v>$</v>
      </c>
      <c r="X132" s="658">
        <f>+VLOOKUP($L132,Data_Validation!$A:$F,6,0)</f>
        <v>0</v>
      </c>
    </row>
    <row r="133" spans="1:24" ht="15" customHeight="1">
      <c r="A133" s="1190" t="s">
        <v>912</v>
      </c>
      <c r="B133" s="1190" t="s">
        <v>913</v>
      </c>
      <c r="C133" s="1192">
        <v>-87270.83</v>
      </c>
      <c r="D133" s="1192">
        <v>-18479.2</v>
      </c>
      <c r="E133" s="1192">
        <v>-105750.03</v>
      </c>
      <c r="F133" s="1190" t="s">
        <v>904</v>
      </c>
      <c r="G133" s="1190" t="s">
        <v>913</v>
      </c>
      <c r="H133" s="653"/>
      <c r="I133" s="654"/>
      <c r="J133" s="654"/>
      <c r="K133" s="654"/>
      <c r="L133" s="655" t="str">
        <f t="shared" si="132"/>
        <v>2221</v>
      </c>
      <c r="M133" s="656" t="str">
        <f t="shared" si="0"/>
        <v>TVQ A PAYER</v>
      </c>
      <c r="N133" s="657">
        <f>+IF(OR($Q133=Parametres!$G$2,$Q133=Parametres!$G$3),I133,C133)</f>
        <v>-87270.83</v>
      </c>
      <c r="O133" s="657">
        <f>+IF(OR($Q133=Parametres!$G$2,$Q133=Parametres!$G$3),J133,D133)</f>
        <v>-18479.2</v>
      </c>
      <c r="P133" s="657">
        <f>+IF(OR($Q133=Parametres!$G$2,$Q133=Parametres!$G$3),K133,E133)</f>
        <v>-105750.03</v>
      </c>
      <c r="Q133" s="656" t="str">
        <f t="shared" ref="Q133:S133" si="135">+F133</f>
        <v>3-Passifs</v>
      </c>
      <c r="R133" s="655" t="str">
        <f t="shared" si="135"/>
        <v>2221</v>
      </c>
      <c r="S133" s="656">
        <f t="shared" si="135"/>
        <v>0</v>
      </c>
      <c r="T133" s="658" t="str">
        <f>+VLOOKUP($L133,Data_Validation!$A:$D,1,0)</f>
        <v>2221</v>
      </c>
      <c r="U133" s="658" t="str">
        <f>+VLOOKUP($L133,Data_Validation!$A:$D,3,0)</f>
        <v>Bilan</v>
      </c>
      <c r="V133" s="658" t="str">
        <f>+VLOOKUP($L133,Data_Validation!$A:$D,4,0)</f>
        <v>Taxes de Vente à Payer</v>
      </c>
      <c r="W133" s="658" t="str">
        <f>+VLOOKUP($L133,Data_Validation!$A:$E,5,0)</f>
        <v>$</v>
      </c>
      <c r="X133" s="658">
        <f>+VLOOKUP($L133,Data_Validation!$A:$F,6,0)</f>
        <v>0</v>
      </c>
    </row>
    <row r="134" spans="1:24" ht="15" customHeight="1">
      <c r="A134" s="1190" t="s">
        <v>914</v>
      </c>
      <c r="B134" s="1190" t="s">
        <v>1654</v>
      </c>
      <c r="C134" s="1192">
        <v>63978.29</v>
      </c>
      <c r="D134" s="1192">
        <v>123654.68</v>
      </c>
      <c r="E134" s="1192">
        <v>187632.97</v>
      </c>
      <c r="F134" s="1190" t="s">
        <v>904</v>
      </c>
      <c r="G134" s="1190" t="s">
        <v>913</v>
      </c>
      <c r="H134" s="652"/>
      <c r="I134" s="654"/>
      <c r="J134" s="654"/>
      <c r="K134" s="654"/>
      <c r="L134" s="655" t="str">
        <f t="shared" si="132"/>
        <v>2222</v>
      </c>
      <c r="M134" s="656" t="str">
        <f t="shared" si="0"/>
        <v>TVQ A RECEVOIR</v>
      </c>
      <c r="N134" s="657">
        <f>+IF(OR($Q134=Parametres!$G$2,$Q134=Parametres!$G$3),I134,C134)</f>
        <v>63978.29</v>
      </c>
      <c r="O134" s="657">
        <f>+IF(OR($Q134=Parametres!$G$2,$Q134=Parametres!$G$3),J134,D134)</f>
        <v>123654.68</v>
      </c>
      <c r="P134" s="657">
        <f>+IF(OR($Q134=Parametres!$G$2,$Q134=Parametres!$G$3),K134,E134)</f>
        <v>187632.97</v>
      </c>
      <c r="Q134" s="656" t="str">
        <f t="shared" ref="Q134:S134" si="136">+F134</f>
        <v>3-Passifs</v>
      </c>
      <c r="R134" s="655" t="str">
        <f t="shared" si="136"/>
        <v>2221</v>
      </c>
      <c r="S134" s="656">
        <f t="shared" si="136"/>
        <v>0</v>
      </c>
      <c r="T134" s="658" t="str">
        <f>+VLOOKUP($L134,Data_Validation!$A:$D,1,0)</f>
        <v>2222</v>
      </c>
      <c r="U134" s="658" t="str">
        <f>+VLOOKUP($L134,Data_Validation!$A:$D,3,0)</f>
        <v>Bilan</v>
      </c>
      <c r="V134" s="658" t="str">
        <f>+VLOOKUP($L134,Data_Validation!$A:$D,4,0)</f>
        <v>Taxes de Vente à Payer</v>
      </c>
      <c r="W134" s="658" t="str">
        <f>+VLOOKUP($L134,Data_Validation!$A:$E,5,0)</f>
        <v>$</v>
      </c>
      <c r="X134" s="658">
        <f>+VLOOKUP($L134,Data_Validation!$A:$F,6,0)</f>
        <v>0</v>
      </c>
    </row>
    <row r="135" spans="1:24" ht="15.75" customHeight="1">
      <c r="A135" s="1190" t="s">
        <v>915</v>
      </c>
      <c r="B135" s="1190" t="s">
        <v>916</v>
      </c>
      <c r="C135" s="1192">
        <v>-308034.13</v>
      </c>
      <c r="D135" s="1192">
        <v>-1217.5</v>
      </c>
      <c r="E135" s="1192">
        <v>-309251.63</v>
      </c>
      <c r="F135" s="1190" t="s">
        <v>904</v>
      </c>
      <c r="G135" s="1190" t="s">
        <v>916</v>
      </c>
      <c r="H135" s="653"/>
      <c r="I135" s="654"/>
      <c r="J135" s="654"/>
      <c r="K135" s="654"/>
      <c r="L135" s="655" t="str">
        <f t="shared" si="132"/>
        <v>2223</v>
      </c>
      <c r="M135" s="656" t="str">
        <f t="shared" si="0"/>
        <v>TPS A PAYER</v>
      </c>
      <c r="N135" s="657">
        <f>+IF(OR($Q135=Parametres!$G$2,$Q135=Parametres!$G$3),I135,C135)</f>
        <v>-308034.13</v>
      </c>
      <c r="O135" s="657">
        <f>+IF(OR($Q135=Parametres!$G$2,$Q135=Parametres!$G$3),J135,D135)</f>
        <v>-1217.5</v>
      </c>
      <c r="P135" s="657">
        <f>+IF(OR($Q135=Parametres!$G$2,$Q135=Parametres!$G$3),K135,E135)</f>
        <v>-309251.63</v>
      </c>
      <c r="Q135" s="656" t="str">
        <f t="shared" ref="Q135:S135" si="137">+F135</f>
        <v>3-Passifs</v>
      </c>
      <c r="R135" s="655" t="str">
        <f t="shared" si="137"/>
        <v>2223</v>
      </c>
      <c r="S135" s="656">
        <f t="shared" si="137"/>
        <v>0</v>
      </c>
      <c r="T135" s="658" t="str">
        <f>+VLOOKUP($L135,Data_Validation!$A:$D,1,0)</f>
        <v>2223</v>
      </c>
      <c r="U135" s="658" t="str">
        <f>+VLOOKUP($L135,Data_Validation!$A:$D,3,0)</f>
        <v>Bilan</v>
      </c>
      <c r="V135" s="658" t="str">
        <f>+VLOOKUP($L135,Data_Validation!$A:$D,4,0)</f>
        <v>Taxes de Vente à Payer</v>
      </c>
      <c r="W135" s="658" t="str">
        <f>+VLOOKUP($L135,Data_Validation!$A:$E,5,0)</f>
        <v>$</v>
      </c>
      <c r="X135" s="658">
        <f>+VLOOKUP($L135,Data_Validation!$A:$F,6,0)</f>
        <v>0</v>
      </c>
    </row>
    <row r="136" spans="1:24" ht="15" customHeight="1">
      <c r="A136" s="1190" t="s">
        <v>917</v>
      </c>
      <c r="B136" s="1190" t="s">
        <v>1659</v>
      </c>
      <c r="C136" s="1192">
        <v>232402.78</v>
      </c>
      <c r="D136" s="1192">
        <v>188630.26</v>
      </c>
      <c r="E136" s="1192">
        <v>421033.04</v>
      </c>
      <c r="F136" s="1190" t="s">
        <v>904</v>
      </c>
      <c r="G136" s="1190" t="s">
        <v>916</v>
      </c>
      <c r="H136" s="652"/>
      <c r="I136" s="654"/>
      <c r="J136" s="654"/>
      <c r="K136" s="654"/>
      <c r="L136" s="655" t="str">
        <f t="shared" ref="L136:L151" si="138">TEXT(B136,0)</f>
        <v>2224</v>
      </c>
      <c r="M136" s="656" t="str">
        <f t="shared" ref="M136:M151" si="139">+A136</f>
        <v>TPS A RECEVOIR</v>
      </c>
      <c r="N136" s="657">
        <f>+IF(OR($Q136=Parametres!$G$2,$Q136=Parametres!$G$3),I136,C136)</f>
        <v>232402.78</v>
      </c>
      <c r="O136" s="657">
        <f>+IF(OR($Q136=Parametres!$G$2,$Q136=Parametres!$G$3),J136,D136)</f>
        <v>188630.26</v>
      </c>
      <c r="P136" s="657">
        <f>+IF(OR($Q136=Parametres!$G$2,$Q136=Parametres!$G$3),K136,E136)</f>
        <v>421033.04</v>
      </c>
      <c r="Q136" s="656" t="str">
        <f t="shared" ref="Q136:Q151" si="140">+F136</f>
        <v>3-Passifs</v>
      </c>
      <c r="R136" s="655" t="str">
        <f t="shared" ref="R136:R151" si="141">+G136</f>
        <v>2223</v>
      </c>
      <c r="S136" s="656">
        <f t="shared" ref="S136:S151" si="142">+H136</f>
        <v>0</v>
      </c>
      <c r="T136" s="658" t="str">
        <f>+VLOOKUP($L136,Data_Validation!$A:$D,1,0)</f>
        <v>2224</v>
      </c>
      <c r="U136" s="658" t="str">
        <f>+VLOOKUP($L136,Data_Validation!$A:$D,3,0)</f>
        <v>Bilan</v>
      </c>
      <c r="V136" s="658" t="str">
        <f>+VLOOKUP($L136,Data_Validation!$A:$D,4,0)</f>
        <v>Taxes de Vente à Payer</v>
      </c>
      <c r="W136" s="658" t="str">
        <f>+VLOOKUP($L136,Data_Validation!$A:$E,5,0)</f>
        <v>$</v>
      </c>
      <c r="X136" s="658">
        <f>+VLOOKUP($L136,Data_Validation!$A:$F,6,0)</f>
        <v>0</v>
      </c>
    </row>
    <row r="137" spans="1:24" ht="15" customHeight="1">
      <c r="A137" s="1190" t="s">
        <v>918</v>
      </c>
      <c r="B137" s="1190" t="s">
        <v>1662</v>
      </c>
      <c r="C137" s="1192">
        <v>-1864.7</v>
      </c>
      <c r="D137" s="1192">
        <v>-102</v>
      </c>
      <c r="E137" s="1192">
        <v>-1966.7</v>
      </c>
      <c r="F137" s="1190" t="s">
        <v>904</v>
      </c>
      <c r="G137" s="1190" t="s">
        <v>913</v>
      </c>
      <c r="H137" s="653"/>
      <c r="I137" s="654"/>
      <c r="J137" s="654"/>
      <c r="K137" s="654"/>
      <c r="L137" s="655" t="str">
        <f t="shared" si="138"/>
        <v>2225</v>
      </c>
      <c r="M137" s="656" t="str">
        <f t="shared" si="139"/>
        <v>DROIT SUR PNEUS</v>
      </c>
      <c r="N137" s="657">
        <f>+IF(OR($Q137=Parametres!$G$2,$Q137=Parametres!$G$3),I137,C137)</f>
        <v>-1864.7</v>
      </c>
      <c r="O137" s="657">
        <f>+IF(OR($Q137=Parametres!$G$2,$Q137=Parametres!$G$3),J137,D137)</f>
        <v>-102</v>
      </c>
      <c r="P137" s="657">
        <f>+IF(OR($Q137=Parametres!$G$2,$Q137=Parametres!$G$3),K137,E137)</f>
        <v>-1966.7</v>
      </c>
      <c r="Q137" s="656" t="str">
        <f t="shared" si="140"/>
        <v>3-Passifs</v>
      </c>
      <c r="R137" s="655" t="str">
        <f t="shared" si="141"/>
        <v>2221</v>
      </c>
      <c r="S137" s="656">
        <f t="shared" si="142"/>
        <v>0</v>
      </c>
      <c r="T137" s="658" t="str">
        <f>+VLOOKUP($L137,Data_Validation!$A:$D,1,0)</f>
        <v>2225</v>
      </c>
      <c r="U137" s="658" t="str">
        <f>+VLOOKUP($L137,Data_Validation!$A:$D,3,0)</f>
        <v>Bilan</v>
      </c>
      <c r="V137" s="658" t="str">
        <f>+VLOOKUP($L137,Data_Validation!$A:$D,4,0)</f>
        <v>Taxes de Vente à Payer</v>
      </c>
      <c r="W137" s="658" t="str">
        <f>+VLOOKUP($L137,Data_Validation!$A:$E,5,0)</f>
        <v>$</v>
      </c>
      <c r="X137" s="658">
        <f>+VLOOKUP($L137,Data_Validation!$A:$F,6,0)</f>
        <v>0</v>
      </c>
    </row>
    <row r="138" spans="1:24" ht="15" customHeight="1">
      <c r="A138" s="1190" t="s">
        <v>919</v>
      </c>
      <c r="B138" s="1190" t="s">
        <v>1665</v>
      </c>
      <c r="C138" s="1192">
        <v>-176089.97</v>
      </c>
      <c r="D138" s="1192">
        <v>-201941.95</v>
      </c>
      <c r="E138" s="1192">
        <v>-378031.92</v>
      </c>
      <c r="F138" s="1190" t="s">
        <v>904</v>
      </c>
      <c r="G138" s="1190" t="s">
        <v>920</v>
      </c>
      <c r="H138" s="652"/>
      <c r="I138" s="665"/>
      <c r="J138" s="665"/>
      <c r="K138" s="665"/>
      <c r="L138" s="655" t="str">
        <f t="shared" si="138"/>
        <v>2281</v>
      </c>
      <c r="M138" s="656" t="str">
        <f t="shared" si="139"/>
        <v>LIEN A PAYER</v>
      </c>
      <c r="N138" s="657">
        <f>+IF(OR($Q138=Parametres!$G$2,$Q138=Parametres!$G$3),I138,C138)</f>
        <v>-176089.97</v>
      </c>
      <c r="O138" s="657">
        <f>+IF(OR($Q138=Parametres!$G$2,$Q138=Parametres!$G$3),J138,D138)</f>
        <v>-201941.95</v>
      </c>
      <c r="P138" s="657">
        <f>+IF(OR($Q138=Parametres!$G$2,$Q138=Parametres!$G$3),K138,E138)</f>
        <v>-378031.92</v>
      </c>
      <c r="Q138" s="656" t="str">
        <f t="shared" si="140"/>
        <v>3-Passifs</v>
      </c>
      <c r="R138" s="655" t="str">
        <f t="shared" si="141"/>
        <v>2283</v>
      </c>
      <c r="S138" s="656">
        <f t="shared" si="142"/>
        <v>0</v>
      </c>
      <c r="T138" s="658" t="str">
        <f>+VLOOKUP($L138,Data_Validation!$A:$D,1,0)</f>
        <v>2281</v>
      </c>
      <c r="U138" s="658" t="str">
        <f>+VLOOKUP($L138,Data_Validation!$A:$D,3,0)</f>
        <v>Bilan</v>
      </c>
      <c r="V138" s="658" t="str">
        <f>+VLOOKUP($L138,Data_Validation!$A:$D,4,0)</f>
        <v>Autres Comptes à Payer</v>
      </c>
      <c r="W138" s="658" t="str">
        <f>+VLOOKUP($L138,Data_Validation!$A:$E,5,0)</f>
        <v>$</v>
      </c>
      <c r="X138" s="658">
        <f>+VLOOKUP($L138,Data_Validation!$A:$F,6,0)</f>
        <v>0</v>
      </c>
    </row>
    <row r="139" spans="1:24" ht="15.75" customHeight="1">
      <c r="A139" s="1190" t="s">
        <v>921</v>
      </c>
      <c r="B139" s="1190" t="s">
        <v>920</v>
      </c>
      <c r="C139" s="1192">
        <v>-2280</v>
      </c>
      <c r="D139" s="1192">
        <v>-920</v>
      </c>
      <c r="E139" s="1192">
        <v>-3200</v>
      </c>
      <c r="F139" s="1190" t="s">
        <v>904</v>
      </c>
      <c r="G139" s="1190" t="s">
        <v>920</v>
      </c>
      <c r="H139" s="652"/>
      <c r="I139" s="654"/>
      <c r="J139" s="654"/>
      <c r="K139" s="654"/>
      <c r="L139" s="655" t="str">
        <f t="shared" si="138"/>
        <v>2283</v>
      </c>
      <c r="M139" s="656" t="str">
        <f t="shared" si="139"/>
        <v>PLAQUE A PAYER</v>
      </c>
      <c r="N139" s="657">
        <f>+IF(OR($Q139=Parametres!$G$2,$Q139=Parametres!$G$3),I139,C139)</f>
        <v>-2280</v>
      </c>
      <c r="O139" s="657">
        <f>+IF(OR($Q139=Parametres!$G$2,$Q139=Parametres!$G$3),J139,D139)</f>
        <v>-920</v>
      </c>
      <c r="P139" s="657">
        <f>+IF(OR($Q139=Parametres!$G$2,$Q139=Parametres!$G$3),K139,E139)</f>
        <v>-3200</v>
      </c>
      <c r="Q139" s="656" t="str">
        <f t="shared" si="140"/>
        <v>3-Passifs</v>
      </c>
      <c r="R139" s="655" t="str">
        <f t="shared" si="141"/>
        <v>2283</v>
      </c>
      <c r="S139" s="656">
        <f t="shared" si="142"/>
        <v>0</v>
      </c>
      <c r="T139" s="658" t="str">
        <f>+VLOOKUP($L139,Data_Validation!$A:$D,1,0)</f>
        <v>2283</v>
      </c>
      <c r="U139" s="658" t="str">
        <f>+VLOOKUP($L139,Data_Validation!$A:$D,3,0)</f>
        <v>Bilan</v>
      </c>
      <c r="V139" s="658" t="str">
        <f>+VLOOKUP($L139,Data_Validation!$A:$D,4,0)</f>
        <v>Autres Comptes à Payer</v>
      </c>
      <c r="W139" s="658" t="str">
        <f>+VLOOKUP($L139,Data_Validation!$A:$E,5,0)</f>
        <v>$</v>
      </c>
      <c r="X139" s="658">
        <f>+VLOOKUP($L139,Data_Validation!$A:$F,6,0)</f>
        <v>0</v>
      </c>
    </row>
    <row r="140" spans="1:24" ht="15" customHeight="1">
      <c r="A140" s="1190" t="s">
        <v>922</v>
      </c>
      <c r="B140" s="1190" t="s">
        <v>1670</v>
      </c>
      <c r="C140" s="1192">
        <v>-96003.08</v>
      </c>
      <c r="D140" s="1192">
        <v>21605.17</v>
      </c>
      <c r="E140" s="1192">
        <v>-74397.91</v>
      </c>
      <c r="F140" s="1190" t="s">
        <v>904</v>
      </c>
      <c r="G140" s="1190" t="s">
        <v>920</v>
      </c>
      <c r="H140" s="652"/>
      <c r="I140" s="654"/>
      <c r="J140" s="654"/>
      <c r="K140" s="654"/>
      <c r="L140" s="655" t="str">
        <f t="shared" si="138"/>
        <v>2285</v>
      </c>
      <c r="M140" s="656" t="str">
        <f t="shared" si="139"/>
        <v>PROTECTIONS A PAYER</v>
      </c>
      <c r="N140" s="657">
        <f>+IF(OR($Q140=Parametres!$G$2,$Q140=Parametres!$G$3),I140,C140)</f>
        <v>-96003.08</v>
      </c>
      <c r="O140" s="657">
        <f>+IF(OR($Q140=Parametres!$G$2,$Q140=Parametres!$G$3),J140,D140)</f>
        <v>21605.17</v>
      </c>
      <c r="P140" s="657">
        <f>+IF(OR($Q140=Parametres!$G$2,$Q140=Parametres!$G$3),K140,E140)</f>
        <v>-74397.91</v>
      </c>
      <c r="Q140" s="656" t="str">
        <f t="shared" si="140"/>
        <v>3-Passifs</v>
      </c>
      <c r="R140" s="655" t="str">
        <f t="shared" si="141"/>
        <v>2283</v>
      </c>
      <c r="S140" s="656">
        <f t="shared" si="142"/>
        <v>0</v>
      </c>
      <c r="T140" s="658" t="str">
        <f>+VLOOKUP($L140,Data_Validation!$A:$D,1,0)</f>
        <v>2285</v>
      </c>
      <c r="U140" s="658" t="str">
        <f>+VLOOKUP($L140,Data_Validation!$A:$D,3,0)</f>
        <v>Bilan</v>
      </c>
      <c r="V140" s="658" t="str">
        <f>+VLOOKUP($L140,Data_Validation!$A:$D,4,0)</f>
        <v>Autres Comptes à Payer</v>
      </c>
      <c r="W140" s="658" t="str">
        <f>+VLOOKUP($L140,Data_Validation!$A:$E,5,0)</f>
        <v>$</v>
      </c>
      <c r="X140" s="658">
        <f>+VLOOKUP($L140,Data_Validation!$A:$F,6,0)</f>
        <v>0</v>
      </c>
    </row>
    <row r="141" spans="1:24" ht="15" customHeight="1">
      <c r="A141" s="1190" t="s">
        <v>923</v>
      </c>
      <c r="B141" s="1190" t="s">
        <v>1673</v>
      </c>
      <c r="C141" s="1192">
        <v>-1725.88</v>
      </c>
      <c r="D141" s="1192">
        <v>-5072.59</v>
      </c>
      <c r="E141" s="1192">
        <v>-6798.47</v>
      </c>
      <c r="F141" s="1190" t="s">
        <v>904</v>
      </c>
      <c r="G141" s="1190" t="s">
        <v>920</v>
      </c>
      <c r="H141" s="652"/>
      <c r="I141" s="665"/>
      <c r="J141" s="665"/>
      <c r="K141" s="665"/>
      <c r="L141" s="655" t="str">
        <f t="shared" si="138"/>
        <v>2287</v>
      </c>
      <c r="M141" s="656" t="str">
        <f t="shared" si="139"/>
        <v>A PAYER INVAPLAN</v>
      </c>
      <c r="N141" s="657">
        <f>+IF(OR($Q141=Parametres!$G$2,$Q141=Parametres!$G$3),I141,C141)</f>
        <v>-1725.88</v>
      </c>
      <c r="O141" s="657">
        <f>+IF(OR($Q141=Parametres!$G$2,$Q141=Parametres!$G$3),J141,D141)</f>
        <v>-5072.59</v>
      </c>
      <c r="P141" s="657">
        <f>+IF(OR($Q141=Parametres!$G$2,$Q141=Parametres!$G$3),K141,E141)</f>
        <v>-6798.47</v>
      </c>
      <c r="Q141" s="656" t="str">
        <f t="shared" si="140"/>
        <v>3-Passifs</v>
      </c>
      <c r="R141" s="655" t="str">
        <f t="shared" si="141"/>
        <v>2283</v>
      </c>
      <c r="S141" s="656">
        <f t="shared" si="142"/>
        <v>0</v>
      </c>
      <c r="T141" s="658" t="str">
        <f>+VLOOKUP($L141,Data_Validation!$A:$D,1,0)</f>
        <v>2287</v>
      </c>
      <c r="U141" s="658" t="str">
        <f>+VLOOKUP($L141,Data_Validation!$A:$D,3,0)</f>
        <v>Bilan</v>
      </c>
      <c r="V141" s="658" t="str">
        <f>+VLOOKUP($L141,Data_Validation!$A:$D,4,0)</f>
        <v>Autres Comptes à Payer</v>
      </c>
      <c r="W141" s="658" t="str">
        <f>+VLOOKUP($L141,Data_Validation!$A:$E,5,0)</f>
        <v>$</v>
      </c>
      <c r="X141" s="658">
        <f>+VLOOKUP($L141,Data_Validation!$A:$F,6,0)</f>
        <v>0</v>
      </c>
    </row>
    <row r="142" spans="1:24" ht="15" customHeight="1">
      <c r="A142" s="1190" t="s">
        <v>924</v>
      </c>
      <c r="B142" s="1190" t="s">
        <v>925</v>
      </c>
      <c r="C142" s="1192">
        <v>-277648.19</v>
      </c>
      <c r="D142" s="1192">
        <v>52242.46</v>
      </c>
      <c r="E142" s="1192">
        <v>-225405.73</v>
      </c>
      <c r="F142" s="1190" t="s">
        <v>904</v>
      </c>
      <c r="G142" s="1190" t="s">
        <v>925</v>
      </c>
      <c r="H142" s="652"/>
      <c r="I142" s="665"/>
      <c r="J142" s="665"/>
      <c r="K142" s="665"/>
      <c r="L142" s="655" t="str">
        <f t="shared" si="138"/>
        <v>2291</v>
      </c>
      <c r="M142" s="656" t="str">
        <f t="shared" si="139"/>
        <v>COMPTES FOURNISSEURS</v>
      </c>
      <c r="N142" s="657">
        <f>+IF(OR($Q142=Parametres!$G$2,$Q142=Parametres!$G$3),I142,C142)</f>
        <v>-277648.19</v>
      </c>
      <c r="O142" s="657">
        <f>+IF(OR($Q142=Parametres!$G$2,$Q142=Parametres!$G$3),J142,D142)</f>
        <v>52242.46</v>
      </c>
      <c r="P142" s="657">
        <f>+IF(OR($Q142=Parametres!$G$2,$Q142=Parametres!$G$3),K142,E142)</f>
        <v>-225405.73</v>
      </c>
      <c r="Q142" s="656" t="str">
        <f t="shared" si="140"/>
        <v>3-Passifs</v>
      </c>
      <c r="R142" s="655" t="str">
        <f t="shared" si="141"/>
        <v>2291</v>
      </c>
      <c r="S142" s="656">
        <f t="shared" si="142"/>
        <v>0</v>
      </c>
      <c r="T142" s="658" t="str">
        <f>+VLOOKUP($L142,Data_Validation!$A:$D,1,0)</f>
        <v>2291</v>
      </c>
      <c r="U142" s="658" t="str">
        <f>+VLOOKUP($L142,Data_Validation!$A:$D,3,0)</f>
        <v>Bilan</v>
      </c>
      <c r="V142" s="658" t="str">
        <f>+VLOOKUP($L142,Data_Validation!$A:$D,4,0)</f>
        <v>Comptes à Payer Fournisseurs</v>
      </c>
      <c r="W142" s="658" t="str">
        <f>+VLOOKUP($L142,Data_Validation!$A:$E,5,0)</f>
        <v>$</v>
      </c>
      <c r="X142" s="658">
        <f>+VLOOKUP($L142,Data_Validation!$A:$F,6,0)</f>
        <v>0</v>
      </c>
    </row>
    <row r="143" spans="1:24" ht="15.75" customHeight="1">
      <c r="A143" s="1190" t="s">
        <v>926</v>
      </c>
      <c r="B143" s="1190" t="s">
        <v>1681</v>
      </c>
      <c r="C143" s="1192">
        <v>-80481.850000000006</v>
      </c>
      <c r="D143" s="1192">
        <v>-62057.63</v>
      </c>
      <c r="E143" s="1192">
        <v>-142539.48000000001</v>
      </c>
      <c r="F143" s="1190" t="s">
        <v>904</v>
      </c>
      <c r="G143" s="1190" t="s">
        <v>925</v>
      </c>
      <c r="H143" s="652"/>
      <c r="I143" s="654"/>
      <c r="J143" s="654"/>
      <c r="K143" s="654"/>
      <c r="L143" s="655" t="str">
        <f t="shared" si="138"/>
        <v>2292</v>
      </c>
      <c r="M143" s="656" t="str">
        <f t="shared" si="139"/>
        <v>ECHANGE ENTRE CONCESSIONNAIRES</v>
      </c>
      <c r="N143" s="657">
        <f>+IF(OR($Q143=Parametres!$G$2,$Q143=Parametres!$G$3),I143,C143)</f>
        <v>-80481.850000000006</v>
      </c>
      <c r="O143" s="657">
        <f>+IF(OR($Q143=Parametres!$G$2,$Q143=Parametres!$G$3),J143,D143)</f>
        <v>-62057.63</v>
      </c>
      <c r="P143" s="657">
        <f>+IF(OR($Q143=Parametres!$G$2,$Q143=Parametres!$G$3),K143,E143)</f>
        <v>-142539.48000000001</v>
      </c>
      <c r="Q143" s="656" t="str">
        <f t="shared" si="140"/>
        <v>3-Passifs</v>
      </c>
      <c r="R143" s="655" t="str">
        <f t="shared" si="141"/>
        <v>2291</v>
      </c>
      <c r="S143" s="656">
        <f t="shared" si="142"/>
        <v>0</v>
      </c>
      <c r="T143" s="658" t="str">
        <f>+VLOOKUP($L143,Data_Validation!$A:$D,1,0)</f>
        <v>2292</v>
      </c>
      <c r="U143" s="658" t="str">
        <f>+VLOOKUP($L143,Data_Validation!$A:$D,3,0)</f>
        <v>Bilan</v>
      </c>
      <c r="V143" s="658" t="str">
        <f>+VLOOKUP($L143,Data_Validation!$A:$D,4,0)</f>
        <v>Autres Comptes à Payer</v>
      </c>
      <c r="W143" s="658" t="str">
        <f>+VLOOKUP($L143,Data_Validation!$A:$E,5,0)</f>
        <v>$</v>
      </c>
      <c r="X143" s="658">
        <f>+VLOOKUP($L143,Data_Validation!$A:$F,6,0)</f>
        <v>0</v>
      </c>
    </row>
    <row r="144" spans="1:24" ht="15" customHeight="1">
      <c r="A144" s="1190" t="s">
        <v>927</v>
      </c>
      <c r="B144" s="1190" t="s">
        <v>930</v>
      </c>
      <c r="C144" s="1192">
        <v>-8895.7199999999993</v>
      </c>
      <c r="D144" s="1192">
        <v>1933.7</v>
      </c>
      <c r="E144" s="1192">
        <v>-6962.02</v>
      </c>
      <c r="F144" s="1190" t="s">
        <v>904</v>
      </c>
      <c r="G144" s="1190" t="s">
        <v>920</v>
      </c>
      <c r="H144" s="652"/>
      <c r="I144" s="654"/>
      <c r="J144" s="654"/>
      <c r="K144" s="654"/>
      <c r="L144" s="655" t="str">
        <f t="shared" si="138"/>
        <v>2293</v>
      </c>
      <c r="M144" s="656" t="str">
        <f t="shared" si="139"/>
        <v>PROVISIONS GARANTIES USAGEES</v>
      </c>
      <c r="N144" s="657">
        <f>+IF(OR($Q144=Parametres!$G$2,$Q144=Parametres!$G$3),I144,C144)</f>
        <v>-8895.7199999999993</v>
      </c>
      <c r="O144" s="657">
        <f>+IF(OR($Q144=Parametres!$G$2,$Q144=Parametres!$G$3),J144,D144)</f>
        <v>1933.7</v>
      </c>
      <c r="P144" s="657">
        <f>+IF(OR($Q144=Parametres!$G$2,$Q144=Parametres!$G$3),K144,E144)</f>
        <v>-6962.02</v>
      </c>
      <c r="Q144" s="656" t="str">
        <f t="shared" si="140"/>
        <v>3-Passifs</v>
      </c>
      <c r="R144" s="655" t="str">
        <f t="shared" si="141"/>
        <v>2283</v>
      </c>
      <c r="S144" s="656">
        <f t="shared" si="142"/>
        <v>0</v>
      </c>
      <c r="T144" s="658" t="str">
        <f>+VLOOKUP($L144,Data_Validation!$A:$D,1,0)</f>
        <v>2293</v>
      </c>
      <c r="U144" s="658" t="str">
        <f>+VLOOKUP($L144,Data_Validation!$A:$D,3,0)</f>
        <v>Bilan</v>
      </c>
      <c r="V144" s="658" t="str">
        <f>+VLOOKUP($L144,Data_Validation!$A:$D,4,0)</f>
        <v>Autres Courus</v>
      </c>
      <c r="W144" s="658" t="str">
        <f>+VLOOKUP($L144,Data_Validation!$A:$E,5,0)</f>
        <v>$</v>
      </c>
      <c r="X144" s="658">
        <f>+VLOOKUP($L144,Data_Validation!$A:$F,6,0)</f>
        <v>0</v>
      </c>
    </row>
    <row r="145" spans="1:24" ht="15" customHeight="1">
      <c r="A145" s="1190" t="s">
        <v>928</v>
      </c>
      <c r="B145" s="1190" t="s">
        <v>3380</v>
      </c>
      <c r="C145" s="1192">
        <v>384.77</v>
      </c>
      <c r="D145" s="1192">
        <v>407.36</v>
      </c>
      <c r="E145" s="1192">
        <v>792.13</v>
      </c>
      <c r="F145" s="1190" t="s">
        <v>904</v>
      </c>
      <c r="G145" s="1190" t="s">
        <v>920</v>
      </c>
      <c r="H145" s="652"/>
      <c r="I145" s="654"/>
      <c r="J145" s="654"/>
      <c r="K145" s="654"/>
      <c r="L145" s="655" t="str">
        <f t="shared" si="138"/>
        <v>2294</v>
      </c>
      <c r="M145" s="656" t="str">
        <f t="shared" si="139"/>
        <v>Volks RESERVE PROMO SAISONNIERE</v>
      </c>
      <c r="N145" s="657">
        <f>+IF(OR($Q145=Parametres!$G$2,$Q145=Parametres!$G$3),I145,C145)</f>
        <v>384.77</v>
      </c>
      <c r="O145" s="657">
        <f>+IF(OR($Q145=Parametres!$G$2,$Q145=Parametres!$G$3),J145,D145)</f>
        <v>407.36</v>
      </c>
      <c r="P145" s="657">
        <f>+IF(OR($Q145=Parametres!$G$2,$Q145=Parametres!$G$3),K145,E145)</f>
        <v>792.13</v>
      </c>
      <c r="Q145" s="656" t="str">
        <f t="shared" si="140"/>
        <v>3-Passifs</v>
      </c>
      <c r="R145" s="655" t="str">
        <f t="shared" si="141"/>
        <v>2283</v>
      </c>
      <c r="S145" s="656">
        <f t="shared" si="142"/>
        <v>0</v>
      </c>
      <c r="T145" s="658" t="str">
        <f>+VLOOKUP($L145,Data_Validation!$A:$D,1,0)</f>
        <v>2294</v>
      </c>
      <c r="U145" s="658" t="str">
        <f>+VLOOKUP($L145,Data_Validation!$A:$D,3,0)</f>
        <v>Bilan</v>
      </c>
      <c r="V145" s="658" t="str">
        <f>+VLOOKUP($L145,Data_Validation!$A:$D,4,0)</f>
        <v>Autres Courus</v>
      </c>
      <c r="W145" s="658" t="str">
        <f>+VLOOKUP($L145,Data_Validation!$A:$E,5,0)</f>
        <v>$</v>
      </c>
      <c r="X145" s="658">
        <f>+VLOOKUP($L145,Data_Validation!$A:$F,6,0)</f>
        <v>0</v>
      </c>
    </row>
    <row r="146" spans="1:24" ht="15" customHeight="1">
      <c r="A146" s="1190" t="s">
        <v>931</v>
      </c>
      <c r="B146" s="1190" t="s">
        <v>3381</v>
      </c>
      <c r="C146" s="1192">
        <v>-102229.87</v>
      </c>
      <c r="D146" s="1192">
        <v>-2011.58</v>
      </c>
      <c r="E146" s="1192">
        <v>-104241.45</v>
      </c>
      <c r="F146" s="1190" t="s">
        <v>904</v>
      </c>
      <c r="G146" s="1190" t="s">
        <v>925</v>
      </c>
      <c r="H146" s="652"/>
      <c r="I146" s="654"/>
      <c r="J146" s="654"/>
      <c r="K146" s="654"/>
      <c r="L146" s="655" t="str">
        <f t="shared" si="138"/>
        <v>2296</v>
      </c>
      <c r="M146" s="656" t="str">
        <f t="shared" si="139"/>
        <v>COMPTE FOURNISSEURS INTERCO</v>
      </c>
      <c r="N146" s="657">
        <f>+IF(OR($Q146=Parametres!$G$2,$Q146=Parametres!$G$3),I146,C146)</f>
        <v>-102229.87</v>
      </c>
      <c r="O146" s="657">
        <f>+IF(OR($Q146=Parametres!$G$2,$Q146=Parametres!$G$3),J146,D146)</f>
        <v>-2011.58</v>
      </c>
      <c r="P146" s="657">
        <f>+IF(OR($Q146=Parametres!$G$2,$Q146=Parametres!$G$3),K146,E146)</f>
        <v>-104241.45</v>
      </c>
      <c r="Q146" s="656" t="str">
        <f t="shared" si="140"/>
        <v>3-Passifs</v>
      </c>
      <c r="R146" s="655" t="str">
        <f t="shared" si="141"/>
        <v>2291</v>
      </c>
      <c r="S146" s="656">
        <f t="shared" si="142"/>
        <v>0</v>
      </c>
      <c r="T146" s="658" t="str">
        <f>+VLOOKUP($L146,Data_Validation!$A:$D,1,0)</f>
        <v>2296</v>
      </c>
      <c r="U146" s="658" t="str">
        <f>+VLOOKUP($L146,Data_Validation!$A:$D,3,0)</f>
        <v>Bilan</v>
      </c>
      <c r="V146" s="658" t="str">
        <f>+VLOOKUP($L146,Data_Validation!$A:$D,4,0)</f>
        <v>Payables Intercos</v>
      </c>
      <c r="W146" s="658" t="str">
        <f>+VLOOKUP($L146,Data_Validation!$A:$E,5,0)</f>
        <v>$</v>
      </c>
      <c r="X146" s="658">
        <f>+VLOOKUP($L146,Data_Validation!$A:$F,6,0)</f>
        <v>0</v>
      </c>
    </row>
    <row r="147" spans="1:24" ht="15" customHeight="1">
      <c r="A147" s="1190" t="s">
        <v>932</v>
      </c>
      <c r="B147" s="1190" t="s">
        <v>1689</v>
      </c>
      <c r="C147" s="1192">
        <v>-37300</v>
      </c>
      <c r="D147" s="1192">
        <v>10</v>
      </c>
      <c r="E147" s="1192">
        <v>-37290</v>
      </c>
      <c r="F147" s="1190" t="s">
        <v>904</v>
      </c>
      <c r="G147" s="1190" t="s">
        <v>920</v>
      </c>
      <c r="H147" s="652"/>
      <c r="I147" s="654"/>
      <c r="J147" s="654"/>
      <c r="K147" s="654"/>
      <c r="L147" s="655" t="str">
        <f t="shared" si="138"/>
        <v>2297</v>
      </c>
      <c r="M147" s="656" t="str">
        <f t="shared" si="139"/>
        <v>RESERVE RENOUVELLEMENT</v>
      </c>
      <c r="N147" s="657">
        <f>+IF(OR($Q147=Parametres!$G$2,$Q147=Parametres!$G$3),I147,C147)</f>
        <v>-37300</v>
      </c>
      <c r="O147" s="657">
        <f>+IF(OR($Q147=Parametres!$G$2,$Q147=Parametres!$G$3),J147,D147)</f>
        <v>10</v>
      </c>
      <c r="P147" s="657">
        <f>+IF(OR($Q147=Parametres!$G$2,$Q147=Parametres!$G$3),K147,E147)</f>
        <v>-37290</v>
      </c>
      <c r="Q147" s="656" t="str">
        <f t="shared" si="140"/>
        <v>3-Passifs</v>
      </c>
      <c r="R147" s="655" t="str">
        <f t="shared" si="141"/>
        <v>2283</v>
      </c>
      <c r="S147" s="656">
        <f t="shared" si="142"/>
        <v>0</v>
      </c>
      <c r="T147" s="658" t="str">
        <f>+VLOOKUP($L147,Data_Validation!$A:$D,1,0)</f>
        <v>2297</v>
      </c>
      <c r="U147" s="658" t="str">
        <f>+VLOOKUP($L147,Data_Validation!$A:$D,3,0)</f>
        <v>Bilan</v>
      </c>
      <c r="V147" s="658" t="str">
        <f>+VLOOKUP($L147,Data_Validation!$A:$D,4,0)</f>
        <v>Autres Courus</v>
      </c>
      <c r="W147" s="658" t="str">
        <f>+VLOOKUP($L147,Data_Validation!$A:$E,5,0)</f>
        <v>$</v>
      </c>
      <c r="X147" s="658">
        <f>+VLOOKUP($L147,Data_Validation!$A:$F,6,0)</f>
        <v>0</v>
      </c>
    </row>
    <row r="148" spans="1:24" ht="15" customHeight="1">
      <c r="A148" s="1190" t="s">
        <v>3339</v>
      </c>
      <c r="B148" s="1190" t="s">
        <v>3340</v>
      </c>
      <c r="C148" s="1192">
        <v>27.79</v>
      </c>
      <c r="D148" s="1192">
        <v>0</v>
      </c>
      <c r="E148" s="1192">
        <v>27.79</v>
      </c>
      <c r="F148" s="1190" t="s">
        <v>904</v>
      </c>
      <c r="G148" s="1190" t="s">
        <v>3340</v>
      </c>
      <c r="H148" s="652"/>
      <c r="I148" s="665"/>
      <c r="J148" s="665"/>
      <c r="K148" s="665"/>
      <c r="L148" s="655" t="str">
        <f t="shared" si="138"/>
        <v>2305</v>
      </c>
      <c r="M148" s="656" t="str">
        <f t="shared" si="139"/>
        <v>FUTA ASSURANCE EMPLOYE</v>
      </c>
      <c r="N148" s="657">
        <f>+IF(OR($Q148=Parametres!$G$2,$Q148=Parametres!$G$3),I148,C148)</f>
        <v>27.79</v>
      </c>
      <c r="O148" s="657">
        <f>+IF(OR($Q148=Parametres!$G$2,$Q148=Parametres!$G$3),J148,D148)</f>
        <v>0</v>
      </c>
      <c r="P148" s="657">
        <f>+IF(OR($Q148=Parametres!$G$2,$Q148=Parametres!$G$3),K148,E148)</f>
        <v>27.79</v>
      </c>
      <c r="Q148" s="656" t="str">
        <f t="shared" si="140"/>
        <v>3-Passifs</v>
      </c>
      <c r="R148" s="655" t="str">
        <f t="shared" si="141"/>
        <v>2305</v>
      </c>
      <c r="S148" s="656">
        <f t="shared" si="142"/>
        <v>0</v>
      </c>
      <c r="T148" s="658" t="str">
        <f>+VLOOKUP($L148,Data_Validation!$A:$D,1,0)</f>
        <v>2305</v>
      </c>
      <c r="U148" s="658" t="str">
        <f>+VLOOKUP($L148,Data_Validation!$A:$D,3,0)</f>
        <v>Bilan</v>
      </c>
      <c r="V148" s="658" t="str">
        <f>+VLOOKUP($L148,Data_Validation!$A:$D,4,0)</f>
        <v>DAS à Payer</v>
      </c>
      <c r="W148" s="658" t="str">
        <f>+VLOOKUP($L148,Data_Validation!$A:$E,5,0)</f>
        <v>$</v>
      </c>
      <c r="X148" s="658">
        <f>+VLOOKUP($L148,Data_Validation!$A:$F,6,0)</f>
        <v>0</v>
      </c>
    </row>
    <row r="149" spans="1:24" ht="15" customHeight="1">
      <c r="A149" s="1190" t="s">
        <v>933</v>
      </c>
      <c r="B149" s="1190" t="s">
        <v>934</v>
      </c>
      <c r="C149" s="1192">
        <v>26872.91</v>
      </c>
      <c r="D149" s="1192">
        <v>9.4</v>
      </c>
      <c r="E149" s="1192">
        <v>26882.31</v>
      </c>
      <c r="F149" s="1190" t="s">
        <v>904</v>
      </c>
      <c r="G149" s="1190" t="s">
        <v>934</v>
      </c>
      <c r="H149" s="652"/>
      <c r="I149" s="665"/>
      <c r="J149" s="665"/>
      <c r="K149" s="665"/>
      <c r="L149" s="655" t="str">
        <f t="shared" si="138"/>
        <v>2315</v>
      </c>
      <c r="M149" s="656" t="str">
        <f t="shared" si="139"/>
        <v>PRIME ASSURANCE GROUPE</v>
      </c>
      <c r="N149" s="657">
        <f>+IF(OR($Q149=Parametres!$G$2,$Q149=Parametres!$G$3),I149,C149)</f>
        <v>26872.91</v>
      </c>
      <c r="O149" s="657">
        <f>+IF(OR($Q149=Parametres!$G$2,$Q149=Parametres!$G$3),J149,D149)</f>
        <v>9.4</v>
      </c>
      <c r="P149" s="657">
        <f>+IF(OR($Q149=Parametres!$G$2,$Q149=Parametres!$G$3),K149,E149)</f>
        <v>26882.31</v>
      </c>
      <c r="Q149" s="656" t="str">
        <f t="shared" si="140"/>
        <v>3-Passifs</v>
      </c>
      <c r="R149" s="655" t="str">
        <f t="shared" si="141"/>
        <v>2315</v>
      </c>
      <c r="S149" s="656">
        <f t="shared" si="142"/>
        <v>0</v>
      </c>
      <c r="T149" s="658" t="str">
        <f>+VLOOKUP($L149,Data_Validation!$A:$D,1,0)</f>
        <v>2315</v>
      </c>
      <c r="U149" s="658" t="str">
        <f>+VLOOKUP($L149,Data_Validation!$A:$D,3,0)</f>
        <v>Bilan</v>
      </c>
      <c r="V149" s="658" t="str">
        <f>+VLOOKUP($L149,Data_Validation!$A:$D,4,0)</f>
        <v>DAS à Payer</v>
      </c>
      <c r="W149" s="658" t="str">
        <f>+VLOOKUP($L149,Data_Validation!$A:$E,5,0)</f>
        <v>$</v>
      </c>
      <c r="X149" s="658">
        <f>+VLOOKUP($L149,Data_Validation!$A:$F,6,0)</f>
        <v>0</v>
      </c>
    </row>
    <row r="150" spans="1:24" ht="15" customHeight="1">
      <c r="A150" s="1190" t="s">
        <v>935</v>
      </c>
      <c r="B150" s="1190" t="s">
        <v>1697</v>
      </c>
      <c r="C150" s="1192">
        <v>52.35</v>
      </c>
      <c r="D150" s="1192">
        <v>0</v>
      </c>
      <c r="E150" s="1192">
        <v>52.35</v>
      </c>
      <c r="F150" s="1190" t="s">
        <v>904</v>
      </c>
      <c r="G150" s="1190" t="s">
        <v>934</v>
      </c>
      <c r="H150" s="652"/>
      <c r="I150" s="654"/>
      <c r="J150" s="654"/>
      <c r="K150" s="654"/>
      <c r="L150" s="655" t="str">
        <f t="shared" si="138"/>
        <v>2335</v>
      </c>
      <c r="M150" s="656" t="str">
        <f t="shared" si="139"/>
        <v>COMITE SOCIAL</v>
      </c>
      <c r="N150" s="657">
        <f>+IF(OR($Q150=Parametres!$G$2,$Q150=Parametres!$G$3),I150,C150)</f>
        <v>52.35</v>
      </c>
      <c r="O150" s="657">
        <f>+IF(OR($Q150=Parametres!$G$2,$Q150=Parametres!$G$3),J150,D150)</f>
        <v>0</v>
      </c>
      <c r="P150" s="657">
        <f>+IF(OR($Q150=Parametres!$G$2,$Q150=Parametres!$G$3),K150,E150)</f>
        <v>52.35</v>
      </c>
      <c r="Q150" s="656" t="str">
        <f t="shared" si="140"/>
        <v>3-Passifs</v>
      </c>
      <c r="R150" s="655" t="str">
        <f t="shared" si="141"/>
        <v>2315</v>
      </c>
      <c r="S150" s="656">
        <f t="shared" si="142"/>
        <v>0</v>
      </c>
      <c r="T150" s="658" t="str">
        <f>+VLOOKUP($L150,Data_Validation!$A:$D,1,0)</f>
        <v>2335</v>
      </c>
      <c r="U150" s="658" t="str">
        <f>+VLOOKUP($L150,Data_Validation!$A:$D,3,0)</f>
        <v>Bilan</v>
      </c>
      <c r="V150" s="658" t="str">
        <f>+VLOOKUP($L150,Data_Validation!$A:$D,4,0)</f>
        <v>DAS à Payer</v>
      </c>
      <c r="W150" s="658" t="str">
        <f>+VLOOKUP($L150,Data_Validation!$A:$E,5,0)</f>
        <v>$</v>
      </c>
      <c r="X150" s="658">
        <f>+VLOOKUP($L150,Data_Validation!$A:$F,6,0)</f>
        <v>0</v>
      </c>
    </row>
    <row r="151" spans="1:24" ht="15.75" customHeight="1">
      <c r="A151" s="1190" t="s">
        <v>936</v>
      </c>
      <c r="B151" s="1190" t="s">
        <v>1703</v>
      </c>
      <c r="C151" s="1192">
        <v>-25363.57</v>
      </c>
      <c r="D151" s="1192">
        <v>-1441.42</v>
      </c>
      <c r="E151" s="1192">
        <v>-26804.99</v>
      </c>
      <c r="F151" s="1190" t="s">
        <v>904</v>
      </c>
      <c r="G151" s="1190" t="s">
        <v>934</v>
      </c>
      <c r="H151" s="653"/>
      <c r="I151" s="654"/>
      <c r="J151" s="654"/>
      <c r="K151" s="654"/>
      <c r="L151" s="655" t="str">
        <f t="shared" si="138"/>
        <v>2342</v>
      </c>
      <c r="M151" s="656" t="str">
        <f t="shared" si="139"/>
        <v>REER STANDARD LIFE</v>
      </c>
      <c r="N151" s="657">
        <f>+IF(OR($Q151=Parametres!$G$2,$Q151=Parametres!$G$3),I151,C151)</f>
        <v>-25363.57</v>
      </c>
      <c r="O151" s="657">
        <f>+IF(OR($Q151=Parametres!$G$2,$Q151=Parametres!$G$3),J151,D151)</f>
        <v>-1441.42</v>
      </c>
      <c r="P151" s="657">
        <f>+IF(OR($Q151=Parametres!$G$2,$Q151=Parametres!$G$3),K151,E151)</f>
        <v>-26804.99</v>
      </c>
      <c r="Q151" s="656" t="str">
        <f t="shared" si="140"/>
        <v>3-Passifs</v>
      </c>
      <c r="R151" s="655" t="str">
        <f t="shared" si="141"/>
        <v>2315</v>
      </c>
      <c r="S151" s="656">
        <f t="shared" si="142"/>
        <v>0</v>
      </c>
      <c r="T151" s="658" t="str">
        <f>+VLOOKUP($L151,Data_Validation!$A:$D,1,0)</f>
        <v>2342</v>
      </c>
      <c r="U151" s="658" t="str">
        <f>+VLOOKUP($L151,Data_Validation!$A:$D,3,0)</f>
        <v>Bilan</v>
      </c>
      <c r="V151" s="658" t="str">
        <f>+VLOOKUP($L151,Data_Validation!$A:$D,4,0)</f>
        <v>DAS à Payer</v>
      </c>
      <c r="W151" s="658" t="str">
        <f>+VLOOKUP($L151,Data_Validation!$A:$E,5,0)</f>
        <v>$</v>
      </c>
      <c r="X151" s="658">
        <f>+VLOOKUP($L151,Data_Validation!$A:$F,6,0)</f>
        <v>0</v>
      </c>
    </row>
    <row r="152" spans="1:24" ht="15" customHeight="1">
      <c r="A152" s="1190" t="s">
        <v>937</v>
      </c>
      <c r="B152" s="1190" t="s">
        <v>1706</v>
      </c>
      <c r="C152" s="1192">
        <v>-101.38</v>
      </c>
      <c r="D152" s="1192">
        <v>752.8</v>
      </c>
      <c r="E152" s="1192">
        <v>651.41999999999996</v>
      </c>
      <c r="F152" s="1190" t="s">
        <v>904</v>
      </c>
      <c r="G152" s="1190" t="s">
        <v>934</v>
      </c>
      <c r="H152" s="653"/>
      <c r="I152" s="653"/>
      <c r="J152" s="653"/>
      <c r="K152" s="653"/>
      <c r="L152" s="655" t="str">
        <f t="shared" si="132"/>
        <v>2343</v>
      </c>
      <c r="M152" s="656" t="str">
        <f t="shared" si="0"/>
        <v>COMITE PARITAIRE</v>
      </c>
      <c r="N152" s="657">
        <f>+IF(OR($Q152=Parametres!$G$2,$Q152=Parametres!$G$3),I152,C152)</f>
        <v>-101.38</v>
      </c>
      <c r="O152" s="657">
        <f>+IF(OR($Q152=Parametres!$G$2,$Q152=Parametres!$G$3),J152,D152)</f>
        <v>752.8</v>
      </c>
      <c r="P152" s="657">
        <f>+IF(OR($Q152=Parametres!$G$2,$Q152=Parametres!$G$3),K152,E152)</f>
        <v>651.41999999999996</v>
      </c>
      <c r="Q152" s="656" t="str">
        <f t="shared" ref="Q152:S152" si="143">+F152</f>
        <v>3-Passifs</v>
      </c>
      <c r="R152" s="655" t="str">
        <f t="shared" si="143"/>
        <v>2315</v>
      </c>
      <c r="S152" s="656">
        <f t="shared" si="143"/>
        <v>0</v>
      </c>
      <c r="T152" s="658" t="str">
        <f>+VLOOKUP($L152,Data_Validation!$A:$D,1,0)</f>
        <v>2343</v>
      </c>
      <c r="U152" s="658" t="str">
        <f>+VLOOKUP($L152,Data_Validation!$A:$D,3,0)</f>
        <v>Bilan</v>
      </c>
      <c r="V152" s="658" t="str">
        <f>+VLOOKUP($L152,Data_Validation!$A:$D,4,0)</f>
        <v>DAS à Payer</v>
      </c>
      <c r="W152" s="658" t="str">
        <f>+VLOOKUP($L152,Data_Validation!$A:$E,5,0)</f>
        <v>$</v>
      </c>
      <c r="X152" s="658">
        <f>+VLOOKUP($L152,Data_Validation!$A:$F,6,0)</f>
        <v>0</v>
      </c>
    </row>
    <row r="153" spans="1:24" ht="15" customHeight="1">
      <c r="A153" s="1190" t="s">
        <v>938</v>
      </c>
      <c r="B153" s="1190" t="s">
        <v>1709</v>
      </c>
      <c r="C153" s="1192">
        <v>-1664.47</v>
      </c>
      <c r="D153" s="1192">
        <v>1174.79</v>
      </c>
      <c r="E153" s="1192">
        <v>-489.68</v>
      </c>
      <c r="F153" s="1190" t="s">
        <v>904</v>
      </c>
      <c r="G153" s="1190" t="s">
        <v>934</v>
      </c>
      <c r="H153" s="653"/>
      <c r="I153" s="654"/>
      <c r="J153" s="654"/>
      <c r="K153" s="654"/>
      <c r="L153" s="655" t="str">
        <f t="shared" si="132"/>
        <v>2344</v>
      </c>
      <c r="M153" s="656" t="str">
        <f t="shared" si="0"/>
        <v>CENTRAIDE</v>
      </c>
      <c r="N153" s="657">
        <f>+IF(OR($Q153=Parametres!$G$2,$Q153=Parametres!$G$3),I153,C153)</f>
        <v>-1664.47</v>
      </c>
      <c r="O153" s="657">
        <f>+IF(OR($Q153=Parametres!$G$2,$Q153=Parametres!$G$3),J153,D153)</f>
        <v>1174.79</v>
      </c>
      <c r="P153" s="657">
        <f>+IF(OR($Q153=Parametres!$G$2,$Q153=Parametres!$G$3),K153,E153)</f>
        <v>-489.68</v>
      </c>
      <c r="Q153" s="656" t="str">
        <f t="shared" ref="Q153:S153" si="144">+F153</f>
        <v>3-Passifs</v>
      </c>
      <c r="R153" s="655" t="str">
        <f t="shared" si="144"/>
        <v>2315</v>
      </c>
      <c r="S153" s="656">
        <f t="shared" si="144"/>
        <v>0</v>
      </c>
      <c r="T153" s="658" t="str">
        <f>+VLOOKUP($L153,Data_Validation!$A:$D,1,0)</f>
        <v>2344</v>
      </c>
      <c r="U153" s="658" t="str">
        <f>+VLOOKUP($L153,Data_Validation!$A:$D,3,0)</f>
        <v>Bilan</v>
      </c>
      <c r="V153" s="658" t="str">
        <f>+VLOOKUP($L153,Data_Validation!$A:$D,4,0)</f>
        <v>DAS à Payer</v>
      </c>
      <c r="W153" s="658" t="str">
        <f>+VLOOKUP($L153,Data_Validation!$A:$E,5,0)</f>
        <v>$</v>
      </c>
      <c r="X153" s="658">
        <f>+VLOOKUP($L153,Data_Validation!$A:$F,6,0)</f>
        <v>0</v>
      </c>
    </row>
    <row r="154" spans="1:24" ht="15" customHeight="1">
      <c r="A154" s="1190" t="s">
        <v>939</v>
      </c>
      <c r="B154" s="1190" t="s">
        <v>940</v>
      </c>
      <c r="C154" s="1192">
        <v>-24100</v>
      </c>
      <c r="D154" s="1192">
        <v>-8950</v>
      </c>
      <c r="E154" s="1192">
        <v>-33050</v>
      </c>
      <c r="F154" s="1190" t="s">
        <v>904</v>
      </c>
      <c r="G154" s="1190" t="s">
        <v>940</v>
      </c>
      <c r="H154" s="653"/>
      <c r="I154" s="653"/>
      <c r="J154" s="653"/>
      <c r="K154" s="653"/>
      <c r="L154" s="655" t="str">
        <f t="shared" si="132"/>
        <v>2401</v>
      </c>
      <c r="M154" s="656" t="str">
        <f t="shared" si="0"/>
        <v>DEPOTS FIDUCIE-VENTE CLIENTS</v>
      </c>
      <c r="N154" s="657">
        <f>+IF(OR($Q154=Parametres!$G$2,$Q154=Parametres!$G$3),I154,C154)</f>
        <v>-24100</v>
      </c>
      <c r="O154" s="657">
        <f>+IF(OR($Q154=Parametres!$G$2,$Q154=Parametres!$G$3),J154,D154)</f>
        <v>-8950</v>
      </c>
      <c r="P154" s="657">
        <f>+IF(OR($Q154=Parametres!$G$2,$Q154=Parametres!$G$3),K154,E154)</f>
        <v>-33050</v>
      </c>
      <c r="Q154" s="656" t="str">
        <f t="shared" ref="Q154:S154" si="145">+F154</f>
        <v>3-Passifs</v>
      </c>
      <c r="R154" s="655" t="str">
        <f t="shared" si="145"/>
        <v>2401</v>
      </c>
      <c r="S154" s="656">
        <f t="shared" si="145"/>
        <v>0</v>
      </c>
      <c r="T154" s="658" t="str">
        <f>+VLOOKUP($L154,Data_Validation!$A:$D,1,0)</f>
        <v>2401</v>
      </c>
      <c r="U154" s="658" t="str">
        <f>+VLOOKUP($L154,Data_Validation!$A:$D,3,0)</f>
        <v>Bilan</v>
      </c>
      <c r="V154" s="658" t="str">
        <f>+VLOOKUP($L154,Data_Validation!$A:$D,4,0)</f>
        <v>Dépôts de Client</v>
      </c>
      <c r="W154" s="658" t="str">
        <f>+VLOOKUP($L154,Data_Validation!$A:$E,5,0)</f>
        <v>$</v>
      </c>
      <c r="X154" s="658">
        <f>+VLOOKUP($L154,Data_Validation!$A:$F,6,0)</f>
        <v>0</v>
      </c>
    </row>
    <row r="155" spans="1:24" ht="15.75" customHeight="1">
      <c r="A155" s="1190" t="s">
        <v>941</v>
      </c>
      <c r="B155" s="1190" t="s">
        <v>942</v>
      </c>
      <c r="C155" s="1192">
        <v>-26938.93</v>
      </c>
      <c r="D155" s="1192">
        <v>-810.52</v>
      </c>
      <c r="E155" s="1192">
        <v>-27749.45</v>
      </c>
      <c r="F155" s="1190" t="s">
        <v>904</v>
      </c>
      <c r="G155" s="1190" t="s">
        <v>942</v>
      </c>
      <c r="H155" s="653"/>
      <c r="I155" s="654"/>
      <c r="J155" s="654"/>
      <c r="K155" s="654"/>
      <c r="L155" s="655" t="str">
        <f t="shared" si="132"/>
        <v>2501</v>
      </c>
      <c r="M155" s="656" t="str">
        <f t="shared" si="0"/>
        <v>COMMISSION A PAYER</v>
      </c>
      <c r="N155" s="657">
        <f>+IF(OR($Q155=Parametres!$G$2,$Q155=Parametres!$G$3),I155,C155)</f>
        <v>-26938.93</v>
      </c>
      <c r="O155" s="657">
        <f>+IF(OR($Q155=Parametres!$G$2,$Q155=Parametres!$G$3),J155,D155)</f>
        <v>-810.52</v>
      </c>
      <c r="P155" s="657">
        <f>+IF(OR($Q155=Parametres!$G$2,$Q155=Parametres!$G$3),K155,E155)</f>
        <v>-27749.45</v>
      </c>
      <c r="Q155" s="656" t="str">
        <f t="shared" ref="Q155:S155" si="146">+F155</f>
        <v>3-Passifs</v>
      </c>
      <c r="R155" s="655" t="str">
        <f t="shared" si="146"/>
        <v>2501</v>
      </c>
      <c r="S155" s="656">
        <f t="shared" si="146"/>
        <v>0</v>
      </c>
      <c r="T155" s="658" t="str">
        <f>+VLOOKUP($L155,Data_Validation!$A:$D,1,0)</f>
        <v>2501</v>
      </c>
      <c r="U155" s="658" t="str">
        <f>+VLOOKUP($L155,Data_Validation!$A:$D,3,0)</f>
        <v>Bilan</v>
      </c>
      <c r="V155" s="658" t="str">
        <f>+VLOOKUP($L155,Data_Validation!$A:$D,4,0)</f>
        <v>Salaires à Payer</v>
      </c>
      <c r="W155" s="658" t="str">
        <f>+VLOOKUP($L155,Data_Validation!$A:$E,5,0)</f>
        <v>$</v>
      </c>
      <c r="X155" s="658">
        <f>+VLOOKUP($L155,Data_Validation!$A:$F,6,0)</f>
        <v>0</v>
      </c>
    </row>
    <row r="156" spans="1:24" ht="15" customHeight="1">
      <c r="A156" s="1190" t="s">
        <v>943</v>
      </c>
      <c r="B156" s="1190" t="s">
        <v>3382</v>
      </c>
      <c r="C156" s="1192">
        <v>1701.24</v>
      </c>
      <c r="D156" s="1192">
        <v>2259.8200000000002</v>
      </c>
      <c r="E156" s="1192">
        <v>3961.06</v>
      </c>
      <c r="F156" s="1190" t="s">
        <v>904</v>
      </c>
      <c r="G156" s="1190" t="s">
        <v>944</v>
      </c>
      <c r="H156" s="653"/>
      <c r="I156" s="653"/>
      <c r="J156" s="653"/>
      <c r="K156" s="653"/>
      <c r="L156" s="655" t="str">
        <f t="shared" si="132"/>
        <v>2502</v>
      </c>
      <c r="M156" s="656" t="str">
        <f t="shared" si="0"/>
        <v>Compte de depense a payer</v>
      </c>
      <c r="N156" s="657">
        <f>+IF(OR($Q156=Parametres!$G$2,$Q156=Parametres!$G$3),I156,C156)</f>
        <v>1701.24</v>
      </c>
      <c r="O156" s="657">
        <f>+IF(OR($Q156=Parametres!$G$2,$Q156=Parametres!$G$3),J156,D156)</f>
        <v>2259.8200000000002</v>
      </c>
      <c r="P156" s="657">
        <f>+IF(OR($Q156=Parametres!$G$2,$Q156=Parametres!$G$3),K156,E156)</f>
        <v>3961.06</v>
      </c>
      <c r="Q156" s="656" t="str">
        <f t="shared" ref="Q156:S156" si="147">+F156</f>
        <v>3-Passifs</v>
      </c>
      <c r="R156" s="655" t="str">
        <f t="shared" si="147"/>
        <v>250</v>
      </c>
      <c r="S156" s="656">
        <f t="shared" si="147"/>
        <v>0</v>
      </c>
      <c r="T156" s="658" t="str">
        <f>+VLOOKUP($L156,Data_Validation!$A:$D,1,0)</f>
        <v>2502</v>
      </c>
      <c r="U156" s="658" t="str">
        <f>+VLOOKUP($L156,Data_Validation!$A:$D,3,0)</f>
        <v>Bilan</v>
      </c>
      <c r="V156" s="658" t="str">
        <f>+VLOOKUP($L156,Data_Validation!$A:$D,4,0)</f>
        <v>Salaires à Payer</v>
      </c>
      <c r="W156" s="658" t="str">
        <f>+VLOOKUP($L156,Data_Validation!$A:$E,5,0)</f>
        <v>$</v>
      </c>
      <c r="X156" s="658">
        <f>+VLOOKUP($L156,Data_Validation!$A:$F,6,0)</f>
        <v>0</v>
      </c>
    </row>
    <row r="157" spans="1:24" ht="15" customHeight="1">
      <c r="A157" s="1190" t="s">
        <v>945</v>
      </c>
      <c r="B157" s="1190" t="s">
        <v>946</v>
      </c>
      <c r="C157" s="1192">
        <v>-147446.03</v>
      </c>
      <c r="D157" s="1192">
        <v>-16369.22</v>
      </c>
      <c r="E157" s="1192">
        <v>-163815.25</v>
      </c>
      <c r="F157" s="1190" t="s">
        <v>904</v>
      </c>
      <c r="G157" s="1190" t="s">
        <v>946</v>
      </c>
      <c r="H157" s="652"/>
      <c r="I157" s="654"/>
      <c r="J157" s="654"/>
      <c r="K157" s="654"/>
      <c r="L157" s="655" t="str">
        <f t="shared" si="132"/>
        <v>2503</v>
      </c>
      <c r="M157" s="656" t="str">
        <f t="shared" si="0"/>
        <v>SALAIRES DES EMPLOYES</v>
      </c>
      <c r="N157" s="657">
        <f>+IF(OR($Q157=Parametres!$G$2,$Q157=Parametres!$G$3),I157,C157)</f>
        <v>-147446.03</v>
      </c>
      <c r="O157" s="657">
        <f>+IF(OR($Q157=Parametres!$G$2,$Q157=Parametres!$G$3),J157,D157)</f>
        <v>-16369.22</v>
      </c>
      <c r="P157" s="657">
        <f>+IF(OR($Q157=Parametres!$G$2,$Q157=Parametres!$G$3),K157,E157)</f>
        <v>-163815.25</v>
      </c>
      <c r="Q157" s="656" t="str">
        <f t="shared" ref="Q157:S157" si="148">+F157</f>
        <v>3-Passifs</v>
      </c>
      <c r="R157" s="655" t="str">
        <f t="shared" si="148"/>
        <v>2503</v>
      </c>
      <c r="S157" s="656">
        <f t="shared" si="148"/>
        <v>0</v>
      </c>
      <c r="T157" s="658" t="str">
        <f>+VLOOKUP($L157,Data_Validation!$A:$D,1,0)</f>
        <v>2503</v>
      </c>
      <c r="U157" s="658" t="str">
        <f>+VLOOKUP($L157,Data_Validation!$A:$D,3,0)</f>
        <v>Bilan</v>
      </c>
      <c r="V157" s="658" t="str">
        <f>+VLOOKUP($L157,Data_Validation!$A:$D,4,0)</f>
        <v>Salaires à Payer</v>
      </c>
      <c r="W157" s="658" t="str">
        <f>+VLOOKUP($L157,Data_Validation!$A:$E,5,0)</f>
        <v>$</v>
      </c>
      <c r="X157" s="658">
        <f>+VLOOKUP($L157,Data_Validation!$A:$F,6,0)</f>
        <v>0</v>
      </c>
    </row>
    <row r="158" spans="1:24" ht="15" customHeight="1">
      <c r="A158" s="1190" t="s">
        <v>948</v>
      </c>
      <c r="B158" s="1190" t="s">
        <v>1742</v>
      </c>
      <c r="C158" s="1192">
        <v>-230809.33</v>
      </c>
      <c r="D158" s="1192">
        <v>-8110.16</v>
      </c>
      <c r="E158" s="1192">
        <v>-238919.49</v>
      </c>
      <c r="F158" s="1190" t="s">
        <v>904</v>
      </c>
      <c r="G158" s="1190" t="s">
        <v>946</v>
      </c>
      <c r="H158" s="652"/>
      <c r="I158" s="665"/>
      <c r="J158" s="665"/>
      <c r="K158" s="665"/>
      <c r="L158" s="655" t="str">
        <f t="shared" si="132"/>
        <v>2509</v>
      </c>
      <c r="M158" s="656" t="str">
        <f t="shared" si="0"/>
        <v>SALAIRES DE VACANCES</v>
      </c>
      <c r="N158" s="657">
        <f>+IF(OR($Q158=Parametres!$G$2,$Q158=Parametres!$G$3),I158,C158)</f>
        <v>-230809.33</v>
      </c>
      <c r="O158" s="657">
        <f>+IF(OR($Q158=Parametres!$G$2,$Q158=Parametres!$G$3),J158,D158)</f>
        <v>-8110.16</v>
      </c>
      <c r="P158" s="657">
        <f>+IF(OR($Q158=Parametres!$G$2,$Q158=Parametres!$G$3),K158,E158)</f>
        <v>-238919.49</v>
      </c>
      <c r="Q158" s="656" t="str">
        <f t="shared" ref="Q158:S158" si="149">+F158</f>
        <v>3-Passifs</v>
      </c>
      <c r="R158" s="655" t="str">
        <f t="shared" si="149"/>
        <v>2503</v>
      </c>
      <c r="S158" s="656">
        <f t="shared" si="149"/>
        <v>0</v>
      </c>
      <c r="T158" s="658" t="str">
        <f>+VLOOKUP($L158,Data_Validation!$A:$D,1,0)</f>
        <v>2509</v>
      </c>
      <c r="U158" s="658" t="str">
        <f>+VLOOKUP($L158,Data_Validation!$A:$D,3,0)</f>
        <v>Bilan</v>
      </c>
      <c r="V158" s="658" t="str">
        <f>+VLOOKUP($L158,Data_Validation!$A:$D,4,0)</f>
        <v>Salaires à Payer</v>
      </c>
      <c r="W158" s="658" t="str">
        <f>+VLOOKUP($L158,Data_Validation!$A:$E,5,0)</f>
        <v>$</v>
      </c>
      <c r="X158" s="658">
        <f>+VLOOKUP($L158,Data_Validation!$A:$F,6,0)</f>
        <v>0</v>
      </c>
    </row>
    <row r="159" spans="1:24" ht="15.75" customHeight="1">
      <c r="A159" s="1190" t="s">
        <v>949</v>
      </c>
      <c r="B159" s="1190" t="s">
        <v>1745</v>
      </c>
      <c r="C159" s="1192">
        <v>-10921.49</v>
      </c>
      <c r="D159" s="1192">
        <v>0</v>
      </c>
      <c r="E159" s="1192">
        <v>-10921.49</v>
      </c>
      <c r="F159" s="1190" t="s">
        <v>904</v>
      </c>
      <c r="G159" s="1190" t="s">
        <v>946</v>
      </c>
      <c r="H159" s="652"/>
      <c r="I159" s="666"/>
      <c r="J159" s="666"/>
      <c r="K159" s="666"/>
      <c r="L159" s="655" t="str">
        <f t="shared" si="132"/>
        <v>2511</v>
      </c>
      <c r="M159" s="656" t="str">
        <f t="shared" si="0"/>
        <v>JOURNEE MALADIE</v>
      </c>
      <c r="N159" s="657">
        <f>+IF(OR($Q159=Parametres!$G$2,$Q159=Parametres!$G$3),I159,C159)</f>
        <v>-10921.49</v>
      </c>
      <c r="O159" s="657">
        <f>+IF(OR($Q159=Parametres!$G$2,$Q159=Parametres!$G$3),J159,D159)</f>
        <v>0</v>
      </c>
      <c r="P159" s="657">
        <f>+IF(OR($Q159=Parametres!$G$2,$Q159=Parametres!$G$3),K159,E159)</f>
        <v>-10921.49</v>
      </c>
      <c r="Q159" s="656" t="str">
        <f t="shared" ref="Q159:S159" si="150">+F159</f>
        <v>3-Passifs</v>
      </c>
      <c r="R159" s="655" t="str">
        <f t="shared" si="150"/>
        <v>2503</v>
      </c>
      <c r="S159" s="656">
        <f t="shared" si="150"/>
        <v>0</v>
      </c>
      <c r="T159" s="658" t="str">
        <f>+VLOOKUP($L159,Data_Validation!$A:$D,1,0)</f>
        <v>2511</v>
      </c>
      <c r="U159" s="658" t="str">
        <f>+VLOOKUP($L159,Data_Validation!$A:$D,3,0)</f>
        <v>Bilan</v>
      </c>
      <c r="V159" s="658" t="str">
        <f>+VLOOKUP($L159,Data_Validation!$A:$D,4,0)</f>
        <v>Salaires à Payer</v>
      </c>
      <c r="W159" s="658" t="str">
        <f>+VLOOKUP($L159,Data_Validation!$A:$E,5,0)</f>
        <v>$</v>
      </c>
      <c r="X159" s="658">
        <f>+VLOOKUP($L159,Data_Validation!$A:$F,6,0)</f>
        <v>0</v>
      </c>
    </row>
    <row r="160" spans="1:24" ht="15" customHeight="1">
      <c r="A160" s="1190" t="s">
        <v>950</v>
      </c>
      <c r="B160" s="1190" t="s">
        <v>951</v>
      </c>
      <c r="C160" s="1192">
        <v>-139724.54999999999</v>
      </c>
      <c r="D160" s="1192">
        <v>-63187.15</v>
      </c>
      <c r="E160" s="1192">
        <v>-202911.7</v>
      </c>
      <c r="F160" s="1190" t="s">
        <v>904</v>
      </c>
      <c r="G160" s="1190" t="s">
        <v>951</v>
      </c>
      <c r="H160" s="652"/>
      <c r="I160" s="665"/>
      <c r="J160" s="665"/>
      <c r="K160" s="665"/>
      <c r="L160" s="655" t="str">
        <f t="shared" si="132"/>
        <v>2561</v>
      </c>
      <c r="M160" s="656" t="str">
        <f t="shared" si="0"/>
        <v>REVENUE HOLDBACK DIFFERE</v>
      </c>
      <c r="N160" s="657">
        <f>+IF(OR($Q160=Parametres!$G$2,$Q160=Parametres!$G$3),I160,C160)</f>
        <v>-139724.54999999999</v>
      </c>
      <c r="O160" s="657">
        <f>+IF(OR($Q160=Parametres!$G$2,$Q160=Parametres!$G$3),J160,D160)</f>
        <v>-63187.15</v>
      </c>
      <c r="P160" s="657">
        <f>+IF(OR($Q160=Parametres!$G$2,$Q160=Parametres!$G$3),K160,E160)</f>
        <v>-202911.7</v>
      </c>
      <c r="Q160" s="656" t="str">
        <f t="shared" ref="Q160:S160" si="151">+F160</f>
        <v>3-Passifs</v>
      </c>
      <c r="R160" s="655" t="str">
        <f t="shared" si="151"/>
        <v>2561</v>
      </c>
      <c r="S160" s="656">
        <f t="shared" si="151"/>
        <v>0</v>
      </c>
      <c r="T160" s="658" t="str">
        <f>+VLOOKUP($L160,Data_Validation!$A:$D,1,0)</f>
        <v>2561</v>
      </c>
      <c r="U160" s="658" t="str">
        <f>+VLOOKUP($L160,Data_Validation!$A:$D,3,0)</f>
        <v>Bilan</v>
      </c>
      <c r="V160" s="658" t="str">
        <f>+VLOOKUP($L160,Data_Validation!$A:$D,4,0)</f>
        <v>Autres Courus</v>
      </c>
      <c r="W160" s="658" t="str">
        <f>+VLOOKUP($L160,Data_Validation!$A:$E,5,0)</f>
        <v>$</v>
      </c>
      <c r="X160" s="658">
        <f>+VLOOKUP($L160,Data_Validation!$A:$F,6,0)</f>
        <v>0</v>
      </c>
    </row>
    <row r="161" spans="1:24" ht="15" customHeight="1">
      <c r="A161" s="1190" t="s">
        <v>952</v>
      </c>
      <c r="B161" s="1190" t="s">
        <v>3383</v>
      </c>
      <c r="C161" s="1192">
        <v>-242566.15</v>
      </c>
      <c r="D161" s="1192">
        <v>0</v>
      </c>
      <c r="E161" s="1192">
        <v>-242566.15</v>
      </c>
      <c r="F161" s="1190" t="s">
        <v>904</v>
      </c>
      <c r="G161" s="1190" t="s">
        <v>953</v>
      </c>
      <c r="H161" s="652"/>
      <c r="I161" s="666"/>
      <c r="J161" s="666"/>
      <c r="K161" s="666"/>
      <c r="L161" s="655" t="str">
        <f t="shared" si="132"/>
        <v>2562</v>
      </c>
      <c r="M161" s="656" t="str">
        <f t="shared" si="0"/>
        <v>PROVISIONS QG</v>
      </c>
      <c r="N161" s="657">
        <f>+IF(OR($Q161=Parametres!$G$2,$Q161=Parametres!$G$3),I161,C161)</f>
        <v>-242566.15</v>
      </c>
      <c r="O161" s="657">
        <f>+IF(OR($Q161=Parametres!$G$2,$Q161=Parametres!$G$3),J161,D161)</f>
        <v>0</v>
      </c>
      <c r="P161" s="657">
        <f>+IF(OR($Q161=Parametres!$G$2,$Q161=Parametres!$G$3),K161,E161)</f>
        <v>-242566.15</v>
      </c>
      <c r="Q161" s="656" t="str">
        <f t="shared" ref="Q161:S161" si="152">+F161</f>
        <v>3-Passifs</v>
      </c>
      <c r="R161" s="655" t="str">
        <f t="shared" si="152"/>
        <v>256</v>
      </c>
      <c r="S161" s="656">
        <f t="shared" si="152"/>
        <v>0</v>
      </c>
      <c r="T161" s="658" t="str">
        <f>+VLOOKUP($L161,Data_Validation!$A:$D,1,0)</f>
        <v>2562</v>
      </c>
      <c r="U161" s="658" t="str">
        <f>+VLOOKUP($L161,Data_Validation!$A:$D,3,0)</f>
        <v>Bilan</v>
      </c>
      <c r="V161" s="658" t="str">
        <f>+VLOOKUP($L161,Data_Validation!$A:$D,4,0)</f>
        <v>Autres Courus</v>
      </c>
      <c r="W161" s="658" t="str">
        <f>+VLOOKUP($L161,Data_Validation!$A:$E,5,0)</f>
        <v>$</v>
      </c>
      <c r="X161" s="658">
        <f>+VLOOKUP($L161,Data_Validation!$A:$F,6,0)</f>
        <v>0</v>
      </c>
    </row>
    <row r="162" spans="1:24" ht="15" customHeight="1">
      <c r="A162" s="1190" t="s">
        <v>958</v>
      </c>
      <c r="B162" s="1190" t="s">
        <v>960</v>
      </c>
      <c r="C162" s="1192">
        <v>-2350000</v>
      </c>
      <c r="D162" s="1192">
        <v>0</v>
      </c>
      <c r="E162" s="1192">
        <v>-2350000</v>
      </c>
      <c r="F162" s="1190" t="s">
        <v>959</v>
      </c>
      <c r="G162" s="1190" t="s">
        <v>960</v>
      </c>
      <c r="H162" s="653"/>
      <c r="I162" s="654"/>
      <c r="J162" s="654"/>
      <c r="K162" s="654"/>
      <c r="L162" s="655" t="str">
        <f t="shared" si="132"/>
        <v>3001</v>
      </c>
      <c r="M162" s="656" t="str">
        <f t="shared" si="0"/>
        <v>ACTIONS CATEGORIE 1</v>
      </c>
      <c r="N162" s="657">
        <f>+IF(OR($Q162=Parametres!$G$2,$Q162=Parametres!$G$3),I162,C162)</f>
        <v>-2350000</v>
      </c>
      <c r="O162" s="657">
        <f>+IF(OR($Q162=Parametres!$G$2,$Q162=Parametres!$G$3),J162,D162)</f>
        <v>0</v>
      </c>
      <c r="P162" s="657">
        <f>+IF(OR($Q162=Parametres!$G$2,$Q162=Parametres!$G$3),K162,E162)</f>
        <v>-2350000</v>
      </c>
      <c r="Q162" s="656" t="str">
        <f t="shared" ref="Q162:S162" si="153">+F162</f>
        <v>4-Valeur nette</v>
      </c>
      <c r="R162" s="655" t="str">
        <f t="shared" si="153"/>
        <v>3001</v>
      </c>
      <c r="S162" s="656">
        <f t="shared" si="153"/>
        <v>0</v>
      </c>
      <c r="T162" s="658" t="str">
        <f>+VLOOKUP($L162,Data_Validation!$A:$D,1,0)</f>
        <v>3001</v>
      </c>
      <c r="U162" s="658" t="str">
        <f>+VLOOKUP($L162,Data_Validation!$A:$D,3,0)</f>
        <v>Bilan</v>
      </c>
      <c r="V162" s="658" t="str">
        <f>+VLOOKUP($L162,Data_Validation!$A:$D,4,0)</f>
        <v>Capital Actions</v>
      </c>
      <c r="W162" s="658" t="str">
        <f>+VLOOKUP($L162,Data_Validation!$A:$E,5,0)</f>
        <v>$</v>
      </c>
      <c r="X162" s="658">
        <f>+VLOOKUP($L162,Data_Validation!$A:$F,6,0)</f>
        <v>0</v>
      </c>
    </row>
    <row r="163" spans="1:24" ht="15.75" customHeight="1">
      <c r="A163" s="1190" t="s">
        <v>961</v>
      </c>
      <c r="B163" s="1190" t="s">
        <v>1770</v>
      </c>
      <c r="C163" s="1192">
        <v>-1723617</v>
      </c>
      <c r="D163" s="1192">
        <v>0</v>
      </c>
      <c r="E163" s="1192">
        <v>-1723617</v>
      </c>
      <c r="F163" s="1190" t="s">
        <v>959</v>
      </c>
      <c r="G163" s="1190" t="s">
        <v>960</v>
      </c>
      <c r="H163" s="653"/>
      <c r="I163" s="662"/>
      <c r="J163" s="653"/>
      <c r="K163" s="662"/>
      <c r="L163" s="655" t="str">
        <f t="shared" si="132"/>
        <v>3003</v>
      </c>
      <c r="M163" s="656" t="str">
        <f t="shared" si="0"/>
        <v>APPORT / RETRAIT</v>
      </c>
      <c r="N163" s="657">
        <f>+IF(OR($Q163=Parametres!$G$2,$Q163=Parametres!$G$3),I163,C163)</f>
        <v>-1723617</v>
      </c>
      <c r="O163" s="657">
        <f>+IF(OR($Q163=Parametres!$G$2,$Q163=Parametres!$G$3),J163,D163)</f>
        <v>0</v>
      </c>
      <c r="P163" s="657">
        <f>+IF(OR($Q163=Parametres!$G$2,$Q163=Parametres!$G$3),K163,E163)</f>
        <v>-1723617</v>
      </c>
      <c r="Q163" s="656" t="str">
        <f t="shared" ref="Q163:S163" si="154">+F163</f>
        <v>4-Valeur nette</v>
      </c>
      <c r="R163" s="655" t="str">
        <f t="shared" si="154"/>
        <v>3001</v>
      </c>
      <c r="S163" s="656">
        <f t="shared" si="154"/>
        <v>0</v>
      </c>
      <c r="T163" s="658" t="str">
        <f>+VLOOKUP($L163,Data_Validation!$A:$D,1,0)</f>
        <v>3003</v>
      </c>
      <c r="U163" s="658" t="str">
        <f>+VLOOKUP($L163,Data_Validation!$A:$D,3,0)</f>
        <v>Bilan</v>
      </c>
      <c r="V163" s="658" t="str">
        <f>+VLOOKUP($L163,Data_Validation!$A:$D,4,0)</f>
        <v>Apport</v>
      </c>
      <c r="W163" s="658" t="str">
        <f>+VLOOKUP($L163,Data_Validation!$A:$E,5,0)</f>
        <v>$</v>
      </c>
      <c r="X163" s="658">
        <f>+VLOOKUP($L163,Data_Validation!$A:$F,6,0)</f>
        <v>0</v>
      </c>
    </row>
    <row r="164" spans="1:24" ht="15" customHeight="1">
      <c r="A164" s="1190" t="s">
        <v>962</v>
      </c>
      <c r="B164" s="1190" t="s">
        <v>1773</v>
      </c>
      <c r="C164" s="1192">
        <v>-347547.5</v>
      </c>
      <c r="D164" s="1192">
        <v>0</v>
      </c>
      <c r="E164" s="1192">
        <v>-347547.5</v>
      </c>
      <c r="F164" s="1190" t="s">
        <v>959</v>
      </c>
      <c r="G164" s="1190" t="s">
        <v>960</v>
      </c>
      <c r="H164" s="653"/>
      <c r="I164" s="653"/>
      <c r="J164" s="653"/>
      <c r="K164" s="653"/>
      <c r="L164" s="655" t="str">
        <f t="shared" si="132"/>
        <v>3007</v>
      </c>
      <c r="M164" s="656" t="str">
        <f t="shared" si="0"/>
        <v>ACTIONS PARTICIPANTES</v>
      </c>
      <c r="N164" s="657">
        <f>+IF(OR($Q164=Parametres!$G$2,$Q164=Parametres!$G$3),I164,C164)</f>
        <v>-347547.5</v>
      </c>
      <c r="O164" s="657">
        <f>+IF(OR($Q164=Parametres!$G$2,$Q164=Parametres!$G$3),J164,D164)</f>
        <v>0</v>
      </c>
      <c r="P164" s="657">
        <f>+IF(OR($Q164=Parametres!$G$2,$Q164=Parametres!$G$3),K164,E164)</f>
        <v>-347547.5</v>
      </c>
      <c r="Q164" s="656" t="str">
        <f t="shared" ref="Q164:S164" si="155">+F164</f>
        <v>4-Valeur nette</v>
      </c>
      <c r="R164" s="655" t="str">
        <f t="shared" si="155"/>
        <v>3001</v>
      </c>
      <c r="S164" s="656">
        <f t="shared" si="155"/>
        <v>0</v>
      </c>
      <c r="T164" s="658" t="str">
        <f>+VLOOKUP($L164,Data_Validation!$A:$D,1,0)</f>
        <v>3007</v>
      </c>
      <c r="U164" s="658" t="str">
        <f>+VLOOKUP($L164,Data_Validation!$A:$D,3,0)</f>
        <v>Bilan</v>
      </c>
      <c r="V164" s="658" t="str">
        <f>+VLOOKUP($L164,Data_Validation!$A:$D,4,0)</f>
        <v>Capital Actions</v>
      </c>
      <c r="W164" s="658">
        <f>+VLOOKUP($L164,Data_Validation!$A:$E,5,0)</f>
        <v>0</v>
      </c>
      <c r="X164" s="658">
        <f>+VLOOKUP($L164,Data_Validation!$A:$F,6,0)</f>
        <v>0</v>
      </c>
    </row>
    <row r="165" spans="1:24" ht="15" customHeight="1">
      <c r="A165" s="1190" t="s">
        <v>963</v>
      </c>
      <c r="B165" s="1190" t="s">
        <v>1797</v>
      </c>
      <c r="C165" s="1192">
        <v>-7046263.96</v>
      </c>
      <c r="D165" s="1192">
        <v>0</v>
      </c>
      <c r="E165" s="1192">
        <v>-7046263.96</v>
      </c>
      <c r="F165" s="1190" t="s">
        <v>959</v>
      </c>
      <c r="G165" s="1190" t="s">
        <v>960</v>
      </c>
      <c r="H165" s="653"/>
      <c r="I165" s="662"/>
      <c r="J165" s="662"/>
      <c r="K165" s="662"/>
      <c r="L165" s="655" t="str">
        <f t="shared" si="132"/>
        <v>3201</v>
      </c>
      <c r="M165" s="656" t="str">
        <f t="shared" si="0"/>
        <v>BENEFICES NON-REPARTIS</v>
      </c>
      <c r="N165" s="657">
        <f>+IF(OR($Q165=Parametres!$G$2,$Q165=Parametres!$G$3),I165,C165)</f>
        <v>-7046263.96</v>
      </c>
      <c r="O165" s="657">
        <f>+IF(OR($Q165=Parametres!$G$2,$Q165=Parametres!$G$3),J165,D165)</f>
        <v>0</v>
      </c>
      <c r="P165" s="657">
        <f>+IF(OR($Q165=Parametres!$G$2,$Q165=Parametres!$G$3),K165,E165)</f>
        <v>-7046263.96</v>
      </c>
      <c r="Q165" s="656" t="str">
        <f t="shared" ref="Q165:S165" si="156">+F165</f>
        <v>4-Valeur nette</v>
      </c>
      <c r="R165" s="655" t="str">
        <f t="shared" si="156"/>
        <v>3001</v>
      </c>
      <c r="S165" s="656">
        <f t="shared" si="156"/>
        <v>0</v>
      </c>
      <c r="T165" s="658" t="str">
        <f>+VLOOKUP($L165,Data_Validation!$A:$D,1,0)</f>
        <v>3201</v>
      </c>
      <c r="U165" s="658" t="str">
        <f>+VLOOKUP($L165,Data_Validation!$A:$D,3,0)</f>
        <v>Bilan</v>
      </c>
      <c r="V165" s="658" t="str">
        <f>+VLOOKUP($L165,Data_Validation!$A:$D,4,0)</f>
        <v>Bénéfices non répartis</v>
      </c>
      <c r="W165" s="658" t="str">
        <f>+VLOOKUP($L165,Data_Validation!$A:$E,5,0)</f>
        <v>$</v>
      </c>
      <c r="X165" s="658">
        <f>+VLOOKUP($L165,Data_Validation!$A:$F,6,0)</f>
        <v>0</v>
      </c>
    </row>
    <row r="166" spans="1:24" ht="15" customHeight="1">
      <c r="A166" s="1190" t="s">
        <v>964</v>
      </c>
      <c r="B166" s="1190" t="s">
        <v>966</v>
      </c>
      <c r="C166" s="1192">
        <v>-463111.63</v>
      </c>
      <c r="D166" s="1192">
        <v>-188882.32</v>
      </c>
      <c r="E166" s="1192">
        <v>-651993.94999999995</v>
      </c>
      <c r="F166" s="1190" t="s">
        <v>965</v>
      </c>
      <c r="G166" s="1190" t="s">
        <v>966</v>
      </c>
      <c r="H166" s="652"/>
      <c r="I166" s="667"/>
      <c r="J166" s="667"/>
      <c r="K166" s="667"/>
      <c r="L166" s="655" t="str">
        <f t="shared" si="132"/>
        <v>4100</v>
      </c>
      <c r="M166" s="656" t="str">
        <f t="shared" si="0"/>
        <v>VTE - RACHAT BAIL VW</v>
      </c>
      <c r="N166" s="657">
        <f>+IF(OR($Q166=Parametres!$G$2,$Q166=Parametres!$G$3),I166,C166)</f>
        <v>-463111.63</v>
      </c>
      <c r="O166" s="657">
        <f>+IF(OR($Q166=Parametres!$G$2,$Q166=Parametres!$G$3),J166,D166)</f>
        <v>-188882.32</v>
      </c>
      <c r="P166" s="657">
        <f>+IF(OR($Q166=Parametres!$G$2,$Q166=Parametres!$G$3),K166,E166)</f>
        <v>-651993.94999999995</v>
      </c>
      <c r="Q166" s="656" t="str">
        <f t="shared" ref="Q166:S166" si="157">+F166</f>
        <v>5-Ventes</v>
      </c>
      <c r="R166" s="655" t="str">
        <f t="shared" si="157"/>
        <v>4100</v>
      </c>
      <c r="S166" s="656">
        <f t="shared" si="157"/>
        <v>0</v>
      </c>
      <c r="T166" s="658" t="str">
        <f>+VLOOKUP($L166,Data_Validation!$A:$D,1,0)</f>
        <v>4100</v>
      </c>
      <c r="U166" s="658" t="str">
        <f>+VLOOKUP($L166,Data_Validation!$A:$D,3,0)</f>
        <v>Véhicules neufs</v>
      </c>
      <c r="V166" s="658" t="str">
        <f>+VLOOKUP($L166,Data_Validation!$A:$D,4,0)</f>
        <v>Rachat bail</v>
      </c>
      <c r="W166" s="658" t="str">
        <f>+VLOOKUP($L166,Data_Validation!$A:$E,5,0)</f>
        <v>$</v>
      </c>
      <c r="X166" s="658" t="str">
        <f>+VLOOKUP($L166,Data_Validation!$A:$F,6,0)</f>
        <v>Oui</v>
      </c>
    </row>
    <row r="167" spans="1:24" ht="15" customHeight="1">
      <c r="A167" s="1190" t="s">
        <v>969</v>
      </c>
      <c r="B167" s="1190" t="s">
        <v>970</v>
      </c>
      <c r="C167" s="1192">
        <v>-623044.74</v>
      </c>
      <c r="D167" s="1192">
        <v>-164957</v>
      </c>
      <c r="E167" s="1192">
        <v>-788001.74</v>
      </c>
      <c r="F167" s="1190" t="s">
        <v>965</v>
      </c>
      <c r="G167" s="1190" t="s">
        <v>970</v>
      </c>
      <c r="H167" s="652"/>
      <c r="I167" s="667"/>
      <c r="J167" s="667"/>
      <c r="K167" s="667"/>
      <c r="L167" s="655" t="str">
        <f t="shared" si="132"/>
        <v>4109</v>
      </c>
      <c r="M167" s="656" t="str">
        <f t="shared" si="0"/>
        <v>VTE - GOLF R</v>
      </c>
      <c r="N167" s="657">
        <f>+IF(OR($Q167=Parametres!$G$2,$Q167=Parametres!$G$3),I167,C167)</f>
        <v>-623044.74</v>
      </c>
      <c r="O167" s="657">
        <f>+IF(OR($Q167=Parametres!$G$2,$Q167=Parametres!$G$3),J167,D167)</f>
        <v>-164957</v>
      </c>
      <c r="P167" s="657">
        <f>+IF(OR($Q167=Parametres!$G$2,$Q167=Parametres!$G$3),K167,E167)</f>
        <v>-788001.74</v>
      </c>
      <c r="Q167" s="656" t="str">
        <f t="shared" ref="Q167:S167" si="158">+F167</f>
        <v>5-Ventes</v>
      </c>
      <c r="R167" s="655" t="str">
        <f t="shared" si="158"/>
        <v>4109</v>
      </c>
      <c r="S167" s="656">
        <f t="shared" si="158"/>
        <v>0</v>
      </c>
      <c r="T167" s="658" t="str">
        <f>+VLOOKUP($L167,Data_Validation!$A:$D,1,0)</f>
        <v>4109</v>
      </c>
      <c r="U167" s="658" t="str">
        <f>+VLOOKUP($L167,Data_Validation!$A:$D,3,0)</f>
        <v>Véhicules neufs</v>
      </c>
      <c r="V167" s="658" t="str">
        <f>+VLOOKUP($L167,Data_Validation!$A:$D,4,0)</f>
        <v>Autos détail</v>
      </c>
      <c r="W167" s="658" t="str">
        <f>+VLOOKUP($L167,Data_Validation!$A:$E,5,0)</f>
        <v>$</v>
      </c>
      <c r="X167" s="658" t="str">
        <f>+VLOOKUP($L167,Data_Validation!$A:$F,6,0)</f>
        <v>Oui</v>
      </c>
    </row>
    <row r="168" spans="1:24" ht="15.75" customHeight="1">
      <c r="A168" s="1190" t="s">
        <v>973</v>
      </c>
      <c r="B168" s="1190" t="s">
        <v>974</v>
      </c>
      <c r="C168" s="1192">
        <v>-519720.1</v>
      </c>
      <c r="D168" s="1192">
        <v>-209326.29</v>
      </c>
      <c r="E168" s="1192">
        <v>-729046.39</v>
      </c>
      <c r="F168" s="1190" t="s">
        <v>965</v>
      </c>
      <c r="G168" s="1190" t="s">
        <v>974</v>
      </c>
      <c r="H168" s="652"/>
      <c r="I168" s="667"/>
      <c r="J168" s="667"/>
      <c r="K168" s="667"/>
      <c r="L168" s="655" t="str">
        <f t="shared" si="132"/>
        <v>4111</v>
      </c>
      <c r="M168" s="656" t="str">
        <f t="shared" si="0"/>
        <v>JETTA/ JETTA GLI</v>
      </c>
      <c r="N168" s="657">
        <f>+IF(OR($Q168=Parametres!$G$2,$Q168=Parametres!$G$3),I168,C168)</f>
        <v>-519720.1</v>
      </c>
      <c r="O168" s="657">
        <f>+IF(OR($Q168=Parametres!$G$2,$Q168=Parametres!$G$3),J168,D168)</f>
        <v>-209326.29</v>
      </c>
      <c r="P168" s="657">
        <f>+IF(OR($Q168=Parametres!$G$2,$Q168=Parametres!$G$3),K168,E168)</f>
        <v>-729046.39</v>
      </c>
      <c r="Q168" s="656" t="str">
        <f t="shared" ref="Q168:S168" si="159">+F168</f>
        <v>5-Ventes</v>
      </c>
      <c r="R168" s="655" t="str">
        <f t="shared" si="159"/>
        <v>4111</v>
      </c>
      <c r="S168" s="656">
        <f t="shared" si="159"/>
        <v>0</v>
      </c>
      <c r="T168" s="658" t="str">
        <f>+VLOOKUP($L168,Data_Validation!$A:$D,1,0)</f>
        <v>4111</v>
      </c>
      <c r="U168" s="658" t="str">
        <f>+VLOOKUP($L168,Data_Validation!$A:$D,3,0)</f>
        <v>Véhicules neufs</v>
      </c>
      <c r="V168" s="658" t="str">
        <f>+VLOOKUP($L168,Data_Validation!$A:$D,4,0)</f>
        <v>Autos détail</v>
      </c>
      <c r="W168" s="658" t="str">
        <f>+VLOOKUP($L168,Data_Validation!$A:$E,5,0)</f>
        <v>$</v>
      </c>
      <c r="X168" s="658" t="str">
        <f>+VLOOKUP($L168,Data_Validation!$A:$F,6,0)</f>
        <v>Oui</v>
      </c>
    </row>
    <row r="169" spans="1:24" ht="15" customHeight="1">
      <c r="A169" s="1190" t="s">
        <v>976</v>
      </c>
      <c r="B169" s="1190" t="s">
        <v>3384</v>
      </c>
      <c r="C169" s="1192">
        <v>-1535322.67</v>
      </c>
      <c r="D169" s="1192">
        <v>-423607.87</v>
      </c>
      <c r="E169" s="1192">
        <v>-1958930.54</v>
      </c>
      <c r="F169" s="1190" t="s">
        <v>965</v>
      </c>
      <c r="G169" s="1190" t="s">
        <v>977</v>
      </c>
      <c r="H169" s="653"/>
      <c r="I169" s="668"/>
      <c r="J169" s="668"/>
      <c r="K169" s="668"/>
      <c r="L169" s="655" t="str">
        <f t="shared" si="132"/>
        <v>4118</v>
      </c>
      <c r="M169" s="656" t="str">
        <f t="shared" si="0"/>
        <v>VTES -TAOS</v>
      </c>
      <c r="N169" s="657">
        <f>+IF(OR($Q169=Parametres!$G$2,$Q169=Parametres!$G$3),I169,C169)</f>
        <v>-1535322.67</v>
      </c>
      <c r="O169" s="657">
        <f>+IF(OR($Q169=Parametres!$G$2,$Q169=Parametres!$G$3),J169,D169)</f>
        <v>-423607.87</v>
      </c>
      <c r="P169" s="657">
        <f>+IF(OR($Q169=Parametres!$G$2,$Q169=Parametres!$G$3),K169,E169)</f>
        <v>-1958930.54</v>
      </c>
      <c r="Q169" s="656" t="str">
        <f t="shared" ref="Q169:S169" si="160">+F169</f>
        <v>5-Ventes</v>
      </c>
      <c r="R169" s="655" t="str">
        <f t="shared" si="160"/>
        <v>4117</v>
      </c>
      <c r="S169" s="656">
        <f t="shared" si="160"/>
        <v>0</v>
      </c>
      <c r="T169" s="658" t="str">
        <f>+VLOOKUP($L169,Data_Validation!$A:$D,1,0)</f>
        <v>4118</v>
      </c>
      <c r="U169" s="658" t="str">
        <f>+VLOOKUP($L169,Data_Validation!$A:$D,3,0)</f>
        <v>Véhicules neufs</v>
      </c>
      <c r="V169" s="658" t="str">
        <f>+VLOOKUP($L169,Data_Validation!$A:$D,4,0)</f>
        <v>Camions détail</v>
      </c>
      <c r="W169" s="658" t="str">
        <f>+VLOOKUP($L169,Data_Validation!$A:$E,5,0)</f>
        <v>$</v>
      </c>
      <c r="X169" s="658" t="str">
        <f>+VLOOKUP($L169,Data_Validation!$A:$F,6,0)</f>
        <v>Oui</v>
      </c>
    </row>
    <row r="170" spans="1:24" ht="15" customHeight="1">
      <c r="A170" s="1190" t="s">
        <v>981</v>
      </c>
      <c r="B170" s="1190" t="s">
        <v>982</v>
      </c>
      <c r="C170" s="1192">
        <v>-1157874.28</v>
      </c>
      <c r="D170" s="1192">
        <v>-295596.74</v>
      </c>
      <c r="E170" s="1192">
        <v>-1453471.02</v>
      </c>
      <c r="F170" s="1190" t="s">
        <v>965</v>
      </c>
      <c r="G170" s="1190" t="s">
        <v>982</v>
      </c>
      <c r="H170" s="653"/>
      <c r="I170" s="668"/>
      <c r="J170" s="668"/>
      <c r="K170" s="668"/>
      <c r="L170" s="655" t="str">
        <f t="shared" si="132"/>
        <v>4119</v>
      </c>
      <c r="M170" s="656" t="str">
        <f t="shared" si="0"/>
        <v>VTE - ATLAS</v>
      </c>
      <c r="N170" s="657">
        <f>+IF(OR($Q170=Parametres!$G$2,$Q170=Parametres!$G$3),I170,C170)</f>
        <v>-1157874.28</v>
      </c>
      <c r="O170" s="657">
        <f>+IF(OR($Q170=Parametres!$G$2,$Q170=Parametres!$G$3),J170,D170)</f>
        <v>-295596.74</v>
      </c>
      <c r="P170" s="657">
        <f>+IF(OR($Q170=Parametres!$G$2,$Q170=Parametres!$G$3),K170,E170)</f>
        <v>-1453471.02</v>
      </c>
      <c r="Q170" s="656" t="str">
        <f t="shared" ref="Q170:S170" si="161">+F170</f>
        <v>5-Ventes</v>
      </c>
      <c r="R170" s="655" t="str">
        <f t="shared" si="161"/>
        <v>4119</v>
      </c>
      <c r="S170" s="656">
        <f t="shared" si="161"/>
        <v>0</v>
      </c>
      <c r="T170" s="658" t="str">
        <f>+VLOOKUP($L170,Data_Validation!$A:$D,1,0)</f>
        <v>4119</v>
      </c>
      <c r="U170" s="658" t="str">
        <f>+VLOOKUP($L170,Data_Validation!$A:$D,3,0)</f>
        <v>Véhicules neufs</v>
      </c>
      <c r="V170" s="658" t="str">
        <f>+VLOOKUP($L170,Data_Validation!$A:$D,4,0)</f>
        <v>Camions détail</v>
      </c>
      <c r="W170" s="658" t="str">
        <f>+VLOOKUP($L170,Data_Validation!$A:$E,5,0)</f>
        <v>$</v>
      </c>
      <c r="X170" s="658" t="str">
        <f>+VLOOKUP($L170,Data_Validation!$A:$F,6,0)</f>
        <v>Oui</v>
      </c>
    </row>
    <row r="171" spans="1:24" ht="15" customHeight="1">
      <c r="A171" s="1190" t="s">
        <v>988</v>
      </c>
      <c r="B171" s="1190" t="s">
        <v>989</v>
      </c>
      <c r="C171" s="1192">
        <v>-675173.41</v>
      </c>
      <c r="D171" s="1192">
        <v>-250302.85</v>
      </c>
      <c r="E171" s="1192">
        <v>-925476.26</v>
      </c>
      <c r="F171" s="1190" t="s">
        <v>965</v>
      </c>
      <c r="G171" s="1190" t="s">
        <v>989</v>
      </c>
      <c r="H171" s="653"/>
      <c r="I171" s="668"/>
      <c r="J171" s="668"/>
      <c r="K171" s="668"/>
      <c r="L171" s="655" t="str">
        <f t="shared" si="132"/>
        <v>4127</v>
      </c>
      <c r="M171" s="656" t="str">
        <f t="shared" si="0"/>
        <v>VTE - GOLF GTI</v>
      </c>
      <c r="N171" s="657">
        <f>+IF(OR($Q171=Parametres!$G$2,$Q171=Parametres!$G$3),I171,C171)</f>
        <v>-675173.41</v>
      </c>
      <c r="O171" s="657">
        <f>+IF(OR($Q171=Parametres!$G$2,$Q171=Parametres!$G$3),J171,D171)</f>
        <v>-250302.85</v>
      </c>
      <c r="P171" s="657">
        <f>+IF(OR($Q171=Parametres!$G$2,$Q171=Parametres!$G$3),K171,E171)</f>
        <v>-925476.26</v>
      </c>
      <c r="Q171" s="656" t="str">
        <f t="shared" ref="Q171:S171" si="162">+F171</f>
        <v>5-Ventes</v>
      </c>
      <c r="R171" s="655" t="str">
        <f t="shared" si="162"/>
        <v>4127</v>
      </c>
      <c r="S171" s="656">
        <f t="shared" si="162"/>
        <v>0</v>
      </c>
      <c r="T171" s="658" t="str">
        <f>+VLOOKUP($L171,Data_Validation!$A:$D,1,0)</f>
        <v>4127</v>
      </c>
      <c r="U171" s="658" t="str">
        <f>+VLOOKUP($L171,Data_Validation!$A:$D,3,0)</f>
        <v>Véhicules neufs</v>
      </c>
      <c r="V171" s="658" t="str">
        <f>+VLOOKUP($L171,Data_Validation!$A:$D,4,0)</f>
        <v>Autos détail</v>
      </c>
      <c r="W171" s="658" t="str">
        <f>+VLOOKUP($L171,Data_Validation!$A:$E,5,0)</f>
        <v>$</v>
      </c>
      <c r="X171" s="658" t="str">
        <f>+VLOOKUP($L171,Data_Validation!$A:$F,6,0)</f>
        <v>Oui</v>
      </c>
    </row>
    <row r="172" spans="1:24" ht="15.75" customHeight="1">
      <c r="A172" s="1190" t="s">
        <v>992</v>
      </c>
      <c r="B172" s="1190" t="s">
        <v>993</v>
      </c>
      <c r="C172" s="1192">
        <v>-1695494.19</v>
      </c>
      <c r="D172" s="1192">
        <v>-588833.51</v>
      </c>
      <c r="E172" s="1192">
        <v>-2284327.7000000002</v>
      </c>
      <c r="F172" s="1190" t="s">
        <v>965</v>
      </c>
      <c r="G172" s="1190" t="s">
        <v>993</v>
      </c>
      <c r="H172" s="653"/>
      <c r="I172" s="668"/>
      <c r="J172" s="668"/>
      <c r="K172" s="668"/>
      <c r="L172" s="655" t="str">
        <f t="shared" si="132"/>
        <v>4131</v>
      </c>
      <c r="M172" s="656" t="str">
        <f t="shared" si="0"/>
        <v>VTE - TIGUAN LWB</v>
      </c>
      <c r="N172" s="657">
        <f>+IF(OR($Q172=Parametres!$G$2,$Q172=Parametres!$G$3),I172,C172)</f>
        <v>-1695494.19</v>
      </c>
      <c r="O172" s="657">
        <f>+IF(OR($Q172=Parametres!$G$2,$Q172=Parametres!$G$3),J172,D172)</f>
        <v>-588833.51</v>
      </c>
      <c r="P172" s="657">
        <f>+IF(OR($Q172=Parametres!$G$2,$Q172=Parametres!$G$3),K172,E172)</f>
        <v>-2284327.7000000002</v>
      </c>
      <c r="Q172" s="656" t="str">
        <f t="shared" ref="Q172:S172" si="163">+F172</f>
        <v>5-Ventes</v>
      </c>
      <c r="R172" s="655" t="str">
        <f t="shared" si="163"/>
        <v>4131</v>
      </c>
      <c r="S172" s="656">
        <f t="shared" si="163"/>
        <v>0</v>
      </c>
      <c r="T172" s="658" t="str">
        <f>+VLOOKUP($L172,Data_Validation!$A:$D,1,0)</f>
        <v>4131</v>
      </c>
      <c r="U172" s="658" t="str">
        <f>+VLOOKUP($L172,Data_Validation!$A:$D,3,0)</f>
        <v>Véhicules neufs</v>
      </c>
      <c r="V172" s="658" t="str">
        <f>+VLOOKUP($L172,Data_Validation!$A:$D,4,0)</f>
        <v>Camions détail</v>
      </c>
      <c r="W172" s="658" t="str">
        <f>+VLOOKUP($L172,Data_Validation!$A:$E,5,0)</f>
        <v>$</v>
      </c>
      <c r="X172" s="658" t="str">
        <f>+VLOOKUP($L172,Data_Validation!$A:$F,6,0)</f>
        <v>Oui</v>
      </c>
    </row>
    <row r="173" spans="1:24" ht="15" customHeight="1">
      <c r="A173" s="1190" t="s">
        <v>996</v>
      </c>
      <c r="B173" s="1190" t="s">
        <v>997</v>
      </c>
      <c r="C173" s="1192">
        <v>-68629</v>
      </c>
      <c r="D173" s="1192">
        <v>0</v>
      </c>
      <c r="E173" s="1192">
        <v>-68629</v>
      </c>
      <c r="F173" s="1190" t="s">
        <v>965</v>
      </c>
      <c r="G173" s="1190" t="s">
        <v>997</v>
      </c>
      <c r="H173" s="653"/>
      <c r="I173" s="668"/>
      <c r="J173" s="668"/>
      <c r="K173" s="668"/>
      <c r="L173" s="655" t="str">
        <f t="shared" si="132"/>
        <v>4137</v>
      </c>
      <c r="M173" s="656" t="str">
        <f t="shared" si="0"/>
        <v>VTE - VW-FLOTTE/VENTES ENTR/EMPLOYE/VEH DEMON</v>
      </c>
      <c r="N173" s="657">
        <f>+IF(OR($Q173=Parametres!$G$2,$Q173=Parametres!$G$3),I173,C173)</f>
        <v>-68629</v>
      </c>
      <c r="O173" s="657">
        <f>+IF(OR($Q173=Parametres!$G$2,$Q173=Parametres!$G$3),J173,D173)</f>
        <v>0</v>
      </c>
      <c r="P173" s="657">
        <f>+IF(OR($Q173=Parametres!$G$2,$Q173=Parametres!$G$3),K173,E173)</f>
        <v>-68629</v>
      </c>
      <c r="Q173" s="656" t="str">
        <f t="shared" ref="Q173:S173" si="164">+F173</f>
        <v>5-Ventes</v>
      </c>
      <c r="R173" s="655" t="str">
        <f t="shared" si="164"/>
        <v>4137</v>
      </c>
      <c r="S173" s="656">
        <f t="shared" si="164"/>
        <v>0</v>
      </c>
      <c r="T173" s="658" t="str">
        <f>+VLOOKUP($L173,Data_Validation!$A:$D,1,0)</f>
        <v>4137</v>
      </c>
      <c r="U173" s="658" t="str">
        <f>+VLOOKUP($L173,Data_Validation!$A:$D,3,0)</f>
        <v>Véhicules neufs</v>
      </c>
      <c r="V173" s="658" t="str">
        <f>+VLOOKUP($L173,Data_Validation!$A:$D,4,0)</f>
        <v>Flottes</v>
      </c>
      <c r="W173" s="658" t="str">
        <f>+VLOOKUP($L173,Data_Validation!$A:$E,5,0)</f>
        <v>$</v>
      </c>
      <c r="X173" s="658" t="str">
        <f>+VLOOKUP($L173,Data_Validation!$A:$F,6,0)</f>
        <v>Oui</v>
      </c>
    </row>
    <row r="174" spans="1:24" ht="15" customHeight="1">
      <c r="A174" s="1190" t="s">
        <v>1000</v>
      </c>
      <c r="B174" s="1190" t="s">
        <v>1001</v>
      </c>
      <c r="C174" s="1192">
        <v>-370363.15</v>
      </c>
      <c r="D174" s="1192">
        <v>-208789.75</v>
      </c>
      <c r="E174" s="1192">
        <v>-579152.9</v>
      </c>
      <c r="F174" s="1190" t="s">
        <v>965</v>
      </c>
      <c r="G174" s="1190" t="s">
        <v>1001</v>
      </c>
      <c r="H174" s="653"/>
      <c r="I174" s="668"/>
      <c r="J174" s="668"/>
      <c r="K174" s="668"/>
      <c r="L174" s="655" t="str">
        <f t="shared" si="132"/>
        <v>4139</v>
      </c>
      <c r="M174" s="656" t="str">
        <f t="shared" si="0"/>
        <v>VTE - VW FLOTTE/VENTE ENTR/EMPLOYE/VEH DEMONS</v>
      </c>
      <c r="N174" s="657">
        <f>+IF(OR($Q174=Parametres!$G$2,$Q174=Parametres!$G$3),I174,C174)</f>
        <v>-370363.15</v>
      </c>
      <c r="O174" s="657">
        <f>+IF(OR($Q174=Parametres!$G$2,$Q174=Parametres!$G$3),J174,D174)</f>
        <v>-208789.75</v>
      </c>
      <c r="P174" s="657">
        <f>+IF(OR($Q174=Parametres!$G$2,$Q174=Parametres!$G$3),K174,E174)</f>
        <v>-579152.9</v>
      </c>
      <c r="Q174" s="656" t="str">
        <f t="shared" ref="Q174:S174" si="165">+F174</f>
        <v>5-Ventes</v>
      </c>
      <c r="R174" s="655" t="str">
        <f t="shared" si="165"/>
        <v>4139</v>
      </c>
      <c r="S174" s="656">
        <f t="shared" si="165"/>
        <v>0</v>
      </c>
      <c r="T174" s="658" t="str">
        <f>+VLOOKUP($L174,Data_Validation!$A:$D,1,0)</f>
        <v>4139</v>
      </c>
      <c r="U174" s="658" t="str">
        <f>+VLOOKUP($L174,Data_Validation!$A:$D,3,0)</f>
        <v>Véhicules neufs</v>
      </c>
      <c r="V174" s="658" t="str">
        <f>+VLOOKUP($L174,Data_Validation!$A:$D,4,0)</f>
        <v>Ex-Démos et courtoisies</v>
      </c>
      <c r="W174" s="658" t="str">
        <f>+VLOOKUP($L174,Data_Validation!$A:$E,5,0)</f>
        <v>$</v>
      </c>
      <c r="X174" s="658" t="str">
        <f>+VLOOKUP($L174,Data_Validation!$A:$F,6,0)</f>
        <v>Oui</v>
      </c>
    </row>
    <row r="175" spans="1:24" ht="15" customHeight="1">
      <c r="A175" s="1190" t="s">
        <v>3920</v>
      </c>
      <c r="B175" s="1190" t="s">
        <v>3921</v>
      </c>
      <c r="C175" s="1192">
        <v>-2537012.34</v>
      </c>
      <c r="D175" s="1192">
        <v>-1427280.05</v>
      </c>
      <c r="E175" s="1192">
        <v>-3964292.39</v>
      </c>
      <c r="F175" s="1190" t="s">
        <v>965</v>
      </c>
      <c r="G175" s="1190" t="s">
        <v>3921</v>
      </c>
      <c r="H175" s="652"/>
      <c r="I175" s="667"/>
      <c r="J175" s="667"/>
      <c r="K175" s="667"/>
      <c r="L175" s="655" t="str">
        <f t="shared" si="132"/>
        <v>4141</v>
      </c>
      <c r="M175" s="656" t="str">
        <f t="shared" si="0"/>
        <v>VTES -VTE - ID4</v>
      </c>
      <c r="N175" s="657">
        <f>+IF(OR($Q175=Parametres!$G$2,$Q175=Parametres!$G$3),I175,C175)</f>
        <v>-2537012.34</v>
      </c>
      <c r="O175" s="657">
        <f>+IF(OR($Q175=Parametres!$G$2,$Q175=Parametres!$G$3),J175,D175)</f>
        <v>-1427280.05</v>
      </c>
      <c r="P175" s="657">
        <f>+IF(OR($Q175=Parametres!$G$2,$Q175=Parametres!$G$3),K175,E175)</f>
        <v>-3964292.39</v>
      </c>
      <c r="Q175" s="656" t="str">
        <f t="shared" ref="Q175:S175" si="166">+F175</f>
        <v>5-Ventes</v>
      </c>
      <c r="R175" s="655" t="str">
        <f t="shared" si="166"/>
        <v>4141</v>
      </c>
      <c r="S175" s="656">
        <f t="shared" si="166"/>
        <v>0</v>
      </c>
      <c r="T175" s="658" t="str">
        <f>+VLOOKUP($L175,Data_Validation!$A:$D,1,0)</f>
        <v>4141</v>
      </c>
      <c r="U175" s="658" t="str">
        <f>+VLOOKUP($L175,Data_Validation!$A:$D,3,0)</f>
        <v>Véhicules neufs</v>
      </c>
      <c r="V175" s="658" t="str">
        <f>+VLOOKUP($L175,Data_Validation!$A:$D,4,0)</f>
        <v>Camions détail</v>
      </c>
      <c r="W175" s="658" t="str">
        <f>+VLOOKUP($L175,Data_Validation!$A:$E,5,0)</f>
        <v>$</v>
      </c>
      <c r="X175" s="658" t="str">
        <f>+VLOOKUP($L175,Data_Validation!$A:$F,6,0)</f>
        <v>Oui</v>
      </c>
    </row>
    <row r="176" spans="1:24" ht="15.75" customHeight="1">
      <c r="A176" s="1190" t="s">
        <v>1004</v>
      </c>
      <c r="B176" s="1190" t="s">
        <v>3385</v>
      </c>
      <c r="C176" s="1192">
        <v>-148673.01999999999</v>
      </c>
      <c r="D176" s="1192">
        <v>-75175.95</v>
      </c>
      <c r="E176" s="1192">
        <v>-223848.97</v>
      </c>
      <c r="F176" s="1190" t="s">
        <v>965</v>
      </c>
      <c r="G176" s="1190" t="s">
        <v>1005</v>
      </c>
      <c r="H176" s="652"/>
      <c r="I176" s="669"/>
      <c r="J176" s="669"/>
      <c r="K176" s="669"/>
      <c r="L176" s="655" t="str">
        <f t="shared" si="132"/>
        <v>4144</v>
      </c>
      <c r="M176" s="656" t="str">
        <f t="shared" si="0"/>
        <v>VTES -JETTA GLI</v>
      </c>
      <c r="N176" s="657">
        <f>+IF(OR($Q176=Parametres!$G$2,$Q176=Parametres!$G$3),I176,C176)</f>
        <v>-148673.01999999999</v>
      </c>
      <c r="O176" s="657">
        <f>+IF(OR($Q176=Parametres!$G$2,$Q176=Parametres!$G$3),J176,D176)</f>
        <v>-75175.95</v>
      </c>
      <c r="P176" s="657">
        <f>+IF(OR($Q176=Parametres!$G$2,$Q176=Parametres!$G$3),K176,E176)</f>
        <v>-223848.97</v>
      </c>
      <c r="Q176" s="656" t="str">
        <f t="shared" ref="Q176:S176" si="167">+F176</f>
        <v>5-Ventes</v>
      </c>
      <c r="R176" s="655" t="str">
        <f t="shared" si="167"/>
        <v>414</v>
      </c>
      <c r="S176" s="656">
        <f t="shared" si="167"/>
        <v>0</v>
      </c>
      <c r="T176" s="658" t="str">
        <f>+VLOOKUP($L176,Data_Validation!$A:$D,1,0)</f>
        <v>4144</v>
      </c>
      <c r="U176" s="658" t="str">
        <f>+VLOOKUP($L176,Data_Validation!$A:$D,3,0)</f>
        <v>Véhicules neufs</v>
      </c>
      <c r="V176" s="658" t="str">
        <f>+VLOOKUP($L176,Data_Validation!$A:$D,4,0)</f>
        <v>Autos détail</v>
      </c>
      <c r="W176" s="658" t="str">
        <f>+VLOOKUP($L176,Data_Validation!$A:$E,5,0)</f>
        <v>$</v>
      </c>
      <c r="X176" s="658" t="str">
        <f>+VLOOKUP($L176,Data_Validation!$A:$F,6,0)</f>
        <v>Oui</v>
      </c>
    </row>
    <row r="177" spans="1:24" ht="15" customHeight="1">
      <c r="A177" s="1190" t="s">
        <v>1008</v>
      </c>
      <c r="B177" s="1190" t="s">
        <v>1009</v>
      </c>
      <c r="C177" s="1192">
        <v>-1590315.09</v>
      </c>
      <c r="D177" s="1192">
        <v>-621155.56999999995</v>
      </c>
      <c r="E177" s="1192">
        <v>-2211470.66</v>
      </c>
      <c r="F177" s="1190" t="s">
        <v>965</v>
      </c>
      <c r="G177" s="1190" t="s">
        <v>1009</v>
      </c>
      <c r="H177" s="653"/>
      <c r="I177" s="668"/>
      <c r="J177" s="668"/>
      <c r="K177" s="668"/>
      <c r="L177" s="655" t="str">
        <f t="shared" si="132"/>
        <v>4201</v>
      </c>
      <c r="M177" s="656" t="str">
        <f t="shared" si="0"/>
        <v>VTE - VEH.USAGE VW DETAIL CERTIFIE</v>
      </c>
      <c r="N177" s="657">
        <f>+IF(OR($Q177=Parametres!$G$2,$Q177=Parametres!$G$3),I177,C177)</f>
        <v>-1590315.09</v>
      </c>
      <c r="O177" s="657">
        <f>+IF(OR($Q177=Parametres!$G$2,$Q177=Parametres!$G$3),J177,D177)</f>
        <v>-621155.56999999995</v>
      </c>
      <c r="P177" s="657">
        <f>+IF(OR($Q177=Parametres!$G$2,$Q177=Parametres!$G$3),K177,E177)</f>
        <v>-2211470.66</v>
      </c>
      <c r="Q177" s="656" t="str">
        <f t="shared" ref="Q177:S177" si="168">+F177</f>
        <v>5-Ventes</v>
      </c>
      <c r="R177" s="655" t="str">
        <f t="shared" si="168"/>
        <v>4201</v>
      </c>
      <c r="S177" s="656">
        <f t="shared" si="168"/>
        <v>0</v>
      </c>
      <c r="T177" s="658" t="str">
        <f>+VLOOKUP($L177,Data_Validation!$A:$D,1,0)</f>
        <v>4201</v>
      </c>
      <c r="U177" s="658" t="str">
        <f>+VLOOKUP($L177,Data_Validation!$A:$D,3,0)</f>
        <v>Véhicules usagés</v>
      </c>
      <c r="V177" s="658" t="str">
        <f>+VLOOKUP($L177,Data_Validation!$A:$D,4,0)</f>
        <v>Certifié</v>
      </c>
      <c r="W177" s="658" t="str">
        <f>+VLOOKUP($L177,Data_Validation!$A:$E,5,0)</f>
        <v>$</v>
      </c>
      <c r="X177" s="658" t="str">
        <f>+VLOOKUP($L177,Data_Validation!$A:$F,6,0)</f>
        <v>Oui</v>
      </c>
    </row>
    <row r="178" spans="1:24" ht="15" customHeight="1">
      <c r="A178" s="1190" t="s">
        <v>1012</v>
      </c>
      <c r="B178" s="1190" t="s">
        <v>1013</v>
      </c>
      <c r="C178" s="1192">
        <v>-3000</v>
      </c>
      <c r="D178" s="1192">
        <v>0</v>
      </c>
      <c r="E178" s="1192">
        <v>-3000</v>
      </c>
      <c r="F178" s="1190" t="s">
        <v>965</v>
      </c>
      <c r="G178" s="1190" t="s">
        <v>1013</v>
      </c>
      <c r="H178" s="653"/>
      <c r="I178" s="668"/>
      <c r="J178" s="668"/>
      <c r="K178" s="668"/>
      <c r="L178" s="655" t="str">
        <f t="shared" si="132"/>
        <v>4211</v>
      </c>
      <c r="M178" s="670" t="str">
        <f t="shared" si="0"/>
        <v>VTE - VW USAGES DETAIL</v>
      </c>
      <c r="N178" s="657">
        <f>+IF(OR($Q178=Parametres!$G$2,$Q178=Parametres!$G$3),I178,C178)</f>
        <v>-3000</v>
      </c>
      <c r="O178" s="661">
        <f>+IF(OR($Q178=Parametres!$G$2,$Q178=Parametres!$G$3),J178,D178)</f>
        <v>0</v>
      </c>
      <c r="P178" s="671">
        <f>+IF(OR($Q178=Parametres!$G$2,$Q178=Parametres!$G$3),K178,E178)</f>
        <v>-3000</v>
      </c>
      <c r="Q178" s="656" t="str">
        <f t="shared" ref="Q178:S178" si="169">+F178</f>
        <v>5-Ventes</v>
      </c>
      <c r="R178" s="655" t="str">
        <f t="shared" si="169"/>
        <v>4211</v>
      </c>
      <c r="S178" s="656">
        <f t="shared" si="169"/>
        <v>0</v>
      </c>
      <c r="T178" s="658" t="str">
        <f>+VLOOKUP($L178,Data_Validation!$A:$D,1,0)</f>
        <v>4211</v>
      </c>
      <c r="U178" s="658" t="str">
        <f>+VLOOKUP($L178,Data_Validation!$A:$D,3,0)</f>
        <v>Véhicules usagés</v>
      </c>
      <c r="V178" s="658" t="str">
        <f>+VLOOKUP($L178,Data_Validation!$A:$D,4,0)</f>
        <v>Non Certifié</v>
      </c>
      <c r="W178" s="658" t="str">
        <f>+VLOOKUP($L178,Data_Validation!$A:$E,5,0)</f>
        <v>$</v>
      </c>
      <c r="X178" s="658" t="str">
        <f>+VLOOKUP($L178,Data_Validation!$A:$F,6,0)</f>
        <v>Oui</v>
      </c>
    </row>
    <row r="179" spans="1:24" ht="15" customHeight="1">
      <c r="A179" s="1190" t="s">
        <v>1016</v>
      </c>
      <c r="B179" s="1190" t="s">
        <v>1935</v>
      </c>
      <c r="C179" s="1192">
        <v>-27990</v>
      </c>
      <c r="D179" s="1192">
        <v>-3500</v>
      </c>
      <c r="E179" s="1192">
        <v>-31490</v>
      </c>
      <c r="F179" s="1190" t="s">
        <v>965</v>
      </c>
      <c r="G179" s="1190" t="s">
        <v>1017</v>
      </c>
      <c r="H179" s="653"/>
      <c r="I179" s="668"/>
      <c r="J179" s="668"/>
      <c r="K179" s="668"/>
      <c r="L179" s="655" t="str">
        <f t="shared" si="132"/>
        <v>4285</v>
      </c>
      <c r="M179" s="656" t="str">
        <f t="shared" si="0"/>
        <v>VEH. D'OCC. AUTRE DETAIL</v>
      </c>
      <c r="N179" s="657">
        <f>+IF(OR($Q179=Parametres!$G$2,$Q179=Parametres!$G$3),I179,C179)</f>
        <v>-27990</v>
      </c>
      <c r="O179" s="657">
        <f>+IF(OR($Q179=Parametres!$G$2,$Q179=Parametres!$G$3),J179,D179)</f>
        <v>-3500</v>
      </c>
      <c r="P179" s="657">
        <f>+IF(OR($Q179=Parametres!$G$2,$Q179=Parametres!$G$3),K179,E179)</f>
        <v>-31490</v>
      </c>
      <c r="Q179" s="656" t="str">
        <f t="shared" ref="Q179:S179" si="170">+F179</f>
        <v>5-Ventes</v>
      </c>
      <c r="R179" s="655" t="str">
        <f t="shared" si="170"/>
        <v>4261</v>
      </c>
      <c r="S179" s="656">
        <f t="shared" si="170"/>
        <v>0</v>
      </c>
      <c r="T179" s="658" t="str">
        <f>+VLOOKUP($L179,Data_Validation!$A:$D,1,0)</f>
        <v>4285</v>
      </c>
      <c r="U179" s="658" t="str">
        <f>+VLOOKUP($L179,Data_Validation!$A:$D,3,0)</f>
        <v>Véhicules usagés</v>
      </c>
      <c r="V179" s="658" t="str">
        <f>+VLOOKUP($L179,Data_Validation!$A:$D,4,0)</f>
        <v>Non Certifié</v>
      </c>
      <c r="W179" s="658" t="str">
        <f>+VLOOKUP($L179,Data_Validation!$A:$E,5,0)</f>
        <v>$</v>
      </c>
      <c r="X179" s="658" t="str">
        <f>+VLOOKUP($L179,Data_Validation!$A:$F,6,0)</f>
        <v>Oui</v>
      </c>
    </row>
    <row r="180" spans="1:24" ht="15" customHeight="1">
      <c r="A180" s="1190" t="s">
        <v>1020</v>
      </c>
      <c r="B180" s="1190" t="s">
        <v>1944</v>
      </c>
      <c r="C180" s="1192">
        <v>-2468325.1</v>
      </c>
      <c r="D180" s="1192">
        <v>-440654</v>
      </c>
      <c r="E180" s="1192">
        <v>-2908979.1</v>
      </c>
      <c r="F180" s="1190" t="s">
        <v>965</v>
      </c>
      <c r="G180" s="1190" t="s">
        <v>1021</v>
      </c>
      <c r="H180" s="653"/>
      <c r="I180" s="668"/>
      <c r="J180" s="668"/>
      <c r="K180" s="668"/>
      <c r="L180" s="655" t="str">
        <f t="shared" ref="L180:L243" si="171">TEXT(B180,0)</f>
        <v>4291</v>
      </c>
      <c r="M180" s="656" t="str">
        <f t="shared" ref="M180:M243" si="172">+A180</f>
        <v>VEH. D'OCC. AU GROS</v>
      </c>
      <c r="N180" s="657">
        <f>+IF(OR($Q180=Parametres!$G$2,$Q180=Parametres!$G$3),I180,C180)</f>
        <v>-2468325.1</v>
      </c>
      <c r="O180" s="661">
        <f>+IF(OR($Q180=Parametres!$G$2,$Q180=Parametres!$G$3),J180,D180)</f>
        <v>-440654</v>
      </c>
      <c r="P180" s="657">
        <f>+IF(OR($Q180=Parametres!$G$2,$Q180=Parametres!$G$3),K180,E180)</f>
        <v>-2908979.1</v>
      </c>
      <c r="Q180" s="656" t="str">
        <f t="shared" ref="Q180:Q243" si="173">+F180</f>
        <v>5-Ventes</v>
      </c>
      <c r="R180" s="655" t="str">
        <f t="shared" ref="R180:R243" si="174">+G180</f>
        <v>4281</v>
      </c>
      <c r="S180" s="656">
        <f t="shared" ref="S180:S243" si="175">+H180</f>
        <v>0</v>
      </c>
      <c r="T180" s="658" t="str">
        <f>+VLOOKUP($L180,Data_Validation!$A:$D,1,0)</f>
        <v>4291</v>
      </c>
      <c r="U180" s="658" t="str">
        <f>+VLOOKUP($L180,Data_Validation!$A:$D,3,0)</f>
        <v>Véhicules usagés</v>
      </c>
      <c r="V180" s="658" t="str">
        <f>+VLOOKUP($L180,Data_Validation!$A:$D,4,0)</f>
        <v>Ventes au Gros</v>
      </c>
      <c r="W180" s="658" t="str">
        <f>+VLOOKUP($L180,Data_Validation!$A:$E,5,0)</f>
        <v>$</v>
      </c>
      <c r="X180" s="658" t="str">
        <f>+VLOOKUP($L180,Data_Validation!$A:$F,6,0)</f>
        <v>Oui</v>
      </c>
    </row>
    <row r="181" spans="1:24" ht="15.75" customHeight="1">
      <c r="A181" s="1190" t="s">
        <v>3675</v>
      </c>
      <c r="B181" s="1190" t="s">
        <v>1025</v>
      </c>
      <c r="C181" s="1192">
        <v>-289541.33</v>
      </c>
      <c r="D181" s="1192">
        <v>-211595.3</v>
      </c>
      <c r="E181" s="1192">
        <v>-501136.63</v>
      </c>
      <c r="F181" s="1190" t="s">
        <v>965</v>
      </c>
      <c r="G181" s="1190" t="s">
        <v>1025</v>
      </c>
      <c r="H181" s="653"/>
      <c r="I181" s="668"/>
      <c r="J181" s="668"/>
      <c r="K181" s="668"/>
      <c r="L181" s="655" t="str">
        <f t="shared" si="171"/>
        <v>4401</v>
      </c>
      <c r="M181" s="656" t="str">
        <f t="shared" si="172"/>
        <v>MAIN-D'OEUVRE - CLIENT VW - MCI</v>
      </c>
      <c r="N181" s="657">
        <f>+IF(OR($Q181=Parametres!$G$2,$Q181=Parametres!$G$3),I181,C181)</f>
        <v>-289541.33</v>
      </c>
      <c r="O181" s="657">
        <f>+IF(OR($Q181=Parametres!$G$2,$Q181=Parametres!$G$3),J181,D181)</f>
        <v>-211595.3</v>
      </c>
      <c r="P181" s="657">
        <f>+IF(OR($Q181=Parametres!$G$2,$Q181=Parametres!$G$3),K181,E181)</f>
        <v>-501136.63</v>
      </c>
      <c r="Q181" s="656" t="str">
        <f t="shared" si="173"/>
        <v>5-Ventes</v>
      </c>
      <c r="R181" s="655" t="str">
        <f t="shared" si="174"/>
        <v>4401</v>
      </c>
      <c r="S181" s="656">
        <f t="shared" si="175"/>
        <v>0</v>
      </c>
      <c r="T181" s="658" t="str">
        <f>+VLOOKUP($L181,Data_Validation!$A:$D,1,0)</f>
        <v>4401</v>
      </c>
      <c r="U181" s="658" t="str">
        <f>+VLOOKUP($L181,Data_Validation!$A:$D,3,0)</f>
        <v>Service</v>
      </c>
      <c r="V181" s="658" t="str">
        <f>+VLOOKUP($L181,Data_Validation!$A:$D,4,0)</f>
        <v>M/O Client</v>
      </c>
      <c r="W181" s="658" t="str">
        <f>+VLOOKUP($L181,Data_Validation!$A:$E,5,0)</f>
        <v>$</v>
      </c>
      <c r="X181" s="658" t="str">
        <f>+VLOOKUP($L181,Data_Validation!$A:$F,6,0)</f>
        <v>Oui</v>
      </c>
    </row>
    <row r="182" spans="1:24" ht="15.75" customHeight="1">
      <c r="A182" s="1190" t="s">
        <v>1027</v>
      </c>
      <c r="B182" s="1190" t="s">
        <v>1028</v>
      </c>
      <c r="C182" s="1192">
        <v>-25377.32</v>
      </c>
      <c r="D182" s="1192">
        <v>-31075.29</v>
      </c>
      <c r="E182" s="1192">
        <v>-56452.61</v>
      </c>
      <c r="F182" s="1190" t="s">
        <v>965</v>
      </c>
      <c r="G182" s="1190" t="s">
        <v>1028</v>
      </c>
      <c r="H182" s="653"/>
      <c r="I182" s="668"/>
      <c r="J182" s="668"/>
      <c r="K182" s="668"/>
      <c r="L182" s="655" t="str">
        <f t="shared" si="171"/>
        <v>4402</v>
      </c>
      <c r="M182" s="656" t="str">
        <f t="shared" si="172"/>
        <v>VTE - M.O. ESTHETIQUE CLIENT</v>
      </c>
      <c r="N182" s="657">
        <f>+IF(OR($Q182=Parametres!$G$2,$Q182=Parametres!$G$3),I182,C182)</f>
        <v>-25377.32</v>
      </c>
      <c r="O182" s="657">
        <f>+IF(OR($Q182=Parametres!$G$2,$Q182=Parametres!$G$3),J182,D182)</f>
        <v>-31075.29</v>
      </c>
      <c r="P182" s="657">
        <f>+IF(OR($Q182=Parametres!$G$2,$Q182=Parametres!$G$3),K182,E182)</f>
        <v>-56452.61</v>
      </c>
      <c r="Q182" s="656" t="str">
        <f t="shared" si="173"/>
        <v>5-Ventes</v>
      </c>
      <c r="R182" s="655" t="str">
        <f t="shared" si="174"/>
        <v>4402</v>
      </c>
      <c r="S182" s="656">
        <f t="shared" si="175"/>
        <v>0</v>
      </c>
      <c r="T182" s="658" t="str">
        <f>+VLOOKUP($L182,Data_Validation!$A:$D,1,0)</f>
        <v>4402</v>
      </c>
      <c r="U182" s="658" t="str">
        <f>+VLOOKUP($L182,Data_Validation!$A:$D,3,0)</f>
        <v>Service</v>
      </c>
      <c r="V182" s="658" t="str">
        <f>+VLOOKUP($L182,Data_Validation!$A:$D,4,0)</f>
        <v>M/O Esthétique</v>
      </c>
      <c r="W182" s="658" t="str">
        <f>+VLOOKUP($L182,Data_Validation!$A:$E,5,0)</f>
        <v>$</v>
      </c>
      <c r="X182" s="658" t="str">
        <f>+VLOOKUP($L182,Data_Validation!$A:$F,6,0)</f>
        <v>Oui</v>
      </c>
    </row>
    <row r="183" spans="1:24" ht="15.75" customHeight="1">
      <c r="A183" s="1190" t="s">
        <v>3676</v>
      </c>
      <c r="B183" s="1190" t="s">
        <v>1030</v>
      </c>
      <c r="C183" s="1192">
        <v>-59543.95</v>
      </c>
      <c r="D183" s="1192">
        <v>-23543.040000000001</v>
      </c>
      <c r="E183" s="1192">
        <v>-83086.990000000005</v>
      </c>
      <c r="F183" s="1190" t="s">
        <v>965</v>
      </c>
      <c r="G183" s="1190" t="s">
        <v>1030</v>
      </c>
      <c r="H183" s="653"/>
      <c r="I183" s="668"/>
      <c r="J183" s="668"/>
      <c r="K183" s="668"/>
      <c r="L183" s="655" t="str">
        <f t="shared" si="171"/>
        <v>4403</v>
      </c>
      <c r="M183" s="656" t="str">
        <f t="shared" si="172"/>
        <v>MAIN-D'OEUVRE - GARANTIE VW - MCI</v>
      </c>
      <c r="N183" s="657">
        <f>+IF(OR($Q183=Parametres!$G$2,$Q183=Parametres!$G$3),I183,C183)</f>
        <v>-59543.95</v>
      </c>
      <c r="O183" s="657">
        <f>+IF(OR($Q183=Parametres!$G$2,$Q183=Parametres!$G$3),J183,D183)</f>
        <v>-23543.040000000001</v>
      </c>
      <c r="P183" s="657">
        <f>+IF(OR($Q183=Parametres!$G$2,$Q183=Parametres!$G$3),K183,E183)</f>
        <v>-83086.990000000005</v>
      </c>
      <c r="Q183" s="656" t="str">
        <f t="shared" si="173"/>
        <v>5-Ventes</v>
      </c>
      <c r="R183" s="655" t="str">
        <f t="shared" si="174"/>
        <v>4403</v>
      </c>
      <c r="S183" s="656">
        <f t="shared" si="175"/>
        <v>0</v>
      </c>
      <c r="T183" s="658" t="str">
        <f>+VLOOKUP($L183,Data_Validation!$A:$D,1,0)</f>
        <v>4403</v>
      </c>
      <c r="U183" s="658" t="str">
        <f>+VLOOKUP($L183,Data_Validation!$A:$D,3,0)</f>
        <v>Service</v>
      </c>
      <c r="V183" s="658" t="str">
        <f>+VLOOKUP($L183,Data_Validation!$A:$D,4,0)</f>
        <v>M/O Garantie</v>
      </c>
      <c r="W183" s="658" t="str">
        <f>+VLOOKUP($L183,Data_Validation!$A:$E,5,0)</f>
        <v>$</v>
      </c>
      <c r="X183" s="658" t="str">
        <f>+VLOOKUP($L183,Data_Validation!$A:$F,6,0)</f>
        <v>Oui</v>
      </c>
    </row>
    <row r="184" spans="1:24" ht="15.75" customHeight="1">
      <c r="A184" s="1190" t="s">
        <v>3677</v>
      </c>
      <c r="B184" s="1190" t="s">
        <v>1033</v>
      </c>
      <c r="C184" s="1192">
        <v>-226529.67</v>
      </c>
      <c r="D184" s="1192">
        <v>-68486.179999999993</v>
      </c>
      <c r="E184" s="1192">
        <v>-295015.84999999998</v>
      </c>
      <c r="F184" s="1190" t="s">
        <v>965</v>
      </c>
      <c r="G184" s="1190" t="s">
        <v>1033</v>
      </c>
      <c r="H184" s="653"/>
      <c r="I184" s="669"/>
      <c r="J184" s="669"/>
      <c r="K184" s="669"/>
      <c r="L184" s="655" t="str">
        <f t="shared" si="171"/>
        <v>4405</v>
      </c>
      <c r="M184" s="656" t="str">
        <f t="shared" si="172"/>
        <v>MAIN-D'OEUVRE - INTERNE VW - MCI</v>
      </c>
      <c r="N184" s="657">
        <f>+IF(OR($Q184=Parametres!$G$2,$Q184=Parametres!$G$3),I184,C184)</f>
        <v>-226529.67</v>
      </c>
      <c r="O184" s="661">
        <f>+IF(OR($Q184=Parametres!$G$2,$Q184=Parametres!$G$3),J184,D184)</f>
        <v>-68486.179999999993</v>
      </c>
      <c r="P184" s="657">
        <f>+IF(OR($Q184=Parametres!$G$2,$Q184=Parametres!$G$3),K184,E184)</f>
        <v>-295015.84999999998</v>
      </c>
      <c r="Q184" s="656" t="str">
        <f t="shared" si="173"/>
        <v>5-Ventes</v>
      </c>
      <c r="R184" s="655" t="str">
        <f t="shared" si="174"/>
        <v>4405</v>
      </c>
      <c r="S184" s="656">
        <f t="shared" si="175"/>
        <v>0</v>
      </c>
      <c r="T184" s="658" t="str">
        <f>+VLOOKUP($L184,Data_Validation!$A:$D,1,0)</f>
        <v>4405</v>
      </c>
      <c r="U184" s="658" t="str">
        <f>+VLOOKUP($L184,Data_Validation!$A:$D,3,0)</f>
        <v>Service</v>
      </c>
      <c r="V184" s="658" t="str">
        <f>+VLOOKUP($L184,Data_Validation!$A:$D,4,0)</f>
        <v>M/O Interne</v>
      </c>
      <c r="W184" s="658" t="str">
        <f>+VLOOKUP($L184,Data_Validation!$A:$E,5,0)</f>
        <v>$</v>
      </c>
      <c r="X184" s="658" t="str">
        <f>+VLOOKUP($L184,Data_Validation!$A:$F,6,0)</f>
        <v>Oui</v>
      </c>
    </row>
    <row r="185" spans="1:24" ht="15.75" customHeight="1">
      <c r="A185" s="1190" t="s">
        <v>1035</v>
      </c>
      <c r="B185" s="1190" t="s">
        <v>1976</v>
      </c>
      <c r="C185" s="1192">
        <v>-53140.24</v>
      </c>
      <c r="D185" s="1192">
        <v>-27235.040000000001</v>
      </c>
      <c r="E185" s="1192">
        <v>-80375.28</v>
      </c>
      <c r="F185" s="1190" t="s">
        <v>965</v>
      </c>
      <c r="G185" s="1190" t="s">
        <v>1036</v>
      </c>
      <c r="H185" s="653"/>
      <c r="I185" s="668"/>
      <c r="J185" s="668"/>
      <c r="K185" s="668"/>
      <c r="L185" s="655" t="str">
        <f t="shared" si="171"/>
        <v>4451</v>
      </c>
      <c r="M185" s="656" t="str">
        <f t="shared" si="172"/>
        <v>CARBURANT/HUILE/GRAISSE</v>
      </c>
      <c r="N185" s="657">
        <f>+IF(OR($Q185=Parametres!$G$2,$Q185=Parametres!$G$3),I185,C185)</f>
        <v>-53140.24</v>
      </c>
      <c r="O185" s="657">
        <f>+IF(OR($Q185=Parametres!$G$2,$Q185=Parametres!$G$3),J185,D185)</f>
        <v>-27235.040000000001</v>
      </c>
      <c r="P185" s="657">
        <f>+IF(OR($Q185=Parametres!$G$2,$Q185=Parametres!$G$3),K185,E185)</f>
        <v>-80375.28</v>
      </c>
      <c r="Q185" s="656" t="str">
        <f t="shared" si="173"/>
        <v>5-Ventes</v>
      </c>
      <c r="R185" s="655" t="str">
        <f t="shared" si="174"/>
        <v>4782</v>
      </c>
      <c r="S185" s="656">
        <f t="shared" si="175"/>
        <v>0</v>
      </c>
      <c r="T185" s="658" t="str">
        <f>+VLOOKUP($L185,Data_Validation!$A:$D,1,0)</f>
        <v>4451</v>
      </c>
      <c r="U185" s="658" t="str">
        <f>+VLOOKUP($L185,Data_Validation!$A:$D,3,0)</f>
        <v>Pièces</v>
      </c>
      <c r="V185" s="658" t="str">
        <f>+VLOOKUP($L185,Data_Validation!$A:$D,4,0)</f>
        <v>Huiles et Graisse</v>
      </c>
      <c r="W185" s="658" t="str">
        <f>+VLOOKUP($L185,Data_Validation!$A:$E,5,0)</f>
        <v>$</v>
      </c>
      <c r="X185" s="658" t="str">
        <f>+VLOOKUP($L185,Data_Validation!$A:$F,6,0)</f>
        <v>Oui</v>
      </c>
    </row>
    <row r="186" spans="1:24" ht="15.75" customHeight="1">
      <c r="A186" s="1190" t="s">
        <v>1038</v>
      </c>
      <c r="B186" s="1190" t="s">
        <v>1039</v>
      </c>
      <c r="C186" s="1192">
        <v>-10936.49</v>
      </c>
      <c r="D186" s="1192">
        <v>-7554.6</v>
      </c>
      <c r="E186" s="1192">
        <v>-18491.09</v>
      </c>
      <c r="F186" s="1190" t="s">
        <v>965</v>
      </c>
      <c r="G186" s="1190" t="s">
        <v>1039</v>
      </c>
      <c r="H186" s="653"/>
      <c r="I186" s="669"/>
      <c r="J186" s="669"/>
      <c r="K186" s="669"/>
      <c r="L186" s="655" t="str">
        <f t="shared" si="171"/>
        <v>4491</v>
      </c>
      <c r="M186" s="656" t="str">
        <f t="shared" si="172"/>
        <v>REPARATION SOUS-LOC. - GENERAL</v>
      </c>
      <c r="N186" s="657">
        <f>+IF(OR($Q186=Parametres!$G$2,$Q186=Parametres!$G$3),I186,C186)</f>
        <v>-10936.49</v>
      </c>
      <c r="O186" s="661">
        <f>+IF(OR($Q186=Parametres!$G$2,$Q186=Parametres!$G$3),J186,D186)</f>
        <v>-7554.6</v>
      </c>
      <c r="P186" s="657">
        <f>+IF(OR($Q186=Parametres!$G$2,$Q186=Parametres!$G$3),K186,E186)</f>
        <v>-18491.09</v>
      </c>
      <c r="Q186" s="656" t="str">
        <f t="shared" si="173"/>
        <v>5-Ventes</v>
      </c>
      <c r="R186" s="655" t="str">
        <f t="shared" si="174"/>
        <v>4491</v>
      </c>
      <c r="S186" s="656">
        <f t="shared" si="175"/>
        <v>0</v>
      </c>
      <c r="T186" s="658" t="str">
        <f>+VLOOKUP($L186,Data_Validation!$A:$D,1,0)</f>
        <v>4491</v>
      </c>
      <c r="U186" s="658" t="str">
        <f>+VLOOKUP($L186,Data_Validation!$A:$D,3,0)</f>
        <v>Service</v>
      </c>
      <c r="V186" s="658" t="str">
        <f>+VLOOKUP($L186,Data_Validation!$A:$D,4,0)</f>
        <v>Sous-traitement</v>
      </c>
      <c r="W186" s="658" t="str">
        <f>+VLOOKUP($L186,Data_Validation!$A:$E,5,0)</f>
        <v>$</v>
      </c>
      <c r="X186" s="658" t="str">
        <f>+VLOOKUP($L186,Data_Validation!$A:$F,6,0)</f>
        <v>Oui</v>
      </c>
    </row>
    <row r="187" spans="1:24" ht="15" customHeight="1">
      <c r="A187" s="1190" t="s">
        <v>1041</v>
      </c>
      <c r="B187" s="1190" t="s">
        <v>1042</v>
      </c>
      <c r="C187" s="1192">
        <v>-6200</v>
      </c>
      <c r="D187" s="1192">
        <v>0</v>
      </c>
      <c r="E187" s="1192">
        <v>-6200</v>
      </c>
      <c r="F187" s="1190" t="s">
        <v>965</v>
      </c>
      <c r="G187" s="1190" t="s">
        <v>1042</v>
      </c>
      <c r="H187" s="653"/>
      <c r="I187" s="668"/>
      <c r="J187" s="668"/>
      <c r="K187" s="668"/>
      <c r="L187" s="655" t="str">
        <f t="shared" si="171"/>
        <v>4493</v>
      </c>
      <c r="M187" s="656" t="str">
        <f t="shared" si="172"/>
        <v>VTE - SOUS-TRAITANCE GARANTIE</v>
      </c>
      <c r="N187" s="657">
        <f>+IF(OR($Q187=Parametres!$G$2,$Q187=Parametres!$G$3),I187,C187)</f>
        <v>-6200</v>
      </c>
      <c r="O187" s="657">
        <f>+IF(OR($Q187=Parametres!$G$2,$Q187=Parametres!$G$3),J187,D187)</f>
        <v>0</v>
      </c>
      <c r="P187" s="657">
        <f>+IF(OR($Q187=Parametres!$G$2,$Q187=Parametres!$G$3),K187,E187)</f>
        <v>-6200</v>
      </c>
      <c r="Q187" s="656" t="str">
        <f t="shared" si="173"/>
        <v>5-Ventes</v>
      </c>
      <c r="R187" s="655" t="str">
        <f t="shared" si="174"/>
        <v>4493</v>
      </c>
      <c r="S187" s="656">
        <f t="shared" si="175"/>
        <v>0</v>
      </c>
      <c r="T187" s="658" t="str">
        <f>+VLOOKUP($L187,Data_Validation!$A:$D,1,0)</f>
        <v>4493</v>
      </c>
      <c r="U187" s="658" t="str">
        <f>+VLOOKUP($L187,Data_Validation!$A:$D,3,0)</f>
        <v>Service</v>
      </c>
      <c r="V187" s="658" t="str">
        <f>+VLOOKUP($L187,Data_Validation!$A:$D,4,0)</f>
        <v>Sous-traitement</v>
      </c>
      <c r="W187" s="658" t="str">
        <f>+VLOOKUP($L187,Data_Validation!$A:$E,5,0)</f>
        <v>$</v>
      </c>
      <c r="X187" s="658" t="str">
        <f>+VLOOKUP($L187,Data_Validation!$A:$F,6,0)</f>
        <v>Oui</v>
      </c>
    </row>
    <row r="188" spans="1:24" ht="15" customHeight="1">
      <c r="A188" s="1190" t="s">
        <v>1045</v>
      </c>
      <c r="B188" s="1190" t="s">
        <v>1046</v>
      </c>
      <c r="C188" s="1192">
        <v>-22113.84</v>
      </c>
      <c r="D188" s="1192">
        <v>-14080</v>
      </c>
      <c r="E188" s="1192">
        <v>-36193.839999999997</v>
      </c>
      <c r="F188" s="1190" t="s">
        <v>965</v>
      </c>
      <c r="G188" s="1190" t="s">
        <v>1046</v>
      </c>
      <c r="H188" s="653"/>
      <c r="I188" s="654"/>
      <c r="J188" s="654"/>
      <c r="K188" s="654"/>
      <c r="L188" s="655" t="str">
        <f t="shared" si="171"/>
        <v>4495</v>
      </c>
      <c r="M188" s="656" t="str">
        <f t="shared" si="172"/>
        <v>VTE - S-TRAITANCE MEC.INTERNE VW</v>
      </c>
      <c r="N188" s="657">
        <f>+IF(OR($Q188=Parametres!$G$2,$Q188=Parametres!$G$3),I188,C188)</f>
        <v>-22113.84</v>
      </c>
      <c r="O188" s="657">
        <f>+IF(OR($Q188=Parametres!$G$2,$Q188=Parametres!$G$3),J188,D188)</f>
        <v>-14080</v>
      </c>
      <c r="P188" s="657">
        <f>+IF(OR($Q188=Parametres!$G$2,$Q188=Parametres!$G$3),K188,E188)</f>
        <v>-36193.839999999997</v>
      </c>
      <c r="Q188" s="656" t="str">
        <f t="shared" si="173"/>
        <v>5-Ventes</v>
      </c>
      <c r="R188" s="655" t="str">
        <f t="shared" si="174"/>
        <v>4495</v>
      </c>
      <c r="S188" s="656">
        <f t="shared" si="175"/>
        <v>0</v>
      </c>
      <c r="T188" s="658" t="str">
        <f>+VLOOKUP($L188,Data_Validation!$A:$D,1,0)</f>
        <v>4495</v>
      </c>
      <c r="U188" s="658" t="str">
        <f>+VLOOKUP($L188,Data_Validation!$A:$D,3,0)</f>
        <v>Service</v>
      </c>
      <c r="V188" s="658" t="str">
        <f>+VLOOKUP($L188,Data_Validation!$A:$D,4,0)</f>
        <v>Sous-traitement</v>
      </c>
      <c r="W188" s="658" t="str">
        <f>+VLOOKUP($L188,Data_Validation!$A:$E,5,0)</f>
        <v>$</v>
      </c>
      <c r="X188" s="658" t="str">
        <f>+VLOOKUP($L188,Data_Validation!$A:$F,6,0)</f>
        <v>Oui</v>
      </c>
    </row>
    <row r="189" spans="1:24" ht="15" customHeight="1">
      <c r="A189" s="1190" t="s">
        <v>3430</v>
      </c>
      <c r="B189" s="1190" t="s">
        <v>3431</v>
      </c>
      <c r="C189" s="1192">
        <v>-16571.3</v>
      </c>
      <c r="D189" s="1192">
        <v>-8946.15</v>
      </c>
      <c r="E189" s="1192">
        <v>-25517.45</v>
      </c>
      <c r="F189" s="1190" t="s">
        <v>965</v>
      </c>
      <c r="G189" s="1190" t="s">
        <v>3431</v>
      </c>
      <c r="H189" s="653"/>
      <c r="I189" s="653"/>
      <c r="J189" s="653"/>
      <c r="K189" s="653"/>
      <c r="L189" s="655" t="str">
        <f t="shared" si="171"/>
        <v>4505</v>
      </c>
      <c r="M189" s="656" t="str">
        <f t="shared" si="172"/>
        <v>VTE - M.O. INTERNE CARROSSERIE</v>
      </c>
      <c r="N189" s="657">
        <f>+IF(OR($Q189=Parametres!$G$2,$Q189=Parametres!$G$3),I189,C189)</f>
        <v>-16571.3</v>
      </c>
      <c r="O189" s="657">
        <f>+IF(OR($Q189=Parametres!$G$2,$Q189=Parametres!$G$3),J189,D189)</f>
        <v>-8946.15</v>
      </c>
      <c r="P189" s="657">
        <f>+IF(OR($Q189=Parametres!$G$2,$Q189=Parametres!$G$3),K189,E189)</f>
        <v>-25517.45</v>
      </c>
      <c r="Q189" s="656" t="str">
        <f t="shared" si="173"/>
        <v>5-Ventes</v>
      </c>
      <c r="R189" s="655" t="str">
        <f t="shared" si="174"/>
        <v>4505</v>
      </c>
      <c r="S189" s="656">
        <f t="shared" si="175"/>
        <v>0</v>
      </c>
      <c r="T189" s="658" t="str">
        <f>+VLOOKUP($L189,Data_Validation!$A:$D,1,0)</f>
        <v>4505</v>
      </c>
      <c r="U189" s="658" t="str">
        <f>+VLOOKUP($L189,Data_Validation!$A:$D,3,0)</f>
        <v>Service</v>
      </c>
      <c r="V189" s="658" t="str">
        <f>+VLOOKUP($L189,Data_Validation!$A:$D,4,0)</f>
        <v>M.O. Recond. MCPA</v>
      </c>
      <c r="W189" s="658" t="str">
        <f>+VLOOKUP($L189,Data_Validation!$A:$E,5,0)</f>
        <v>$</v>
      </c>
      <c r="X189" s="658" t="str">
        <f>+VLOOKUP($L189,Data_Validation!$A:$F,6,0)</f>
        <v>Oui</v>
      </c>
    </row>
    <row r="190" spans="1:24" ht="15" customHeight="1">
      <c r="A190" s="1190" t="s">
        <v>1052</v>
      </c>
      <c r="B190" s="1190" t="s">
        <v>1053</v>
      </c>
      <c r="C190" s="1192">
        <v>-53788.32</v>
      </c>
      <c r="D190" s="1192">
        <v>-17196.28</v>
      </c>
      <c r="E190" s="1192">
        <v>-70984.600000000006</v>
      </c>
      <c r="F190" s="1190" t="s">
        <v>965</v>
      </c>
      <c r="G190" s="1190" t="s">
        <v>1053</v>
      </c>
      <c r="H190" s="653"/>
      <c r="I190" s="654"/>
      <c r="J190" s="654"/>
      <c r="K190" s="654"/>
      <c r="L190" s="655" t="str">
        <f t="shared" si="171"/>
        <v>4591</v>
      </c>
      <c r="M190" s="656" t="str">
        <f t="shared" si="172"/>
        <v>VTE - S-TRAIT. CARR.</v>
      </c>
      <c r="N190" s="657">
        <f>+IF(OR($Q190=Parametres!$G$2,$Q190=Parametres!$G$3),I190,C190)</f>
        <v>-53788.32</v>
      </c>
      <c r="O190" s="657">
        <f>+IF(OR($Q190=Parametres!$G$2,$Q190=Parametres!$G$3),J190,D190)</f>
        <v>-17196.28</v>
      </c>
      <c r="P190" s="657">
        <f>+IF(OR($Q190=Parametres!$G$2,$Q190=Parametres!$G$3),K190,E190)</f>
        <v>-70984.600000000006</v>
      </c>
      <c r="Q190" s="656" t="str">
        <f t="shared" si="173"/>
        <v>5-Ventes</v>
      </c>
      <c r="R190" s="655" t="str">
        <f t="shared" si="174"/>
        <v>4591</v>
      </c>
      <c r="S190" s="656">
        <f t="shared" si="175"/>
        <v>0</v>
      </c>
      <c r="T190" s="658" t="str">
        <f>+VLOOKUP($L190,Data_Validation!$A:$D,1,0)</f>
        <v>4591</v>
      </c>
      <c r="U190" s="658" t="str">
        <f>+VLOOKUP($L190,Data_Validation!$A:$D,3,0)</f>
        <v>Carrosserie</v>
      </c>
      <c r="V190" s="658" t="str">
        <f>+VLOOKUP($L190,Data_Validation!$A:$D,4,0)</f>
        <v>M/O Sous-traitement</v>
      </c>
      <c r="W190" s="658" t="str">
        <f>+VLOOKUP($L190,Data_Validation!$A:$E,5,0)</f>
        <v>$</v>
      </c>
      <c r="X190" s="658" t="str">
        <f>+VLOOKUP($L190,Data_Validation!$A:$F,6,0)</f>
        <v>Oui</v>
      </c>
    </row>
    <row r="191" spans="1:24" ht="15" customHeight="1">
      <c r="A191" s="1190" t="s">
        <v>1056</v>
      </c>
      <c r="B191" s="1190" t="s">
        <v>1057</v>
      </c>
      <c r="C191" s="1192">
        <v>-137960.95000000001</v>
      </c>
      <c r="D191" s="1192">
        <v>-54469.69</v>
      </c>
      <c r="E191" s="1192">
        <v>-192430.64</v>
      </c>
      <c r="F191" s="1190" t="s">
        <v>965</v>
      </c>
      <c r="G191" s="1190" t="s">
        <v>1057</v>
      </c>
      <c r="H191" s="653"/>
      <c r="I191" s="653"/>
      <c r="J191" s="653"/>
      <c r="K191" s="672"/>
      <c r="L191" s="655" t="str">
        <f t="shared" si="171"/>
        <v>4593</v>
      </c>
      <c r="M191" s="656" t="str">
        <f t="shared" si="172"/>
        <v>VTE - SOUS-TRAITANCE GARANTIE CARR.</v>
      </c>
      <c r="N191" s="657">
        <f>+IF(OR($Q191=Parametres!$G$2,$Q191=Parametres!$G$3),I191,C191)</f>
        <v>-137960.95000000001</v>
      </c>
      <c r="O191" s="657">
        <f>+IF(OR($Q191=Parametres!$G$2,$Q191=Parametres!$G$3),J191,D191)</f>
        <v>-54469.69</v>
      </c>
      <c r="P191" s="657">
        <f>+IF(OR($Q191=Parametres!$G$2,$Q191=Parametres!$G$3),K191,E191)</f>
        <v>-192430.64</v>
      </c>
      <c r="Q191" s="656" t="str">
        <f t="shared" si="173"/>
        <v>5-Ventes</v>
      </c>
      <c r="R191" s="655" t="str">
        <f t="shared" si="174"/>
        <v>4593</v>
      </c>
      <c r="S191" s="656">
        <f t="shared" si="175"/>
        <v>0</v>
      </c>
      <c r="T191" s="658" t="str">
        <f>+VLOOKUP($L191,Data_Validation!$A:$D,1,0)</f>
        <v>4593</v>
      </c>
      <c r="U191" s="658" t="str">
        <f>+VLOOKUP($L191,Data_Validation!$A:$D,3,0)</f>
        <v>Carrosserie</v>
      </c>
      <c r="V191" s="658" t="str">
        <f>+VLOOKUP($L191,Data_Validation!$A:$D,4,0)</f>
        <v>M/O Sous-traitement</v>
      </c>
      <c r="W191" s="658" t="str">
        <f>+VLOOKUP($L191,Data_Validation!$A:$E,5,0)</f>
        <v>$</v>
      </c>
      <c r="X191" s="658" t="str">
        <f>+VLOOKUP($L191,Data_Validation!$A:$F,6,0)</f>
        <v>Oui</v>
      </c>
    </row>
    <row r="192" spans="1:24" ht="15" customHeight="1">
      <c r="A192" s="1190" t="s">
        <v>1060</v>
      </c>
      <c r="B192" s="1190" t="s">
        <v>1061</v>
      </c>
      <c r="C192" s="1192">
        <v>-4420</v>
      </c>
      <c r="D192" s="1192">
        <v>0</v>
      </c>
      <c r="E192" s="1192">
        <v>-4420</v>
      </c>
      <c r="F192" s="1190" t="s">
        <v>965</v>
      </c>
      <c r="G192" s="1190" t="s">
        <v>1061</v>
      </c>
      <c r="H192" s="653"/>
      <c r="I192" s="654"/>
      <c r="J192" s="654"/>
      <c r="K192" s="654"/>
      <c r="L192" s="655" t="str">
        <f t="shared" si="171"/>
        <v>4595</v>
      </c>
      <c r="M192" s="656" t="str">
        <f t="shared" si="172"/>
        <v>VTE - SOUS-TRAITANCE INTERNE CARR.</v>
      </c>
      <c r="N192" s="657">
        <f>+IF(OR($Q192=Parametres!$G$2,$Q192=Parametres!$G$3),I192,C192)</f>
        <v>-4420</v>
      </c>
      <c r="O192" s="657">
        <f>+IF(OR($Q192=Parametres!$G$2,$Q192=Parametres!$G$3),J192,D192)</f>
        <v>0</v>
      </c>
      <c r="P192" s="657">
        <f>+IF(OR($Q192=Parametres!$G$2,$Q192=Parametres!$G$3),K192,E192)</f>
        <v>-4420</v>
      </c>
      <c r="Q192" s="656" t="str">
        <f t="shared" si="173"/>
        <v>5-Ventes</v>
      </c>
      <c r="R192" s="655" t="str">
        <f t="shared" si="174"/>
        <v>4595</v>
      </c>
      <c r="S192" s="656">
        <f t="shared" si="175"/>
        <v>0</v>
      </c>
      <c r="T192" s="658" t="str">
        <f>+VLOOKUP($L192,Data_Validation!$A:$D,1,0)</f>
        <v>4595</v>
      </c>
      <c r="U192" s="658" t="str">
        <f>+VLOOKUP($L192,Data_Validation!$A:$D,3,0)</f>
        <v>Carrosserie</v>
      </c>
      <c r="V192" s="658" t="str">
        <f>+VLOOKUP($L192,Data_Validation!$A:$D,4,0)</f>
        <v>M/O Sous-traitement</v>
      </c>
      <c r="W192" s="658" t="str">
        <f>+VLOOKUP($L192,Data_Validation!$A:$E,5,0)</f>
        <v>$</v>
      </c>
      <c r="X192" s="658" t="str">
        <f>+VLOOKUP($L192,Data_Validation!$A:$F,6,0)</f>
        <v>Oui</v>
      </c>
    </row>
    <row r="193" spans="1:24" ht="15" customHeight="1">
      <c r="A193" s="1190" t="s">
        <v>3678</v>
      </c>
      <c r="B193" s="1190" t="s">
        <v>1065</v>
      </c>
      <c r="C193" s="1192">
        <v>-188837.01</v>
      </c>
      <c r="D193" s="1192">
        <v>-90045.18</v>
      </c>
      <c r="E193" s="1192">
        <v>-278882.19</v>
      </c>
      <c r="F193" s="1190" t="s">
        <v>965</v>
      </c>
      <c r="G193" s="1190" t="s">
        <v>1065</v>
      </c>
      <c r="H193" s="653"/>
      <c r="I193" s="653"/>
      <c r="J193" s="653"/>
      <c r="K193" s="672"/>
      <c r="L193" s="655" t="str">
        <f t="shared" si="171"/>
        <v>4701</v>
      </c>
      <c r="M193" s="656" t="str">
        <f t="shared" si="172"/>
        <v>VW P&amp;A - BR - CLIENT - MCI</v>
      </c>
      <c r="N193" s="657">
        <f>+IF(OR($Q193=Parametres!$G$2,$Q193=Parametres!$G$3),I193,C193)</f>
        <v>-188837.01</v>
      </c>
      <c r="O193" s="657">
        <f>+IF(OR($Q193=Parametres!$G$2,$Q193=Parametres!$G$3),J193,D193)</f>
        <v>-90045.18</v>
      </c>
      <c r="P193" s="657">
        <f>+IF(OR($Q193=Parametres!$G$2,$Q193=Parametres!$G$3),K193,E193)</f>
        <v>-278882.19</v>
      </c>
      <c r="Q193" s="656" t="str">
        <f t="shared" si="173"/>
        <v>5-Ventes</v>
      </c>
      <c r="R193" s="655" t="str">
        <f t="shared" si="174"/>
        <v>4701</v>
      </c>
      <c r="S193" s="656">
        <f t="shared" si="175"/>
        <v>0</v>
      </c>
      <c r="T193" s="658" t="str">
        <f>+VLOOKUP($L193,Data_Validation!$A:$D,1,0)</f>
        <v>4701</v>
      </c>
      <c r="U193" s="658" t="str">
        <f>+VLOOKUP($L193,Data_Validation!$A:$D,3,0)</f>
        <v>Pièces</v>
      </c>
      <c r="V193" s="658" t="str">
        <f>+VLOOKUP($L193,Data_Validation!$A:$D,4,0)</f>
        <v>Pièces Ro Clients</v>
      </c>
      <c r="W193" s="658" t="str">
        <f>+VLOOKUP($L193,Data_Validation!$A:$E,5,0)</f>
        <v>$</v>
      </c>
      <c r="X193" s="658" t="str">
        <f>+VLOOKUP($L193,Data_Validation!$A:$F,6,0)</f>
        <v>Oui</v>
      </c>
    </row>
    <row r="194" spans="1:24" ht="15.75" customHeight="1">
      <c r="A194" s="1190" t="s">
        <v>1068</v>
      </c>
      <c r="B194" s="1190" t="s">
        <v>1069</v>
      </c>
      <c r="C194" s="1192">
        <v>-2086.15</v>
      </c>
      <c r="D194" s="1192">
        <v>-1867.25</v>
      </c>
      <c r="E194" s="1192">
        <v>-3953.4</v>
      </c>
      <c r="F194" s="1190" t="s">
        <v>965</v>
      </c>
      <c r="G194" s="1190" t="s">
        <v>1069</v>
      </c>
      <c r="H194" s="653"/>
      <c r="I194" s="654"/>
      <c r="J194" s="654"/>
      <c r="K194" s="654"/>
      <c r="L194" s="655" t="str">
        <f t="shared" si="171"/>
        <v>4702</v>
      </c>
      <c r="M194" s="656" t="str">
        <f t="shared" si="172"/>
        <v>VTE - SHOP SUPPLY VW</v>
      </c>
      <c r="N194" s="657">
        <f>+IF(OR($Q194=Parametres!$G$2,$Q194=Parametres!$G$3),I194,C194)</f>
        <v>-2086.15</v>
      </c>
      <c r="O194" s="657">
        <f>+IF(OR($Q194=Parametres!$G$2,$Q194=Parametres!$G$3),J194,D194)</f>
        <v>-1867.25</v>
      </c>
      <c r="P194" s="657">
        <f>+IF(OR($Q194=Parametres!$G$2,$Q194=Parametres!$G$3),K194,E194)</f>
        <v>-3953.4</v>
      </c>
      <c r="Q194" s="656" t="str">
        <f t="shared" si="173"/>
        <v>5-Ventes</v>
      </c>
      <c r="R194" s="655" t="str">
        <f t="shared" si="174"/>
        <v>4702</v>
      </c>
      <c r="S194" s="656">
        <f t="shared" si="175"/>
        <v>0</v>
      </c>
      <c r="T194" s="658" t="str">
        <f>+VLOOKUP($L194,Data_Validation!$A:$D,1,0)</f>
        <v>4702</v>
      </c>
      <c r="U194" s="658" t="str">
        <f>+VLOOKUP($L194,Data_Validation!$A:$D,3,0)</f>
        <v>Service</v>
      </c>
      <c r="V194" s="658" t="str">
        <f>+VLOOKUP($L194,Data_Validation!$A:$D,4,0)</f>
        <v>M/O Client</v>
      </c>
      <c r="W194" s="658" t="str">
        <f>+VLOOKUP($L194,Data_Validation!$A:$E,5,0)</f>
        <v>$</v>
      </c>
      <c r="X194" s="658" t="str">
        <f>+VLOOKUP($L194,Data_Validation!$A:$F,6,0)</f>
        <v>Oui</v>
      </c>
    </row>
    <row r="195" spans="1:24" ht="15" customHeight="1">
      <c r="A195" s="1190" t="s">
        <v>3679</v>
      </c>
      <c r="B195" s="1190" t="s">
        <v>1071</v>
      </c>
      <c r="C195" s="1192">
        <v>-88256.94</v>
      </c>
      <c r="D195" s="1192">
        <v>-30357.78</v>
      </c>
      <c r="E195" s="1192">
        <v>-118614.72</v>
      </c>
      <c r="F195" s="1190" t="s">
        <v>965</v>
      </c>
      <c r="G195" s="1190" t="s">
        <v>1071</v>
      </c>
      <c r="H195" s="653"/>
      <c r="I195" s="672"/>
      <c r="J195" s="653"/>
      <c r="K195" s="672"/>
      <c r="L195" s="655" t="str">
        <f t="shared" si="171"/>
        <v>4703</v>
      </c>
      <c r="M195" s="656" t="str">
        <f t="shared" si="172"/>
        <v>VW P&amp;A - BR - GARANTIE - MCI</v>
      </c>
      <c r="N195" s="657">
        <f>+IF(OR($Q195=Parametres!$G$2,$Q195=Parametres!$G$3),I195,C195)</f>
        <v>-88256.94</v>
      </c>
      <c r="O195" s="657">
        <f>+IF(OR($Q195=Parametres!$G$2,$Q195=Parametres!$G$3),J195,D195)</f>
        <v>-30357.78</v>
      </c>
      <c r="P195" s="657">
        <f>+IF(OR($Q195=Parametres!$G$2,$Q195=Parametres!$G$3),K195,E195)</f>
        <v>-118614.72</v>
      </c>
      <c r="Q195" s="656" t="str">
        <f t="shared" si="173"/>
        <v>5-Ventes</v>
      </c>
      <c r="R195" s="655" t="str">
        <f t="shared" si="174"/>
        <v>4703</v>
      </c>
      <c r="S195" s="656">
        <f t="shared" si="175"/>
        <v>0</v>
      </c>
      <c r="T195" s="658" t="str">
        <f>+VLOOKUP($L195,Data_Validation!$A:$D,1,0)</f>
        <v>4703</v>
      </c>
      <c r="U195" s="658" t="str">
        <f>+VLOOKUP($L195,Data_Validation!$A:$D,3,0)</f>
        <v>Pièces</v>
      </c>
      <c r="V195" s="658" t="str">
        <f>+VLOOKUP($L195,Data_Validation!$A:$D,4,0)</f>
        <v>P/A Garantie</v>
      </c>
      <c r="W195" s="658" t="str">
        <f>+VLOOKUP($L195,Data_Validation!$A:$E,5,0)</f>
        <v>$</v>
      </c>
      <c r="X195" s="658" t="str">
        <f>+VLOOKUP($L195,Data_Validation!$A:$F,6,0)</f>
        <v>Oui</v>
      </c>
    </row>
    <row r="196" spans="1:24" ht="15" customHeight="1">
      <c r="A196" s="1190" t="s">
        <v>3922</v>
      </c>
      <c r="B196" s="1190" t="s">
        <v>3421</v>
      </c>
      <c r="C196" s="1192">
        <v>-13.17</v>
      </c>
      <c r="D196" s="1192">
        <v>0</v>
      </c>
      <c r="E196" s="1192">
        <v>-13.17</v>
      </c>
      <c r="F196" s="1190" t="s">
        <v>965</v>
      </c>
      <c r="G196" s="1190" t="s">
        <v>3421</v>
      </c>
      <c r="H196" s="653"/>
      <c r="I196" s="654"/>
      <c r="J196" s="654"/>
      <c r="K196" s="654"/>
      <c r="L196" s="655" t="str">
        <f t="shared" si="171"/>
        <v>4704</v>
      </c>
      <c r="M196" s="656" t="str">
        <f t="shared" si="172"/>
        <v>VW P&amp;A SVC BR - SVC RAPIDE - CLIENT - MCI</v>
      </c>
      <c r="N196" s="657">
        <f>+IF(OR($Q196=Parametres!$G$2,$Q196=Parametres!$G$3),I196,C196)</f>
        <v>-13.17</v>
      </c>
      <c r="O196" s="657">
        <f>+IF(OR($Q196=Parametres!$G$2,$Q196=Parametres!$G$3),J196,D196)</f>
        <v>0</v>
      </c>
      <c r="P196" s="657">
        <f>+IF(OR($Q196=Parametres!$G$2,$Q196=Parametres!$G$3),K196,E196)</f>
        <v>-13.17</v>
      </c>
      <c r="Q196" s="656" t="str">
        <f t="shared" si="173"/>
        <v>5-Ventes</v>
      </c>
      <c r="R196" s="655" t="str">
        <f t="shared" si="174"/>
        <v>4704</v>
      </c>
      <c r="S196" s="656">
        <f t="shared" si="175"/>
        <v>0</v>
      </c>
      <c r="T196" s="658" t="str">
        <f>+VLOOKUP($L196,Data_Validation!$A:$D,1,0)</f>
        <v>4704</v>
      </c>
      <c r="U196" s="658" t="str">
        <f>+VLOOKUP($L196,Data_Validation!$A:$D,3,0)</f>
        <v>Service</v>
      </c>
      <c r="V196" s="658" t="str">
        <f>+VLOOKUP($L196,Data_Validation!$A:$D,4,0)</f>
        <v>M/O Interne</v>
      </c>
      <c r="W196" s="658" t="str">
        <f>+VLOOKUP($L196,Data_Validation!$A:$E,5,0)</f>
        <v>$</v>
      </c>
      <c r="X196" s="658" t="str">
        <f>+VLOOKUP($L196,Data_Validation!$A:$F,6,0)</f>
        <v>Oui</v>
      </c>
    </row>
    <row r="197" spans="1:24" ht="15" customHeight="1">
      <c r="A197" s="1190" t="s">
        <v>3680</v>
      </c>
      <c r="B197" s="1190" t="s">
        <v>1075</v>
      </c>
      <c r="C197" s="1192">
        <v>-164052.09</v>
      </c>
      <c r="D197" s="1192">
        <v>-42372.56</v>
      </c>
      <c r="E197" s="1192">
        <v>-206424.65</v>
      </c>
      <c r="F197" s="1190" t="s">
        <v>965</v>
      </c>
      <c r="G197" s="1190" t="s">
        <v>1075</v>
      </c>
      <c r="H197" s="653"/>
      <c r="I197" s="653"/>
      <c r="J197" s="653"/>
      <c r="K197" s="672"/>
      <c r="L197" s="655" t="str">
        <f t="shared" si="171"/>
        <v>4705</v>
      </c>
      <c r="M197" s="656" t="str">
        <f t="shared" si="172"/>
        <v>VW P&amp;A - BR - INTERNE - MCI</v>
      </c>
      <c r="N197" s="657">
        <f>+IF(OR($Q197=Parametres!$G$2,$Q197=Parametres!$G$3),I197,C197)</f>
        <v>-164052.09</v>
      </c>
      <c r="O197" s="661">
        <f>+IF(OR($Q197=Parametres!$G$2,$Q197=Parametres!$G$3),J197,D197)</f>
        <v>-42372.56</v>
      </c>
      <c r="P197" s="657">
        <f>+IF(OR($Q197=Parametres!$G$2,$Q197=Parametres!$G$3),K197,E197)</f>
        <v>-206424.65</v>
      </c>
      <c r="Q197" s="656" t="str">
        <f t="shared" si="173"/>
        <v>5-Ventes</v>
      </c>
      <c r="R197" s="655" t="str">
        <f t="shared" si="174"/>
        <v>4705</v>
      </c>
      <c r="S197" s="656">
        <f t="shared" si="175"/>
        <v>0</v>
      </c>
      <c r="T197" s="658" t="str">
        <f>+VLOOKUP($L197,Data_Validation!$A:$D,1,0)</f>
        <v>4705</v>
      </c>
      <c r="U197" s="658" t="str">
        <f>+VLOOKUP($L197,Data_Validation!$A:$D,3,0)</f>
        <v>Pièces</v>
      </c>
      <c r="V197" s="658" t="str">
        <f>+VLOOKUP($L197,Data_Validation!$A:$D,4,0)</f>
        <v>Ventes Internes</v>
      </c>
      <c r="W197" s="658" t="str">
        <f>+VLOOKUP($L197,Data_Validation!$A:$E,5,0)</f>
        <v>$</v>
      </c>
      <c r="X197" s="658" t="str">
        <f>+VLOOKUP($L197,Data_Validation!$A:$F,6,0)</f>
        <v>Oui</v>
      </c>
    </row>
    <row r="198" spans="1:24" ht="15" customHeight="1">
      <c r="A198" s="1190" t="s">
        <v>3681</v>
      </c>
      <c r="B198" s="1190" t="s">
        <v>1078</v>
      </c>
      <c r="C198" s="1192">
        <v>-274.95</v>
      </c>
      <c r="D198" s="1192">
        <v>-90</v>
      </c>
      <c r="E198" s="1192">
        <v>-364.95</v>
      </c>
      <c r="F198" s="1190" t="s">
        <v>965</v>
      </c>
      <c r="G198" s="1190" t="s">
        <v>1078</v>
      </c>
      <c r="H198" s="653"/>
      <c r="I198" s="654"/>
      <c r="J198" s="654"/>
      <c r="K198" s="654"/>
      <c r="L198" s="655" t="str">
        <f t="shared" si="171"/>
        <v>4706</v>
      </c>
      <c r="M198" s="656" t="str">
        <f t="shared" si="172"/>
        <v>VW P&amp;A - BR - CLIENT - VEB</v>
      </c>
      <c r="N198" s="657">
        <f>+IF(OR($Q198=Parametres!$G$2,$Q198=Parametres!$G$3),I198,C198)</f>
        <v>-274.95</v>
      </c>
      <c r="O198" s="657">
        <f>+IF(OR($Q198=Parametres!$G$2,$Q198=Parametres!$G$3),J198,D198)</f>
        <v>-90</v>
      </c>
      <c r="P198" s="657">
        <f>+IF(OR($Q198=Parametres!$G$2,$Q198=Parametres!$G$3),K198,E198)</f>
        <v>-364.95</v>
      </c>
      <c r="Q198" s="656" t="str">
        <f t="shared" si="173"/>
        <v>5-Ventes</v>
      </c>
      <c r="R198" s="655" t="str">
        <f t="shared" si="174"/>
        <v>4706</v>
      </c>
      <c r="S198" s="656">
        <f t="shared" si="175"/>
        <v>0</v>
      </c>
      <c r="T198" s="658" t="str">
        <f>+VLOOKUP($L198,Data_Validation!$A:$D,1,0)</f>
        <v>4706</v>
      </c>
      <c r="U198" s="658" t="str">
        <f>+VLOOKUP($L198,Data_Validation!$A:$D,3,0)</f>
        <v>Service</v>
      </c>
      <c r="V198" s="658" t="str">
        <f>+VLOOKUP($L198,Data_Validation!$A:$D,4,0)</f>
        <v>M/O Interne</v>
      </c>
      <c r="W198" s="658" t="str">
        <f>+VLOOKUP($L198,Data_Validation!$A:$E,5,0)</f>
        <v>$</v>
      </c>
      <c r="X198" s="658" t="str">
        <f>+VLOOKUP($L198,Data_Validation!$A:$F,6,0)</f>
        <v>Oui</v>
      </c>
    </row>
    <row r="199" spans="1:24" ht="15.75" customHeight="1">
      <c r="A199" s="1190" t="s">
        <v>1079</v>
      </c>
      <c r="B199" s="1190" t="s">
        <v>1144</v>
      </c>
      <c r="C199" s="1192">
        <v>-4639.8500000000004</v>
      </c>
      <c r="D199" s="1192">
        <v>-4113.3599999999997</v>
      </c>
      <c r="E199" s="1192">
        <v>-8753.2099999999991</v>
      </c>
      <c r="F199" s="1190" t="s">
        <v>965</v>
      </c>
      <c r="G199" s="1190" t="s">
        <v>1080</v>
      </c>
      <c r="H199" s="653"/>
      <c r="I199" s="672"/>
      <c r="J199" s="653"/>
      <c r="K199" s="672"/>
      <c r="L199" s="655" t="str">
        <f t="shared" si="171"/>
        <v>4711</v>
      </c>
      <c r="M199" s="656" t="str">
        <f t="shared" si="172"/>
        <v>VTE - AUTRE PIECE/ACC/CARR B.R. CLIENT</v>
      </c>
      <c r="N199" s="657">
        <f>+IF(OR($Q199=Parametres!$G$2,$Q199=Parametres!$G$3),I199,C199)</f>
        <v>-4639.8500000000004</v>
      </c>
      <c r="O199" s="657">
        <f>+IF(OR($Q199=Parametres!$G$2,$Q199=Parametres!$G$3),J199,D199)</f>
        <v>-4113.3599999999997</v>
      </c>
      <c r="P199" s="657">
        <f>+IF(OR($Q199=Parametres!$G$2,$Q199=Parametres!$G$3),K199,E199)</f>
        <v>-8753.2099999999991</v>
      </c>
      <c r="Q199" s="656" t="str">
        <f t="shared" si="173"/>
        <v>5-Ventes</v>
      </c>
      <c r="R199" s="655" t="str">
        <f t="shared" si="174"/>
        <v>84711</v>
      </c>
      <c r="S199" s="656">
        <f t="shared" si="175"/>
        <v>0</v>
      </c>
      <c r="T199" s="658" t="str">
        <f>+VLOOKUP($L199,Data_Validation!$A:$D,1,0)</f>
        <v>4711</v>
      </c>
      <c r="U199" s="658" t="str">
        <f>+VLOOKUP($L199,Data_Validation!$A:$D,3,0)</f>
        <v>Pièces</v>
      </c>
      <c r="V199" s="658" t="str">
        <f>+VLOOKUP($L199,Data_Validation!$A:$D,4,0)</f>
        <v>Pièces Ro Clients</v>
      </c>
      <c r="W199" s="658" t="str">
        <f>+VLOOKUP($L199,Data_Validation!$A:$E,5,0)</f>
        <v>$</v>
      </c>
      <c r="X199" s="658" t="str">
        <f>+VLOOKUP($L199,Data_Validation!$A:$F,6,0)</f>
        <v>Oui</v>
      </c>
    </row>
    <row r="200" spans="1:24" ht="15" customHeight="1">
      <c r="A200" s="1190" t="s">
        <v>3682</v>
      </c>
      <c r="B200" s="1190" t="s">
        <v>1088</v>
      </c>
      <c r="C200" s="1192">
        <v>-19789.14</v>
      </c>
      <c r="D200" s="1192">
        <v>-2561.4699999999998</v>
      </c>
      <c r="E200" s="1192">
        <v>-22350.61</v>
      </c>
      <c r="F200" s="1190" t="s">
        <v>965</v>
      </c>
      <c r="G200" s="1190" t="s">
        <v>1088</v>
      </c>
      <c r="H200" s="653"/>
      <c r="I200" s="654"/>
      <c r="J200" s="654"/>
      <c r="K200" s="654"/>
      <c r="L200" s="655" t="str">
        <f t="shared" si="171"/>
        <v>4731</v>
      </c>
      <c r="M200" s="656" t="str">
        <f t="shared" si="172"/>
        <v>VW-P&amp;A-P&amp;BRO-CLIENT - MCI</v>
      </c>
      <c r="N200" s="657">
        <f>+IF(OR($Q200=Parametres!$G$2,$Q200=Parametres!$G$3),I200,C200)</f>
        <v>-19789.14</v>
      </c>
      <c r="O200" s="657">
        <f>+IF(OR($Q200=Parametres!$G$2,$Q200=Parametres!$G$3),J200,D200)</f>
        <v>-2561.4699999999998</v>
      </c>
      <c r="P200" s="657">
        <f>+IF(OR($Q200=Parametres!$G$2,$Q200=Parametres!$G$3),K200,E200)</f>
        <v>-22350.61</v>
      </c>
      <c r="Q200" s="656" t="str">
        <f t="shared" si="173"/>
        <v>5-Ventes</v>
      </c>
      <c r="R200" s="655" t="str">
        <f t="shared" si="174"/>
        <v>4731</v>
      </c>
      <c r="S200" s="656">
        <f t="shared" si="175"/>
        <v>0</v>
      </c>
      <c r="T200" s="658" t="str">
        <f>+VLOOKUP($L200,Data_Validation!$A:$D,1,0)</f>
        <v>4731</v>
      </c>
      <c r="U200" s="658" t="str">
        <f>+VLOOKUP($L200,Data_Validation!$A:$D,3,0)</f>
        <v>Pièces</v>
      </c>
      <c r="V200" s="658" t="str">
        <f>+VLOOKUP($L200,Data_Validation!$A:$D,4,0)</f>
        <v>Pièces Ro Carrosserie</v>
      </c>
      <c r="W200" s="658" t="str">
        <f>+VLOOKUP($L200,Data_Validation!$A:$E,5,0)</f>
        <v>$</v>
      </c>
      <c r="X200" s="658" t="str">
        <f>+VLOOKUP($L200,Data_Validation!$A:$F,6,0)</f>
        <v>Oui</v>
      </c>
    </row>
    <row r="201" spans="1:24" ht="15" customHeight="1">
      <c r="A201" s="1190" t="s">
        <v>3683</v>
      </c>
      <c r="B201" s="1190" t="s">
        <v>1092</v>
      </c>
      <c r="C201" s="1192">
        <v>-99234.27</v>
      </c>
      <c r="D201" s="1192">
        <v>-36686.32</v>
      </c>
      <c r="E201" s="1192">
        <v>-135920.59</v>
      </c>
      <c r="F201" s="1190" t="s">
        <v>965</v>
      </c>
      <c r="G201" s="1190" t="s">
        <v>1092</v>
      </c>
      <c r="H201" s="652"/>
      <c r="I201" s="654"/>
      <c r="J201" s="654"/>
      <c r="K201" s="654"/>
      <c r="L201" s="655" t="str">
        <f t="shared" si="171"/>
        <v>4733</v>
      </c>
      <c r="M201" s="656" t="str">
        <f t="shared" si="172"/>
        <v>VW-P&amp;A-P&amp;BRO-GARANTIE - MCI</v>
      </c>
      <c r="N201" s="657">
        <f>+IF(OR($Q201=Parametres!$G$2,$Q201=Parametres!$G$3),I201,C201)</f>
        <v>-99234.27</v>
      </c>
      <c r="O201" s="657">
        <f>+IF(OR($Q201=Parametres!$G$2,$Q201=Parametres!$G$3),J201,D201)</f>
        <v>-36686.32</v>
      </c>
      <c r="P201" s="657">
        <f>+IF(OR($Q201=Parametres!$G$2,$Q201=Parametres!$G$3),K201,E201)</f>
        <v>-135920.59</v>
      </c>
      <c r="Q201" s="656" t="str">
        <f t="shared" si="173"/>
        <v>5-Ventes</v>
      </c>
      <c r="R201" s="655" t="str">
        <f t="shared" si="174"/>
        <v>4733</v>
      </c>
      <c r="S201" s="656">
        <f t="shared" si="175"/>
        <v>0</v>
      </c>
      <c r="T201" s="658" t="str">
        <f>+VLOOKUP($L201,Data_Validation!$A:$D,1,0)</f>
        <v>4733</v>
      </c>
      <c r="U201" s="658" t="str">
        <f>+VLOOKUP($L201,Data_Validation!$A:$D,3,0)</f>
        <v>Pièces</v>
      </c>
      <c r="V201" s="658" t="str">
        <f>+VLOOKUP($L201,Data_Validation!$A:$D,4,0)</f>
        <v>Pièces Ro Carrosserie</v>
      </c>
      <c r="W201" s="658" t="str">
        <f>+VLOOKUP($L201,Data_Validation!$A:$E,5,0)</f>
        <v>$</v>
      </c>
      <c r="X201" s="658" t="str">
        <f>+VLOOKUP($L201,Data_Validation!$A:$F,6,0)</f>
        <v>Oui</v>
      </c>
    </row>
    <row r="202" spans="1:24" ht="15" customHeight="1">
      <c r="A202" s="1190" t="s">
        <v>3684</v>
      </c>
      <c r="B202" s="1190" t="s">
        <v>1096</v>
      </c>
      <c r="C202" s="1192">
        <v>-5591.97</v>
      </c>
      <c r="D202" s="1192">
        <v>-109.35</v>
      </c>
      <c r="E202" s="1192">
        <v>-5701.32</v>
      </c>
      <c r="F202" s="1190" t="s">
        <v>965</v>
      </c>
      <c r="G202" s="1190" t="s">
        <v>1096</v>
      </c>
      <c r="H202" s="652"/>
      <c r="I202" s="654"/>
      <c r="J202" s="654"/>
      <c r="K202" s="654"/>
      <c r="L202" s="655" t="str">
        <f t="shared" si="171"/>
        <v>4735</v>
      </c>
      <c r="M202" s="656" t="str">
        <f t="shared" si="172"/>
        <v>VW-P&amp;A-P&amp;BRO-INTERNE - MCI</v>
      </c>
      <c r="N202" s="657">
        <f>+IF(OR($Q202=Parametres!$G$2,$Q202=Parametres!$G$3),I202,C202)</f>
        <v>-5591.97</v>
      </c>
      <c r="O202" s="657">
        <f>+IF(OR($Q202=Parametres!$G$2,$Q202=Parametres!$G$3),J202,D202)</f>
        <v>-109.35</v>
      </c>
      <c r="P202" s="657">
        <f>+IF(OR($Q202=Parametres!$G$2,$Q202=Parametres!$G$3),K202,E202)</f>
        <v>-5701.32</v>
      </c>
      <c r="Q202" s="656" t="str">
        <f t="shared" si="173"/>
        <v>5-Ventes</v>
      </c>
      <c r="R202" s="655" t="str">
        <f t="shared" si="174"/>
        <v>4735</v>
      </c>
      <c r="S202" s="656">
        <f t="shared" si="175"/>
        <v>0</v>
      </c>
      <c r="T202" s="658" t="str">
        <f>+VLOOKUP($L202,Data_Validation!$A:$D,1,0)</f>
        <v>4735</v>
      </c>
      <c r="U202" s="658" t="str">
        <f>+VLOOKUP($L202,Data_Validation!$A:$D,3,0)</f>
        <v>Pièces</v>
      </c>
      <c r="V202" s="658" t="str">
        <f>+VLOOKUP($L202,Data_Validation!$A:$D,4,0)</f>
        <v>Pièces Ro Carrosserie</v>
      </c>
      <c r="W202" s="658" t="str">
        <f>+VLOOKUP($L202,Data_Validation!$A:$E,5,0)</f>
        <v>$</v>
      </c>
      <c r="X202" s="658" t="str">
        <f>+VLOOKUP($L202,Data_Validation!$A:$F,6,0)</f>
        <v>Oui</v>
      </c>
    </row>
    <row r="203" spans="1:24" ht="15" customHeight="1">
      <c r="A203" s="1190" t="s">
        <v>1099</v>
      </c>
      <c r="B203" s="1190" t="s">
        <v>1100</v>
      </c>
      <c r="C203" s="1192">
        <v>-43238.34</v>
      </c>
      <c r="D203" s="1192">
        <v>-21891.26</v>
      </c>
      <c r="E203" s="1192">
        <v>-65129.599999999999</v>
      </c>
      <c r="F203" s="1190" t="s">
        <v>965</v>
      </c>
      <c r="G203" s="1190" t="s">
        <v>1100</v>
      </c>
      <c r="H203" s="653"/>
      <c r="I203" s="662"/>
      <c r="J203" s="662"/>
      <c r="K203" s="662"/>
      <c r="L203" s="655" t="str">
        <f t="shared" si="171"/>
        <v>4761</v>
      </c>
      <c r="M203" s="656" t="str">
        <f t="shared" si="172"/>
        <v>VTE - P&amp;A VW COMPTOIR - DETAIL</v>
      </c>
      <c r="N203" s="657">
        <f>+IF(OR($Q203=Parametres!$G$2,$Q203=Parametres!$G$3),I203,C203)</f>
        <v>-43238.34</v>
      </c>
      <c r="O203" s="657">
        <f>+IF(OR($Q203=Parametres!$G$2,$Q203=Parametres!$G$3),J203,D203)</f>
        <v>-21891.26</v>
      </c>
      <c r="P203" s="657">
        <f>+IF(OR($Q203=Parametres!$G$2,$Q203=Parametres!$G$3),K203,E203)</f>
        <v>-65129.599999999999</v>
      </c>
      <c r="Q203" s="656" t="str">
        <f t="shared" si="173"/>
        <v>5-Ventes</v>
      </c>
      <c r="R203" s="655" t="str">
        <f t="shared" si="174"/>
        <v>4761</v>
      </c>
      <c r="S203" s="656">
        <f t="shared" si="175"/>
        <v>0</v>
      </c>
      <c r="T203" s="658" t="str">
        <f>+VLOOKUP($L203,Data_Validation!$A:$D,1,0)</f>
        <v>4761</v>
      </c>
      <c r="U203" s="658" t="str">
        <f>+VLOOKUP($L203,Data_Validation!$A:$D,3,0)</f>
        <v>Pièces</v>
      </c>
      <c r="V203" s="658" t="str">
        <f>+VLOOKUP($L203,Data_Validation!$A:$D,4,0)</f>
        <v>Ventes Détails</v>
      </c>
      <c r="W203" s="658" t="str">
        <f>+VLOOKUP($L203,Data_Validation!$A:$E,5,0)</f>
        <v>$</v>
      </c>
      <c r="X203" s="658" t="str">
        <f>+VLOOKUP($L203,Data_Validation!$A:$F,6,0)</f>
        <v>Oui</v>
      </c>
    </row>
    <row r="204" spans="1:24" ht="15" customHeight="1">
      <c r="A204" s="1190" t="s">
        <v>1103</v>
      </c>
      <c r="B204" s="1190" t="s">
        <v>1104</v>
      </c>
      <c r="C204" s="1192">
        <v>-434770.96</v>
      </c>
      <c r="D204" s="1192">
        <v>-169839.65</v>
      </c>
      <c r="E204" s="1192">
        <v>-604610.61</v>
      </c>
      <c r="F204" s="1190" t="s">
        <v>965</v>
      </c>
      <c r="G204" s="1190" t="s">
        <v>1104</v>
      </c>
      <c r="H204" s="653"/>
      <c r="I204" s="654"/>
      <c r="J204" s="654"/>
      <c r="K204" s="654"/>
      <c r="L204" s="655" t="str">
        <f t="shared" si="171"/>
        <v>4763</v>
      </c>
      <c r="M204" s="656" t="str">
        <f t="shared" si="172"/>
        <v>VTE - P&amp;A VW COMPTOIR GROS - ECHANGE</v>
      </c>
      <c r="N204" s="657">
        <f>+IF(OR($Q204=Parametres!$G$2,$Q204=Parametres!$G$3),I204,C204)</f>
        <v>-434770.96</v>
      </c>
      <c r="O204" s="661">
        <f>+IF(OR($Q204=Parametres!$G$2,$Q204=Parametres!$G$3),J204,D204)</f>
        <v>-169839.65</v>
      </c>
      <c r="P204" s="657">
        <f>+IF(OR($Q204=Parametres!$G$2,$Q204=Parametres!$G$3),K204,E204)</f>
        <v>-604610.61</v>
      </c>
      <c r="Q204" s="656" t="str">
        <f t="shared" si="173"/>
        <v>5-Ventes</v>
      </c>
      <c r="R204" s="655" t="str">
        <f t="shared" si="174"/>
        <v>4763</v>
      </c>
      <c r="S204" s="656">
        <f t="shared" si="175"/>
        <v>0</v>
      </c>
      <c r="T204" s="658" t="str">
        <f>+VLOOKUP($L204,Data_Validation!$A:$D,1,0)</f>
        <v>4763</v>
      </c>
      <c r="U204" s="658" t="str">
        <f>+VLOOKUP($L204,Data_Validation!$A:$D,3,0)</f>
        <v>Pièces</v>
      </c>
      <c r="V204" s="658" t="str">
        <f>+VLOOKUP($L204,Data_Validation!$A:$D,4,0)</f>
        <v>Ventes de Gros</v>
      </c>
      <c r="W204" s="658" t="str">
        <f>+VLOOKUP($L204,Data_Validation!$A:$E,5,0)</f>
        <v>$</v>
      </c>
      <c r="X204" s="658" t="str">
        <f>+VLOOKUP($L204,Data_Validation!$A:$F,6,0)</f>
        <v>Oui</v>
      </c>
    </row>
    <row r="205" spans="1:24" ht="15" customHeight="1">
      <c r="A205" s="1190" t="s">
        <v>1107</v>
      </c>
      <c r="B205" s="1190" t="s">
        <v>1108</v>
      </c>
      <c r="C205" s="1192">
        <v>-136509.04999999999</v>
      </c>
      <c r="D205" s="1192">
        <v>-32744.97</v>
      </c>
      <c r="E205" s="1192">
        <v>-169254.02</v>
      </c>
      <c r="F205" s="1190" t="s">
        <v>965</v>
      </c>
      <c r="G205" s="1190" t="s">
        <v>1108</v>
      </c>
      <c r="H205" s="653"/>
      <c r="I205" s="672"/>
      <c r="J205" s="653"/>
      <c r="K205" s="672"/>
      <c r="L205" s="655" t="str">
        <f t="shared" si="171"/>
        <v>4781</v>
      </c>
      <c r="M205" s="656" t="str">
        <f t="shared" si="172"/>
        <v>VENTES PNEUS</v>
      </c>
      <c r="N205" s="657">
        <f>+IF(OR($Q205=Parametres!$G$2,$Q205=Parametres!$G$3),I205,C205)</f>
        <v>-136509.04999999999</v>
      </c>
      <c r="O205" s="657">
        <f>+IF(OR($Q205=Parametres!$G$2,$Q205=Parametres!$G$3),J205,D205)</f>
        <v>-32744.97</v>
      </c>
      <c r="P205" s="657">
        <f>+IF(OR($Q205=Parametres!$G$2,$Q205=Parametres!$G$3),K205,E205)</f>
        <v>-169254.02</v>
      </c>
      <c r="Q205" s="656" t="str">
        <f t="shared" si="173"/>
        <v>5-Ventes</v>
      </c>
      <c r="R205" s="655" t="str">
        <f t="shared" si="174"/>
        <v>4781</v>
      </c>
      <c r="S205" s="656">
        <f t="shared" si="175"/>
        <v>0</v>
      </c>
      <c r="T205" s="673" t="str">
        <f>+VLOOKUP($L205,Data_Validation!$A:$D,1,0)</f>
        <v>4781</v>
      </c>
      <c r="U205" s="658" t="str">
        <f>+VLOOKUP($L205,Data_Validation!$A:$D,3,0)</f>
        <v>Pièces</v>
      </c>
      <c r="V205" s="658" t="str">
        <f>+VLOOKUP($L205,Data_Validation!$A:$D,4,0)</f>
        <v>Ventes Pneus</v>
      </c>
      <c r="W205" s="658" t="str">
        <f>+VLOOKUP($L205,Data_Validation!$A:$E,5,0)</f>
        <v>$</v>
      </c>
      <c r="X205" s="658" t="str">
        <f>+VLOOKUP($L205,Data_Validation!$A:$F,6,0)</f>
        <v>Oui</v>
      </c>
    </row>
    <row r="206" spans="1:24" ht="15.75" customHeight="1">
      <c r="A206" s="1190" t="s">
        <v>1110</v>
      </c>
      <c r="B206" s="1190" t="s">
        <v>2052</v>
      </c>
      <c r="C206" s="1192">
        <v>7951.29</v>
      </c>
      <c r="D206" s="1192">
        <v>-1065.48</v>
      </c>
      <c r="E206" s="1192">
        <v>6885.81</v>
      </c>
      <c r="F206" s="1190" t="s">
        <v>965</v>
      </c>
      <c r="G206" s="1190" t="s">
        <v>1108</v>
      </c>
      <c r="H206" s="653"/>
      <c r="I206" s="654"/>
      <c r="J206" s="654"/>
      <c r="K206" s="654"/>
      <c r="L206" s="655" t="str">
        <f t="shared" si="171"/>
        <v>4785</v>
      </c>
      <c r="M206" s="656" t="str">
        <f t="shared" si="172"/>
        <v>VTE - VW PNEUS</v>
      </c>
      <c r="N206" s="657">
        <f>+IF(OR($Q206=Parametres!$G$2,$Q206=Parametres!$G$3),I206,C206)</f>
        <v>7951.29</v>
      </c>
      <c r="O206" s="657">
        <f>+IF(OR($Q206=Parametres!$G$2,$Q206=Parametres!$G$3),J206,D206)</f>
        <v>-1065.48</v>
      </c>
      <c r="P206" s="657">
        <f>+IF(OR($Q206=Parametres!$G$2,$Q206=Parametres!$G$3),K206,E206)</f>
        <v>6885.81</v>
      </c>
      <c r="Q206" s="656" t="str">
        <f t="shared" si="173"/>
        <v>5-Ventes</v>
      </c>
      <c r="R206" s="655" t="str">
        <f t="shared" si="174"/>
        <v>4781</v>
      </c>
      <c r="S206" s="656">
        <f t="shared" si="175"/>
        <v>0</v>
      </c>
      <c r="T206" s="658" t="str">
        <f>+VLOOKUP($L206,Data_Validation!$A:$D,1,0)</f>
        <v>4785</v>
      </c>
      <c r="U206" s="658" t="str">
        <f>+VLOOKUP($L206,Data_Validation!$A:$D,3,0)</f>
        <v>Pièces</v>
      </c>
      <c r="V206" s="658" t="str">
        <f>+VLOOKUP($L206,Data_Validation!$A:$D,4,0)</f>
        <v>Ventes Pneus</v>
      </c>
      <c r="W206" s="658" t="str">
        <f>+VLOOKUP($L206,Data_Validation!$A:$E,5,0)</f>
        <v>$</v>
      </c>
      <c r="X206" s="658" t="str">
        <f>+VLOOKUP($L206,Data_Validation!$A:$F,6,0)</f>
        <v>Oui</v>
      </c>
    </row>
    <row r="207" spans="1:24" ht="15" customHeight="1">
      <c r="A207" s="1190" t="s">
        <v>1111</v>
      </c>
      <c r="B207" s="1190" t="s">
        <v>2060</v>
      </c>
      <c r="C207" s="1192">
        <v>446611.63</v>
      </c>
      <c r="D207" s="1192">
        <v>182851.95</v>
      </c>
      <c r="E207" s="1192">
        <v>629463.57999999996</v>
      </c>
      <c r="F207" s="1190" t="s">
        <v>1112</v>
      </c>
      <c r="G207" s="1190" t="s">
        <v>966</v>
      </c>
      <c r="H207" s="653"/>
      <c r="I207" s="672"/>
      <c r="J207" s="653"/>
      <c r="K207" s="672"/>
      <c r="L207" s="655" t="str">
        <f t="shared" si="171"/>
        <v>5100</v>
      </c>
      <c r="M207" s="656" t="str">
        <f t="shared" si="172"/>
        <v>C/V - RACHAT DE BAIL</v>
      </c>
      <c r="N207" s="657">
        <f>+IF(OR($Q207=Parametres!$G$2,$Q207=Parametres!$G$3),I207,C207)</f>
        <v>446611.63</v>
      </c>
      <c r="O207" s="661">
        <f>+IF(OR($Q207=Parametres!$G$2,$Q207=Parametres!$G$3),J207,D207)</f>
        <v>182851.95</v>
      </c>
      <c r="P207" s="657">
        <f>+IF(OR($Q207=Parametres!$G$2,$Q207=Parametres!$G$3),K207,E207)</f>
        <v>629463.57999999996</v>
      </c>
      <c r="Q207" s="656" t="str">
        <f t="shared" si="173"/>
        <v>6-Coût des ventes</v>
      </c>
      <c r="R207" s="655" t="str">
        <f t="shared" si="174"/>
        <v>4100</v>
      </c>
      <c r="S207" s="656">
        <f t="shared" si="175"/>
        <v>0</v>
      </c>
      <c r="T207" s="658" t="str">
        <f>+VLOOKUP($L207,Data_Validation!$A:$D,1,0)</f>
        <v>5100</v>
      </c>
      <c r="U207" s="658" t="str">
        <f>+VLOOKUP($L207,Data_Validation!$A:$D,3,0)</f>
        <v>Véhicules neufs</v>
      </c>
      <c r="V207" s="658" t="str">
        <f>+VLOOKUP($L207,Data_Validation!$A:$D,4,0)</f>
        <v>Rachat bail</v>
      </c>
      <c r="W207" s="658" t="str">
        <f>+VLOOKUP($L207,Data_Validation!$A:$E,5,0)</f>
        <v>$</v>
      </c>
      <c r="X207" s="658">
        <f>+VLOOKUP($L207,Data_Validation!$A:$F,6,0)</f>
        <v>0</v>
      </c>
    </row>
    <row r="208" spans="1:24" ht="15" customHeight="1">
      <c r="A208" s="1190" t="s">
        <v>1113</v>
      </c>
      <c r="B208" s="1190" t="s">
        <v>2072</v>
      </c>
      <c r="C208" s="1192">
        <v>584442.55000000005</v>
      </c>
      <c r="D208" s="1192">
        <v>153395.42000000001</v>
      </c>
      <c r="E208" s="1192">
        <v>737837.97</v>
      </c>
      <c r="F208" s="1190" t="s">
        <v>1112</v>
      </c>
      <c r="G208" s="1190" t="s">
        <v>970</v>
      </c>
      <c r="H208" s="653"/>
      <c r="I208" s="654"/>
      <c r="J208" s="654"/>
      <c r="K208" s="654"/>
      <c r="L208" s="655" t="str">
        <f t="shared" si="171"/>
        <v>5109</v>
      </c>
      <c r="M208" s="656" t="str">
        <f t="shared" si="172"/>
        <v>C/V - GOLF R</v>
      </c>
      <c r="N208" s="657">
        <f>+IF(OR($Q208=Parametres!$G$2,$Q208=Parametres!$G$3),I208,C208)</f>
        <v>584442.55000000005</v>
      </c>
      <c r="O208" s="657">
        <f>+IF(OR($Q208=Parametres!$G$2,$Q208=Parametres!$G$3),J208,D208)</f>
        <v>153395.42000000001</v>
      </c>
      <c r="P208" s="657">
        <f>+IF(OR($Q208=Parametres!$G$2,$Q208=Parametres!$G$3),K208,E208)</f>
        <v>737837.97</v>
      </c>
      <c r="Q208" s="656" t="str">
        <f t="shared" si="173"/>
        <v>6-Coût des ventes</v>
      </c>
      <c r="R208" s="655" t="str">
        <f t="shared" si="174"/>
        <v>4109</v>
      </c>
      <c r="S208" s="656">
        <f t="shared" si="175"/>
        <v>0</v>
      </c>
      <c r="T208" s="658" t="str">
        <f>+VLOOKUP($L208,Data_Validation!$A:$D,1,0)</f>
        <v>5109</v>
      </c>
      <c r="U208" s="658" t="str">
        <f>+VLOOKUP($L208,Data_Validation!$A:$D,3,0)</f>
        <v>Véhicules neufs</v>
      </c>
      <c r="V208" s="658" t="str">
        <f>+VLOOKUP($L208,Data_Validation!$A:$D,4,0)</f>
        <v>Autos détail</v>
      </c>
      <c r="W208" s="658" t="str">
        <f>+VLOOKUP($L208,Data_Validation!$A:$E,5,0)</f>
        <v>$</v>
      </c>
      <c r="X208" s="658">
        <f>+VLOOKUP($L208,Data_Validation!$A:$F,6,0)</f>
        <v>0</v>
      </c>
    </row>
    <row r="209" spans="1:24" ht="15" customHeight="1">
      <c r="A209" s="1190" t="s">
        <v>973</v>
      </c>
      <c r="B209" s="1190" t="s">
        <v>2077</v>
      </c>
      <c r="C209" s="1192">
        <v>494245.21</v>
      </c>
      <c r="D209" s="1192">
        <v>201174.73</v>
      </c>
      <c r="E209" s="1192">
        <v>695419.94</v>
      </c>
      <c r="F209" s="1190" t="s">
        <v>1112</v>
      </c>
      <c r="G209" s="1190" t="s">
        <v>974</v>
      </c>
      <c r="H209" s="653"/>
      <c r="I209" s="672"/>
      <c r="J209" s="653"/>
      <c r="K209" s="672"/>
      <c r="L209" s="655" t="str">
        <f t="shared" si="171"/>
        <v>5111</v>
      </c>
      <c r="M209" s="656" t="str">
        <f t="shared" si="172"/>
        <v>JETTA/ JETTA GLI</v>
      </c>
      <c r="N209" s="657">
        <f>+IF(OR($Q209=Parametres!$G$2,$Q209=Parametres!$G$3),I209,C209)</f>
        <v>494245.21</v>
      </c>
      <c r="O209" s="657">
        <f>+IF(OR($Q209=Parametres!$G$2,$Q209=Parametres!$G$3),J209,D209)</f>
        <v>201174.73</v>
      </c>
      <c r="P209" s="657">
        <f>+IF(OR($Q209=Parametres!$G$2,$Q209=Parametres!$G$3),K209,E209)</f>
        <v>695419.94</v>
      </c>
      <c r="Q209" s="656" t="str">
        <f t="shared" si="173"/>
        <v>6-Coût des ventes</v>
      </c>
      <c r="R209" s="655" t="str">
        <f t="shared" si="174"/>
        <v>4111</v>
      </c>
      <c r="S209" s="656">
        <f t="shared" si="175"/>
        <v>0</v>
      </c>
      <c r="T209" s="673" t="str">
        <f>+VLOOKUP($L209,Data_Validation!$A:$D,1,0)</f>
        <v>5111</v>
      </c>
      <c r="U209" s="658" t="str">
        <f>+VLOOKUP($L209,Data_Validation!$A:$D,3,0)</f>
        <v>Véhicules neufs</v>
      </c>
      <c r="V209" s="658" t="str">
        <f>+VLOOKUP($L209,Data_Validation!$A:$D,4,0)</f>
        <v>Autos détail</v>
      </c>
      <c r="W209" s="658" t="str">
        <f>+VLOOKUP($L209,Data_Validation!$A:$E,5,0)</f>
        <v>$</v>
      </c>
      <c r="X209" s="658">
        <f>+VLOOKUP($L209,Data_Validation!$A:$F,6,0)</f>
        <v>0</v>
      </c>
    </row>
    <row r="210" spans="1:24" ht="15" customHeight="1">
      <c r="A210" s="1190" t="s">
        <v>1114</v>
      </c>
      <c r="B210" s="1190" t="s">
        <v>3388</v>
      </c>
      <c r="C210" s="1192">
        <v>1457216.72</v>
      </c>
      <c r="D210" s="1192">
        <v>399118.11</v>
      </c>
      <c r="E210" s="1192">
        <v>1856334.83</v>
      </c>
      <c r="F210" s="1190" t="s">
        <v>1112</v>
      </c>
      <c r="G210" s="1190" t="s">
        <v>1115</v>
      </c>
      <c r="H210" s="653"/>
      <c r="I210" s="654"/>
      <c r="J210" s="654"/>
      <c r="K210" s="654"/>
      <c r="L210" s="655" t="str">
        <f t="shared" si="171"/>
        <v>5118</v>
      </c>
      <c r="M210" s="656" t="str">
        <f t="shared" si="172"/>
        <v>C/V - TAOS</v>
      </c>
      <c r="N210" s="657">
        <f>+IF(OR($Q210=Parametres!$G$2,$Q210=Parametres!$G$3),I210,C210)</f>
        <v>1457216.72</v>
      </c>
      <c r="O210" s="661">
        <f>+IF(OR($Q210=Parametres!$G$2,$Q210=Parametres!$G$3),J210,D210)</f>
        <v>399118.11</v>
      </c>
      <c r="P210" s="657">
        <f>+IF(OR($Q210=Parametres!$G$2,$Q210=Parametres!$G$3),K210,E210)</f>
        <v>1856334.83</v>
      </c>
      <c r="Q210" s="656" t="str">
        <f t="shared" si="173"/>
        <v>6-Coût des ventes</v>
      </c>
      <c r="R210" s="655" t="str">
        <f t="shared" si="174"/>
        <v>511</v>
      </c>
      <c r="S210" s="656">
        <f t="shared" si="175"/>
        <v>0</v>
      </c>
      <c r="T210" s="658" t="str">
        <f>+VLOOKUP($L210,Data_Validation!$A:$D,1,0)</f>
        <v>5118</v>
      </c>
      <c r="U210" s="658" t="str">
        <f>+VLOOKUP($L210,Data_Validation!$A:$D,3,0)</f>
        <v>Véhicules neufs</v>
      </c>
      <c r="V210" s="658" t="str">
        <f>+VLOOKUP($L210,Data_Validation!$A:$D,4,0)</f>
        <v>Camions détail</v>
      </c>
      <c r="W210" s="658" t="str">
        <f>+VLOOKUP($L210,Data_Validation!$A:$E,5,0)</f>
        <v>$</v>
      </c>
      <c r="X210" s="658">
        <f>+VLOOKUP($L210,Data_Validation!$A:$F,6,0)</f>
        <v>0</v>
      </c>
    </row>
    <row r="211" spans="1:24" ht="15.75" customHeight="1">
      <c r="A211" s="1190" t="s">
        <v>1116</v>
      </c>
      <c r="B211" s="1190" t="s">
        <v>2086</v>
      </c>
      <c r="C211" s="1192">
        <v>1088277.47</v>
      </c>
      <c r="D211" s="1192">
        <v>273392.2</v>
      </c>
      <c r="E211" s="1192">
        <v>1361669.67</v>
      </c>
      <c r="F211" s="1190" t="s">
        <v>1112</v>
      </c>
      <c r="G211" s="1190" t="s">
        <v>982</v>
      </c>
      <c r="H211" s="653"/>
      <c r="I211" s="672"/>
      <c r="J211" s="653"/>
      <c r="K211" s="672"/>
      <c r="L211" s="655" t="str">
        <f t="shared" si="171"/>
        <v>5119</v>
      </c>
      <c r="M211" s="656" t="str">
        <f t="shared" si="172"/>
        <v>C/V - ATLAS</v>
      </c>
      <c r="N211" s="657">
        <f>+IF(OR($Q211=Parametres!$G$2,$Q211=Parametres!$G$3),I211,C211)</f>
        <v>1088277.47</v>
      </c>
      <c r="O211" s="657">
        <f>+IF(OR($Q211=Parametres!$G$2,$Q211=Parametres!$G$3),J211,D211)</f>
        <v>273392.2</v>
      </c>
      <c r="P211" s="657">
        <f>+IF(OR($Q211=Parametres!$G$2,$Q211=Parametres!$G$3),K211,E211)</f>
        <v>1361669.67</v>
      </c>
      <c r="Q211" s="656" t="str">
        <f t="shared" si="173"/>
        <v>6-Coût des ventes</v>
      </c>
      <c r="R211" s="655" t="str">
        <f t="shared" si="174"/>
        <v>4119</v>
      </c>
      <c r="S211" s="656">
        <f t="shared" si="175"/>
        <v>0</v>
      </c>
      <c r="T211" s="658" t="str">
        <f>+VLOOKUP($L211,Data_Validation!$A:$D,1,0)</f>
        <v>5119</v>
      </c>
      <c r="U211" s="658" t="str">
        <f>+VLOOKUP($L211,Data_Validation!$A:$D,3,0)</f>
        <v>Véhicules neufs</v>
      </c>
      <c r="V211" s="658" t="str">
        <f>+VLOOKUP($L211,Data_Validation!$A:$D,4,0)</f>
        <v>Camions détail</v>
      </c>
      <c r="W211" s="658" t="str">
        <f>+VLOOKUP($L211,Data_Validation!$A:$E,5,0)</f>
        <v>$</v>
      </c>
      <c r="X211" s="658">
        <f>+VLOOKUP($L211,Data_Validation!$A:$F,6,0)</f>
        <v>0</v>
      </c>
    </row>
    <row r="212" spans="1:24" ht="15" customHeight="1">
      <c r="A212" s="1190" t="s">
        <v>1118</v>
      </c>
      <c r="B212" s="1190" t="s">
        <v>2092</v>
      </c>
      <c r="C212" s="1192">
        <v>639021.80000000005</v>
      </c>
      <c r="D212" s="1192">
        <v>235324.88</v>
      </c>
      <c r="E212" s="1192">
        <v>874346.68</v>
      </c>
      <c r="F212" s="1190" t="s">
        <v>1112</v>
      </c>
      <c r="G212" s="1190" t="s">
        <v>989</v>
      </c>
      <c r="H212" s="653"/>
      <c r="I212" s="654"/>
      <c r="J212" s="654"/>
      <c r="K212" s="654"/>
      <c r="L212" s="655" t="str">
        <f t="shared" si="171"/>
        <v>5127</v>
      </c>
      <c r="M212" s="656" t="str">
        <f t="shared" si="172"/>
        <v>C/V - GOLF GTI</v>
      </c>
      <c r="N212" s="657">
        <f>+IF(OR($Q212=Parametres!$G$2,$Q212=Parametres!$G$3),I212,C212)</f>
        <v>639021.80000000005</v>
      </c>
      <c r="O212" s="657">
        <f>+IF(OR($Q212=Parametres!$G$2,$Q212=Parametres!$G$3),J212,D212)</f>
        <v>235324.88</v>
      </c>
      <c r="P212" s="657">
        <f>+IF(OR($Q212=Parametres!$G$2,$Q212=Parametres!$G$3),K212,E212)</f>
        <v>874346.68</v>
      </c>
      <c r="Q212" s="656" t="str">
        <f t="shared" si="173"/>
        <v>6-Coût des ventes</v>
      </c>
      <c r="R212" s="655" t="str">
        <f t="shared" si="174"/>
        <v>4127</v>
      </c>
      <c r="S212" s="656">
        <f t="shared" si="175"/>
        <v>0</v>
      </c>
      <c r="T212" s="658" t="str">
        <f>+VLOOKUP($L212,Data_Validation!$A:$D,1,0)</f>
        <v>5127</v>
      </c>
      <c r="U212" s="658" t="str">
        <f>+VLOOKUP($L212,Data_Validation!$A:$D,3,0)</f>
        <v>Véhicules neufs</v>
      </c>
      <c r="V212" s="658" t="str">
        <f>+VLOOKUP($L212,Data_Validation!$A:$D,4,0)</f>
        <v>Autos détail</v>
      </c>
      <c r="W212" s="658" t="str">
        <f>+VLOOKUP($L212,Data_Validation!$A:$E,5,0)</f>
        <v>$</v>
      </c>
      <c r="X212" s="658">
        <f>+VLOOKUP($L212,Data_Validation!$A:$F,6,0)</f>
        <v>0</v>
      </c>
    </row>
    <row r="213" spans="1:24" ht="15" customHeight="1">
      <c r="A213" s="1190" t="s">
        <v>1119</v>
      </c>
      <c r="B213" s="1190" t="s">
        <v>2095</v>
      </c>
      <c r="C213" s="1192">
        <v>1603460.63</v>
      </c>
      <c r="D213" s="1192">
        <v>554275.39</v>
      </c>
      <c r="E213" s="1192">
        <v>2157736.02</v>
      </c>
      <c r="F213" s="1190" t="s">
        <v>1112</v>
      </c>
      <c r="G213" s="1190" t="s">
        <v>993</v>
      </c>
      <c r="H213" s="653"/>
      <c r="I213" s="672"/>
      <c r="J213" s="653"/>
      <c r="K213" s="672"/>
      <c r="L213" s="655" t="str">
        <f t="shared" si="171"/>
        <v>5131</v>
      </c>
      <c r="M213" s="656" t="str">
        <f t="shared" si="172"/>
        <v>C/V - TIGUAN LWB</v>
      </c>
      <c r="N213" s="657">
        <f>+IF(OR($Q213=Parametres!$G$2,$Q213=Parametres!$G$3),I213,C213)</f>
        <v>1603460.63</v>
      </c>
      <c r="O213" s="657">
        <f>+IF(OR($Q213=Parametres!$G$2,$Q213=Parametres!$G$3),J213,D213)</f>
        <v>554275.39</v>
      </c>
      <c r="P213" s="657">
        <f>+IF(OR($Q213=Parametres!$G$2,$Q213=Parametres!$G$3),K213,E213)</f>
        <v>2157736.02</v>
      </c>
      <c r="Q213" s="656" t="str">
        <f t="shared" si="173"/>
        <v>6-Coût des ventes</v>
      </c>
      <c r="R213" s="655" t="str">
        <f t="shared" si="174"/>
        <v>4131</v>
      </c>
      <c r="S213" s="656">
        <f t="shared" si="175"/>
        <v>0</v>
      </c>
      <c r="T213" s="658" t="str">
        <f>+VLOOKUP($L213,Data_Validation!$A:$D,1,0)</f>
        <v>5131</v>
      </c>
      <c r="U213" s="658" t="str">
        <f>+VLOOKUP($L213,Data_Validation!$A:$D,3,0)</f>
        <v>Véhicules neufs</v>
      </c>
      <c r="V213" s="658" t="str">
        <f>+VLOOKUP($L213,Data_Validation!$A:$D,4,0)</f>
        <v>Camions détail</v>
      </c>
      <c r="W213" s="658" t="str">
        <f>+VLOOKUP($L213,Data_Validation!$A:$E,5,0)</f>
        <v>$</v>
      </c>
      <c r="X213" s="658">
        <f>+VLOOKUP($L213,Data_Validation!$A:$F,6,0)</f>
        <v>0</v>
      </c>
    </row>
    <row r="214" spans="1:24" ht="15" customHeight="1">
      <c r="A214" s="1190" t="s">
        <v>1120</v>
      </c>
      <c r="B214" s="1190" t="s">
        <v>2101</v>
      </c>
      <c r="C214" s="1192">
        <v>65134.44</v>
      </c>
      <c r="D214" s="1192">
        <v>0</v>
      </c>
      <c r="E214" s="1192">
        <v>65134.44</v>
      </c>
      <c r="F214" s="1190" t="s">
        <v>1112</v>
      </c>
      <c r="G214" s="1190" t="s">
        <v>997</v>
      </c>
      <c r="H214" s="653"/>
      <c r="I214" s="654"/>
      <c r="J214" s="654"/>
      <c r="K214" s="654"/>
      <c r="L214" s="655" t="str">
        <f t="shared" si="171"/>
        <v>5137</v>
      </c>
      <c r="M214" s="656" t="str">
        <f t="shared" si="172"/>
        <v>C/V - VW FLOTTE/VENTE ENTR/EMPLOYE/VEH DEMONS</v>
      </c>
      <c r="N214" s="657">
        <f>+IF(OR($Q214=Parametres!$G$2,$Q214=Parametres!$G$3),I214,C214)</f>
        <v>65134.44</v>
      </c>
      <c r="O214" s="657">
        <f>+IF(OR($Q214=Parametres!$G$2,$Q214=Parametres!$G$3),J214,D214)</f>
        <v>0</v>
      </c>
      <c r="P214" s="657">
        <f>+IF(OR($Q214=Parametres!$G$2,$Q214=Parametres!$G$3),K214,E214)</f>
        <v>65134.44</v>
      </c>
      <c r="Q214" s="656" t="str">
        <f t="shared" si="173"/>
        <v>6-Coût des ventes</v>
      </c>
      <c r="R214" s="655" t="str">
        <f t="shared" si="174"/>
        <v>4137</v>
      </c>
      <c r="S214" s="656">
        <f t="shared" si="175"/>
        <v>0</v>
      </c>
      <c r="T214" s="658" t="str">
        <f>+VLOOKUP($L214,Data_Validation!$A:$D,1,0)</f>
        <v>5137</v>
      </c>
      <c r="U214" s="658" t="str">
        <f>+VLOOKUP($L214,Data_Validation!$A:$D,3,0)</f>
        <v>Véhicules neufs</v>
      </c>
      <c r="V214" s="658" t="str">
        <f>+VLOOKUP($L214,Data_Validation!$A:$D,4,0)</f>
        <v>Flottes</v>
      </c>
      <c r="W214" s="658" t="str">
        <f>+VLOOKUP($L214,Data_Validation!$A:$E,5,0)</f>
        <v>$</v>
      </c>
      <c r="X214" s="658">
        <f>+VLOOKUP($L214,Data_Validation!$A:$F,6,0)</f>
        <v>0</v>
      </c>
    </row>
    <row r="215" spans="1:24" ht="15.75" customHeight="1">
      <c r="A215" s="1190" t="s">
        <v>1120</v>
      </c>
      <c r="B215" s="1190" t="s">
        <v>2104</v>
      </c>
      <c r="C215" s="1192">
        <v>358766.57</v>
      </c>
      <c r="D215" s="1192">
        <v>199732.25</v>
      </c>
      <c r="E215" s="1192">
        <v>558498.81999999995</v>
      </c>
      <c r="F215" s="1190" t="s">
        <v>1112</v>
      </c>
      <c r="G215" s="1190" t="s">
        <v>1001</v>
      </c>
      <c r="H215" s="653"/>
      <c r="I215" s="672"/>
      <c r="J215" s="672"/>
      <c r="K215" s="672"/>
      <c r="L215" s="655" t="str">
        <f t="shared" si="171"/>
        <v>5139</v>
      </c>
      <c r="M215" s="656" t="str">
        <f t="shared" si="172"/>
        <v>C/V - VW FLOTTE/VENTE ENTR/EMPLOYE/VEH DEMONS</v>
      </c>
      <c r="N215" s="657">
        <f>+IF(OR($Q215=Parametres!$G$2,$Q215=Parametres!$G$3),I215,C215)</f>
        <v>358766.57</v>
      </c>
      <c r="O215" s="657">
        <f>+IF(OR($Q215=Parametres!$G$2,$Q215=Parametres!$G$3),J215,D215)</f>
        <v>199732.25</v>
      </c>
      <c r="P215" s="657">
        <f>+IF(OR($Q215=Parametres!$G$2,$Q215=Parametres!$G$3),K215,E215)</f>
        <v>558498.81999999995</v>
      </c>
      <c r="Q215" s="656" t="str">
        <f t="shared" si="173"/>
        <v>6-Coût des ventes</v>
      </c>
      <c r="R215" s="655" t="str">
        <f t="shared" si="174"/>
        <v>4139</v>
      </c>
      <c r="S215" s="656">
        <f t="shared" si="175"/>
        <v>0</v>
      </c>
      <c r="T215" s="658" t="str">
        <f>+VLOOKUP($L215,Data_Validation!$A:$D,1,0)</f>
        <v>5139</v>
      </c>
      <c r="U215" s="658" t="str">
        <f>+VLOOKUP($L215,Data_Validation!$A:$D,3,0)</f>
        <v>Véhicules neufs</v>
      </c>
      <c r="V215" s="658" t="str">
        <f>+VLOOKUP($L215,Data_Validation!$A:$D,4,0)</f>
        <v>Ex-Démos et courtoisies</v>
      </c>
      <c r="W215" s="658" t="str">
        <f>+VLOOKUP($L215,Data_Validation!$A:$E,5,0)</f>
        <v>$</v>
      </c>
      <c r="X215" s="658">
        <f>+VLOOKUP($L215,Data_Validation!$A:$F,6,0)</f>
        <v>0</v>
      </c>
    </row>
    <row r="216" spans="1:24" ht="15" customHeight="1">
      <c r="A216" s="1190" t="s">
        <v>3923</v>
      </c>
      <c r="B216" s="1190" t="s">
        <v>3924</v>
      </c>
      <c r="C216" s="1192">
        <v>2420736.67</v>
      </c>
      <c r="D216" s="1192">
        <v>1360311.84</v>
      </c>
      <c r="E216" s="1192">
        <v>3781048.51</v>
      </c>
      <c r="F216" s="1190" t="s">
        <v>1112</v>
      </c>
      <c r="G216" s="1190" t="s">
        <v>3921</v>
      </c>
      <c r="H216" s="653"/>
      <c r="I216" s="672"/>
      <c r="J216" s="662"/>
      <c r="K216" s="672"/>
      <c r="L216" s="655" t="str">
        <f t="shared" si="171"/>
        <v>5141</v>
      </c>
      <c r="M216" s="656" t="str">
        <f t="shared" si="172"/>
        <v>C/V - ID4</v>
      </c>
      <c r="N216" s="657">
        <f>+IF(OR($Q216=Parametres!$G$2,$Q216=Parametres!$G$3),I216,C216)</f>
        <v>2420736.67</v>
      </c>
      <c r="O216" s="657">
        <f>+IF(OR($Q216=Parametres!$G$2,$Q216=Parametres!$G$3),J216,D216)</f>
        <v>1360311.84</v>
      </c>
      <c r="P216" s="657">
        <f>+IF(OR($Q216=Parametres!$G$2,$Q216=Parametres!$G$3),K216,E216)</f>
        <v>3781048.51</v>
      </c>
      <c r="Q216" s="656" t="str">
        <f t="shared" si="173"/>
        <v>6-Coût des ventes</v>
      </c>
      <c r="R216" s="655" t="str">
        <f t="shared" si="174"/>
        <v>4141</v>
      </c>
      <c r="S216" s="656">
        <f t="shared" si="175"/>
        <v>0</v>
      </c>
      <c r="T216" s="658" t="str">
        <f>+VLOOKUP($L216,Data_Validation!$A:$D,1,0)</f>
        <v>5141</v>
      </c>
      <c r="U216" s="658" t="str">
        <f>+VLOOKUP($L216,Data_Validation!$A:$D,3,0)</f>
        <v>Véhicules neufs</v>
      </c>
      <c r="V216" s="658" t="str">
        <f>+VLOOKUP($L216,Data_Validation!$A:$D,4,0)</f>
        <v>Camions détail</v>
      </c>
      <c r="W216" s="658" t="str">
        <f>+VLOOKUP($L216,Data_Validation!$A:$E,5,0)</f>
        <v>$</v>
      </c>
      <c r="X216" s="658">
        <f>+VLOOKUP($L216,Data_Validation!$A:$F,6,0)</f>
        <v>0</v>
      </c>
    </row>
    <row r="217" spans="1:24" ht="15" customHeight="1">
      <c r="A217" s="1190" t="s">
        <v>1121</v>
      </c>
      <c r="B217" s="1190" t="s">
        <v>3390</v>
      </c>
      <c r="C217" s="1192">
        <v>142835.53</v>
      </c>
      <c r="D217" s="1192">
        <v>70841.37</v>
      </c>
      <c r="E217" s="1192">
        <v>213676.9</v>
      </c>
      <c r="F217" s="1190" t="s">
        <v>1112</v>
      </c>
      <c r="G217" s="1190" t="s">
        <v>1122</v>
      </c>
      <c r="H217" s="652"/>
      <c r="I217" s="674"/>
      <c r="J217" s="665"/>
      <c r="K217" s="674"/>
      <c r="L217" s="655" t="str">
        <f t="shared" si="171"/>
        <v>5144</v>
      </c>
      <c r="M217" s="656" t="str">
        <f t="shared" si="172"/>
        <v>C/V - JETTA GLI</v>
      </c>
      <c r="N217" s="657">
        <f>+IF(OR($Q217=Parametres!$G$2,$Q217=Parametres!$G$3),I217,C217)</f>
        <v>142835.53</v>
      </c>
      <c r="O217" s="657">
        <f>+IF(OR($Q217=Parametres!$G$2,$Q217=Parametres!$G$3),J217,D217)</f>
        <v>70841.37</v>
      </c>
      <c r="P217" s="657">
        <f>+IF(OR($Q217=Parametres!$G$2,$Q217=Parametres!$G$3),K217,E217)</f>
        <v>213676.9</v>
      </c>
      <c r="Q217" s="656" t="str">
        <f t="shared" si="173"/>
        <v>6-Coût des ventes</v>
      </c>
      <c r="R217" s="655" t="str">
        <f t="shared" si="174"/>
        <v>514</v>
      </c>
      <c r="S217" s="656">
        <f t="shared" si="175"/>
        <v>0</v>
      </c>
      <c r="T217" s="658" t="str">
        <f>+VLOOKUP($L217,Data_Validation!$A:$D,1,0)</f>
        <v>5144</v>
      </c>
      <c r="U217" s="658" t="str">
        <f>+VLOOKUP($L217,Data_Validation!$A:$D,3,0)</f>
        <v>Véhicules neufs</v>
      </c>
      <c r="V217" s="658" t="str">
        <f>+VLOOKUP($L217,Data_Validation!$A:$D,4,0)</f>
        <v>Autos détail</v>
      </c>
      <c r="W217" s="658" t="str">
        <f>+VLOOKUP($L217,Data_Validation!$A:$E,5,0)</f>
        <v>$</v>
      </c>
      <c r="X217" s="658">
        <f>+VLOOKUP($L217,Data_Validation!$A:$F,6,0)</f>
        <v>0</v>
      </c>
    </row>
    <row r="218" spans="1:24" ht="15" customHeight="1">
      <c r="A218" s="1190" t="s">
        <v>1123</v>
      </c>
      <c r="B218" s="1190" t="s">
        <v>2115</v>
      </c>
      <c r="C218" s="1192">
        <v>1446888.99</v>
      </c>
      <c r="D218" s="1192">
        <v>553144.87</v>
      </c>
      <c r="E218" s="1192">
        <v>2000033.86</v>
      </c>
      <c r="F218" s="1190" t="s">
        <v>1112</v>
      </c>
      <c r="G218" s="1190" t="s">
        <v>1009</v>
      </c>
      <c r="H218" s="652"/>
      <c r="I218" s="654"/>
      <c r="J218" s="654"/>
      <c r="K218" s="654"/>
      <c r="L218" s="655" t="str">
        <f t="shared" si="171"/>
        <v>5201</v>
      </c>
      <c r="M218" s="656" t="str">
        <f t="shared" si="172"/>
        <v>C/V - VEH.USAGE VW DETAIL CERTIFIE</v>
      </c>
      <c r="N218" s="657">
        <f>+IF(OR($Q218=Parametres!$G$2,$Q218=Parametres!$G$3),I218,C218)</f>
        <v>1446888.99</v>
      </c>
      <c r="O218" s="657">
        <f>+IF(OR($Q218=Parametres!$G$2,$Q218=Parametres!$G$3),J218,D218)</f>
        <v>553144.87</v>
      </c>
      <c r="P218" s="657">
        <f>+IF(OR($Q218=Parametres!$G$2,$Q218=Parametres!$G$3),K218,E218)</f>
        <v>2000033.86</v>
      </c>
      <c r="Q218" s="656" t="str">
        <f t="shared" si="173"/>
        <v>6-Coût des ventes</v>
      </c>
      <c r="R218" s="655" t="str">
        <f t="shared" si="174"/>
        <v>4201</v>
      </c>
      <c r="S218" s="656">
        <f t="shared" si="175"/>
        <v>0</v>
      </c>
      <c r="T218" s="658" t="str">
        <f>+VLOOKUP($L218,Data_Validation!$A:$D,1,0)</f>
        <v>5201</v>
      </c>
      <c r="U218" s="658" t="str">
        <f>+VLOOKUP($L218,Data_Validation!$A:$D,3,0)</f>
        <v>Véhicules usagés</v>
      </c>
      <c r="V218" s="658" t="str">
        <f>+VLOOKUP($L218,Data_Validation!$A:$D,4,0)</f>
        <v>Certifié</v>
      </c>
      <c r="W218" s="658" t="str">
        <f>+VLOOKUP($L218,Data_Validation!$A:$E,5,0)</f>
        <v>$</v>
      </c>
      <c r="X218" s="658">
        <f>+VLOOKUP($L218,Data_Validation!$A:$F,6,0)</f>
        <v>0</v>
      </c>
    </row>
    <row r="219" spans="1:24" ht="15.75" customHeight="1">
      <c r="A219" s="1190" t="s">
        <v>1124</v>
      </c>
      <c r="B219" s="1190" t="s">
        <v>2118</v>
      </c>
      <c r="C219" s="1192">
        <v>108277.53</v>
      </c>
      <c r="D219" s="1192">
        <v>31034.23</v>
      </c>
      <c r="E219" s="1192">
        <v>139311.76</v>
      </c>
      <c r="F219" s="1190" t="s">
        <v>1112</v>
      </c>
      <c r="G219" s="1190" t="s">
        <v>1009</v>
      </c>
      <c r="H219" s="653"/>
      <c r="I219" s="654"/>
      <c r="J219" s="654"/>
      <c r="K219" s="654"/>
      <c r="L219" s="655" t="str">
        <f t="shared" si="171"/>
        <v>5203</v>
      </c>
      <c r="M219" s="656" t="str">
        <f t="shared" si="172"/>
        <v>C/V - RECOND USAGE VW CERT.</v>
      </c>
      <c r="N219" s="657">
        <f>+IF(OR($Q219=Parametres!$G$2,$Q219=Parametres!$G$3),I219,C219)</f>
        <v>108277.53</v>
      </c>
      <c r="O219" s="661">
        <f>+IF(OR($Q219=Parametres!$G$2,$Q219=Parametres!$G$3),J219,D219)</f>
        <v>31034.23</v>
      </c>
      <c r="P219" s="657">
        <f>+IF(OR($Q219=Parametres!$G$2,$Q219=Parametres!$G$3),K219,E219)</f>
        <v>139311.76</v>
      </c>
      <c r="Q219" s="656" t="str">
        <f t="shared" si="173"/>
        <v>6-Coût des ventes</v>
      </c>
      <c r="R219" s="655" t="str">
        <f t="shared" si="174"/>
        <v>4201</v>
      </c>
      <c r="S219" s="656">
        <f t="shared" si="175"/>
        <v>0</v>
      </c>
      <c r="T219" s="658" t="str">
        <f>+VLOOKUP($L219,Data_Validation!$A:$D,1,0)</f>
        <v>5203</v>
      </c>
      <c r="U219" s="658" t="str">
        <f>+VLOOKUP($L219,Data_Validation!$A:$D,3,0)</f>
        <v>Véhicules usagés</v>
      </c>
      <c r="V219" s="658" t="str">
        <f>+VLOOKUP($L219,Data_Validation!$A:$D,4,0)</f>
        <v>Certifié</v>
      </c>
      <c r="W219" s="658" t="str">
        <f>+VLOOKUP($L219,Data_Validation!$A:$E,5,0)</f>
        <v>$</v>
      </c>
      <c r="X219" s="658">
        <f>+VLOOKUP($L219,Data_Validation!$A:$F,6,0)</f>
        <v>0</v>
      </c>
    </row>
    <row r="220" spans="1:24" ht="15" customHeight="1">
      <c r="A220" s="1190" t="s">
        <v>3934</v>
      </c>
      <c r="B220" s="1190" t="s">
        <v>3935</v>
      </c>
      <c r="C220" s="1192">
        <v>1566.29</v>
      </c>
      <c r="D220" s="1192">
        <v>0</v>
      </c>
      <c r="E220" s="1192">
        <v>1566.29</v>
      </c>
      <c r="F220" s="1190" t="s">
        <v>1112</v>
      </c>
      <c r="G220" s="1190" t="s">
        <v>3936</v>
      </c>
      <c r="H220" s="652"/>
      <c r="I220" s="674"/>
      <c r="J220" s="665"/>
      <c r="K220" s="674"/>
      <c r="L220" s="655" t="str">
        <f t="shared" si="171"/>
        <v>5208</v>
      </c>
      <c r="M220" s="656" t="str">
        <f t="shared" si="172"/>
        <v>C/V - BONI CPO</v>
      </c>
      <c r="N220" s="657">
        <f>+IF(OR($Q220=Parametres!$G$2,$Q220=Parametres!$G$3),I220,C220)</f>
        <v>1566.29</v>
      </c>
      <c r="O220" s="657">
        <f>+IF(OR($Q220=Parametres!$G$2,$Q220=Parametres!$G$3),J220,D220)</f>
        <v>0</v>
      </c>
      <c r="P220" s="657">
        <f>+IF(OR($Q220=Parametres!$G$2,$Q220=Parametres!$G$3),K220,E220)</f>
        <v>1566.29</v>
      </c>
      <c r="Q220" s="656" t="str">
        <f t="shared" si="173"/>
        <v>6-Coût des ventes</v>
      </c>
      <c r="R220" s="655" t="str">
        <f t="shared" si="174"/>
        <v>84207</v>
      </c>
      <c r="S220" s="656">
        <f t="shared" si="175"/>
        <v>0</v>
      </c>
      <c r="T220" s="658" t="str">
        <f>+VLOOKUP($L220,Data_Validation!$A:$D,1,0)</f>
        <v>5208</v>
      </c>
      <c r="U220" s="658" t="str">
        <f>+VLOOKUP($L220,Data_Validation!$A:$D,3,0)</f>
        <v>Véhicules usagés</v>
      </c>
      <c r="V220" s="658" t="str">
        <f>+VLOOKUP($L220,Data_Validation!$A:$D,4,0)</f>
        <v>Certifié</v>
      </c>
      <c r="W220" s="658" t="str">
        <f>+VLOOKUP($L220,Data_Validation!$A:$E,5,0)</f>
        <v>$</v>
      </c>
      <c r="X220" s="658">
        <f>+VLOOKUP($L220,Data_Validation!$A:$F,6,0)</f>
        <v>0</v>
      </c>
    </row>
    <row r="221" spans="1:24" ht="15" customHeight="1">
      <c r="A221" s="1190" t="s">
        <v>1125</v>
      </c>
      <c r="B221" s="1190" t="s">
        <v>2124</v>
      </c>
      <c r="C221" s="1192">
        <v>2550</v>
      </c>
      <c r="D221" s="1192">
        <v>0</v>
      </c>
      <c r="E221" s="1192">
        <v>2550</v>
      </c>
      <c r="F221" s="1190" t="s">
        <v>1112</v>
      </c>
      <c r="G221" s="1190" t="s">
        <v>1013</v>
      </c>
      <c r="H221" s="652"/>
      <c r="I221" s="674"/>
      <c r="J221" s="665"/>
      <c r="K221" s="674"/>
      <c r="L221" s="655" t="str">
        <f t="shared" si="171"/>
        <v>5211</v>
      </c>
      <c r="M221" s="656" t="str">
        <f t="shared" si="172"/>
        <v>C/V - VW USAGES DETAIL</v>
      </c>
      <c r="N221" s="657">
        <f>+IF(OR($Q221=Parametres!$G$2,$Q221=Parametres!$G$3),I221,C221)</f>
        <v>2550</v>
      </c>
      <c r="O221" s="657">
        <f>+IF(OR($Q221=Parametres!$G$2,$Q221=Parametres!$G$3),J221,D221)</f>
        <v>0</v>
      </c>
      <c r="P221" s="657">
        <f>+IF(OR($Q221=Parametres!$G$2,$Q221=Parametres!$G$3),K221,E221)</f>
        <v>2550</v>
      </c>
      <c r="Q221" s="656" t="str">
        <f t="shared" si="173"/>
        <v>6-Coût des ventes</v>
      </c>
      <c r="R221" s="655" t="str">
        <f t="shared" si="174"/>
        <v>4211</v>
      </c>
      <c r="S221" s="656">
        <f t="shared" si="175"/>
        <v>0</v>
      </c>
      <c r="T221" s="658" t="str">
        <f>+VLOOKUP($L221,Data_Validation!$A:$D,1,0)</f>
        <v>5211</v>
      </c>
      <c r="U221" s="658" t="str">
        <f>+VLOOKUP($L221,Data_Validation!$A:$D,3,0)</f>
        <v>Véhicules usagés</v>
      </c>
      <c r="V221" s="658" t="str">
        <f>+VLOOKUP($L221,Data_Validation!$A:$D,4,0)</f>
        <v>Non Certifié</v>
      </c>
      <c r="W221" s="658" t="str">
        <f>+VLOOKUP($L221,Data_Validation!$A:$E,5,0)</f>
        <v>$</v>
      </c>
      <c r="X221" s="658">
        <f>+VLOOKUP($L221,Data_Validation!$A:$F,6,0)</f>
        <v>0</v>
      </c>
    </row>
    <row r="222" spans="1:24" ht="15" customHeight="1">
      <c r="A222" s="1190" t="s">
        <v>1016</v>
      </c>
      <c r="B222" s="1190" t="s">
        <v>2138</v>
      </c>
      <c r="C222" s="1192">
        <v>37180.42</v>
      </c>
      <c r="D222" s="1192">
        <v>2500</v>
      </c>
      <c r="E222" s="1192">
        <v>39680.42</v>
      </c>
      <c r="F222" s="1190" t="s">
        <v>1112</v>
      </c>
      <c r="G222" s="1190" t="s">
        <v>1017</v>
      </c>
      <c r="H222" s="652"/>
      <c r="I222" s="672"/>
      <c r="J222" s="653"/>
      <c r="K222" s="672"/>
      <c r="L222" s="655" t="str">
        <f t="shared" si="171"/>
        <v>5285</v>
      </c>
      <c r="M222" s="656" t="str">
        <f t="shared" si="172"/>
        <v>VEH. D'OCC. AUTRE DETAIL</v>
      </c>
      <c r="N222" s="657">
        <f>+IF(OR($Q222=Parametres!$G$2,$Q222=Parametres!$G$3),I222,C222)</f>
        <v>37180.42</v>
      </c>
      <c r="O222" s="657">
        <f>+IF(OR($Q222=Parametres!$G$2,$Q222=Parametres!$G$3),J222,D222)</f>
        <v>2500</v>
      </c>
      <c r="P222" s="657">
        <f>+IF(OR($Q222=Parametres!$G$2,$Q222=Parametres!$G$3),K222,E222)</f>
        <v>39680.42</v>
      </c>
      <c r="Q222" s="656" t="str">
        <f t="shared" si="173"/>
        <v>6-Coût des ventes</v>
      </c>
      <c r="R222" s="655" t="str">
        <f t="shared" si="174"/>
        <v>4261</v>
      </c>
      <c r="S222" s="656">
        <f t="shared" si="175"/>
        <v>0</v>
      </c>
      <c r="T222" s="658" t="str">
        <f>+VLOOKUP($L222,Data_Validation!$A:$D,1,0)</f>
        <v>5285</v>
      </c>
      <c r="U222" s="658" t="str">
        <f>+VLOOKUP($L222,Data_Validation!$A:$D,3,0)</f>
        <v>Véhicules usagés</v>
      </c>
      <c r="V222" s="658" t="str">
        <f>+VLOOKUP($L222,Data_Validation!$A:$D,4,0)</f>
        <v>Non Certifié</v>
      </c>
      <c r="W222" s="658" t="str">
        <f>+VLOOKUP($L222,Data_Validation!$A:$E,5,0)</f>
        <v>$</v>
      </c>
      <c r="X222" s="658">
        <f>+VLOOKUP($L222,Data_Validation!$A:$F,6,0)</f>
        <v>0</v>
      </c>
    </row>
    <row r="223" spans="1:24" ht="15" customHeight="1">
      <c r="A223" s="1190" t="s">
        <v>1020</v>
      </c>
      <c r="B223" s="1190" t="s">
        <v>2144</v>
      </c>
      <c r="C223" s="1192">
        <v>2453043.83</v>
      </c>
      <c r="D223" s="1192">
        <v>452041.01</v>
      </c>
      <c r="E223" s="1192">
        <v>2905084.84</v>
      </c>
      <c r="F223" s="1190" t="s">
        <v>1112</v>
      </c>
      <c r="G223" s="1190" t="s">
        <v>1021</v>
      </c>
      <c r="H223" s="1164"/>
      <c r="I223" s="1165"/>
      <c r="J223" s="1165"/>
      <c r="K223" s="1165"/>
      <c r="L223" s="655" t="str">
        <f t="shared" si="171"/>
        <v>5291</v>
      </c>
      <c r="M223" s="656" t="str">
        <f t="shared" si="172"/>
        <v>VEH. D'OCC. AU GROS</v>
      </c>
      <c r="N223" s="657">
        <f>+IF(OR($Q223=Parametres!$G$2,$Q223=Parametres!$G$3),I223,C223)</f>
        <v>2453043.83</v>
      </c>
      <c r="O223" s="657">
        <f>+IF(OR($Q223=Parametres!$G$2,$Q223=Parametres!$G$3),J223,D223)</f>
        <v>452041.01</v>
      </c>
      <c r="P223" s="657">
        <f>+IF(OR($Q223=Parametres!$G$2,$Q223=Parametres!$G$3),K223,E223)</f>
        <v>2905084.84</v>
      </c>
      <c r="Q223" s="656" t="str">
        <f t="shared" si="173"/>
        <v>6-Coût des ventes</v>
      </c>
      <c r="R223" s="655" t="str">
        <f t="shared" si="174"/>
        <v>4281</v>
      </c>
      <c r="S223" s="656">
        <f t="shared" si="175"/>
        <v>0</v>
      </c>
      <c r="T223" s="658" t="str">
        <f>+VLOOKUP($L223,Data_Validation!$A:$D,1,0)</f>
        <v>5291</v>
      </c>
      <c r="U223" s="658" t="str">
        <f>+VLOOKUP($L223,Data_Validation!$A:$D,3,0)</f>
        <v>Véhicules usagés</v>
      </c>
      <c r="V223" s="658" t="str">
        <f>+VLOOKUP($L223,Data_Validation!$A:$D,4,0)</f>
        <v>Ventes au Gros</v>
      </c>
      <c r="W223" s="658" t="str">
        <f>+VLOOKUP($L223,Data_Validation!$A:$E,5,0)</f>
        <v>$</v>
      </c>
      <c r="X223" s="658">
        <f>+VLOOKUP($L223,Data_Validation!$A:$F,6,0)</f>
        <v>0</v>
      </c>
    </row>
    <row r="224" spans="1:24" ht="15" customHeight="1">
      <c r="A224" s="1190" t="s">
        <v>3675</v>
      </c>
      <c r="B224" s="1190" t="s">
        <v>2147</v>
      </c>
      <c r="C224" s="1192">
        <v>62482.92</v>
      </c>
      <c r="D224" s="1192">
        <v>50383.21</v>
      </c>
      <c r="E224" s="1192">
        <v>112866.13</v>
      </c>
      <c r="F224" s="1190" t="s">
        <v>1112</v>
      </c>
      <c r="G224" s="1190" t="s">
        <v>1025</v>
      </c>
      <c r="H224" s="1164"/>
      <c r="I224" s="1165"/>
      <c r="J224" s="1165"/>
      <c r="K224" s="1165"/>
      <c r="L224" s="655" t="str">
        <f t="shared" si="171"/>
        <v>5401</v>
      </c>
      <c r="M224" s="656" t="str">
        <f t="shared" si="172"/>
        <v>MAIN-D'OEUVRE - CLIENT VW - MCI</v>
      </c>
      <c r="N224" s="657">
        <f>+IF(OR($Q224=Parametres!$G$2,$Q224=Parametres!$G$3),I224,C224)</f>
        <v>62482.92</v>
      </c>
      <c r="O224" s="657">
        <f>+IF(OR($Q224=Parametres!$G$2,$Q224=Parametres!$G$3),J224,D224)</f>
        <v>50383.21</v>
      </c>
      <c r="P224" s="657">
        <f>+IF(OR($Q224=Parametres!$G$2,$Q224=Parametres!$G$3),K224,E224)</f>
        <v>112866.13</v>
      </c>
      <c r="Q224" s="656" t="str">
        <f t="shared" si="173"/>
        <v>6-Coût des ventes</v>
      </c>
      <c r="R224" s="655" t="str">
        <f t="shared" si="174"/>
        <v>4401</v>
      </c>
      <c r="S224" s="656">
        <f t="shared" si="175"/>
        <v>0</v>
      </c>
      <c r="T224" s="658" t="str">
        <f>+VLOOKUP($L224,Data_Validation!$A:$D,1,0)</f>
        <v>5401</v>
      </c>
      <c r="U224" s="658" t="str">
        <f>+VLOOKUP($L224,Data_Validation!$A:$D,3,0)</f>
        <v>Service</v>
      </c>
      <c r="V224" s="658" t="str">
        <f>+VLOOKUP($L224,Data_Validation!$A:$D,4,0)</f>
        <v>M/O Client</v>
      </c>
      <c r="W224" s="658" t="str">
        <f>+VLOOKUP($L224,Data_Validation!$A:$E,5,0)</f>
        <v>$</v>
      </c>
      <c r="X224" s="658">
        <f>+VLOOKUP($L224,Data_Validation!$A:$F,6,0)</f>
        <v>0</v>
      </c>
    </row>
    <row r="225" spans="1:24" ht="15.75" customHeight="1">
      <c r="A225" s="1190" t="s">
        <v>1129</v>
      </c>
      <c r="B225" s="1190" t="s">
        <v>2150</v>
      </c>
      <c r="C225" s="1192">
        <v>5956.32</v>
      </c>
      <c r="D225" s="1192">
        <v>6189.98</v>
      </c>
      <c r="E225" s="1192">
        <v>12146.3</v>
      </c>
      <c r="F225" s="1190" t="s">
        <v>1112</v>
      </c>
      <c r="G225" s="1190" t="s">
        <v>1028</v>
      </c>
      <c r="H225" s="1164"/>
      <c r="I225" s="1165"/>
      <c r="J225" s="1165"/>
      <c r="K225" s="1165"/>
      <c r="L225" s="655" t="str">
        <f t="shared" si="171"/>
        <v>5402</v>
      </c>
      <c r="M225" s="656" t="str">
        <f t="shared" si="172"/>
        <v>C/V - M.O. ESTHETIQUE CLIENT</v>
      </c>
      <c r="N225" s="657">
        <f>+IF(OR($Q225=Parametres!$G$2,$Q225=Parametres!$G$3),I225,C225)</f>
        <v>5956.32</v>
      </c>
      <c r="O225" s="657">
        <f>+IF(OR($Q225=Parametres!$G$2,$Q225=Parametres!$G$3),J225,D225)</f>
        <v>6189.98</v>
      </c>
      <c r="P225" s="657">
        <f>+IF(OR($Q225=Parametres!$G$2,$Q225=Parametres!$G$3),K225,E225)</f>
        <v>12146.3</v>
      </c>
      <c r="Q225" s="656" t="str">
        <f t="shared" si="173"/>
        <v>6-Coût des ventes</v>
      </c>
      <c r="R225" s="655" t="str">
        <f t="shared" si="174"/>
        <v>4402</v>
      </c>
      <c r="S225" s="656">
        <f t="shared" si="175"/>
        <v>0</v>
      </c>
      <c r="T225" s="658" t="str">
        <f>+VLOOKUP($L225,Data_Validation!$A:$D,1,0)</f>
        <v>5402</v>
      </c>
      <c r="U225" s="658" t="str">
        <f>+VLOOKUP($L225,Data_Validation!$A:$D,3,0)</f>
        <v>Service</v>
      </c>
      <c r="V225" s="658" t="str">
        <f>+VLOOKUP($L225,Data_Validation!$A:$D,4,0)</f>
        <v>M/O Esthétique</v>
      </c>
      <c r="W225" s="658" t="str">
        <f>+VLOOKUP($L225,Data_Validation!$A:$E,5,0)</f>
        <v>$</v>
      </c>
      <c r="X225" s="658">
        <f>+VLOOKUP($L225,Data_Validation!$A:$F,6,0)</f>
        <v>0</v>
      </c>
    </row>
    <row r="226" spans="1:24" ht="15" customHeight="1">
      <c r="A226" s="1190" t="s">
        <v>3676</v>
      </c>
      <c r="B226" s="1190" t="s">
        <v>2153</v>
      </c>
      <c r="C226" s="1192">
        <v>24515.4</v>
      </c>
      <c r="D226" s="1192">
        <v>9654.5</v>
      </c>
      <c r="E226" s="1192">
        <v>34169.9</v>
      </c>
      <c r="F226" s="1190" t="s">
        <v>1112</v>
      </c>
      <c r="G226" s="1190" t="s">
        <v>1030</v>
      </c>
      <c r="H226" s="653"/>
      <c r="I226" s="672"/>
      <c r="J226" s="653"/>
      <c r="K226" s="672"/>
      <c r="L226" s="655" t="str">
        <f t="shared" si="171"/>
        <v>5403</v>
      </c>
      <c r="M226" s="656" t="str">
        <f t="shared" si="172"/>
        <v>MAIN-D'OEUVRE - GARANTIE VW - MCI</v>
      </c>
      <c r="N226" s="657">
        <f>+IF(OR($Q226=Parametres!$G$2,$Q226=Parametres!$G$3),I226,C226)</f>
        <v>24515.4</v>
      </c>
      <c r="O226" s="657">
        <f>+IF(OR($Q226=Parametres!$G$2,$Q226=Parametres!$G$3),J226,D226)</f>
        <v>9654.5</v>
      </c>
      <c r="P226" s="657">
        <f>+IF(OR($Q226=Parametres!$G$2,$Q226=Parametres!$G$3),K226,E226)</f>
        <v>34169.9</v>
      </c>
      <c r="Q226" s="656" t="str">
        <f t="shared" si="173"/>
        <v>6-Coût des ventes</v>
      </c>
      <c r="R226" s="655" t="str">
        <f t="shared" si="174"/>
        <v>4403</v>
      </c>
      <c r="S226" s="656">
        <f t="shared" si="175"/>
        <v>0</v>
      </c>
      <c r="T226" s="658" t="str">
        <f>+VLOOKUP($L226,Data_Validation!$A:$D,1,0)</f>
        <v>5403</v>
      </c>
      <c r="U226" s="658" t="str">
        <f>+VLOOKUP($L226,Data_Validation!$A:$D,3,0)</f>
        <v>Service</v>
      </c>
      <c r="V226" s="658" t="str">
        <f>+VLOOKUP($L226,Data_Validation!$A:$D,4,0)</f>
        <v>M/O Garantie</v>
      </c>
      <c r="W226" s="658" t="str">
        <f>+VLOOKUP($L226,Data_Validation!$A:$E,5,0)</f>
        <v>$</v>
      </c>
      <c r="X226" s="658">
        <f>+VLOOKUP($L226,Data_Validation!$A:$F,6,0)</f>
        <v>0</v>
      </c>
    </row>
    <row r="227" spans="1:24" ht="15" customHeight="1">
      <c r="A227" s="1190" t="s">
        <v>3677</v>
      </c>
      <c r="B227" s="1190" t="s">
        <v>2156</v>
      </c>
      <c r="C227" s="1192">
        <v>58876.37</v>
      </c>
      <c r="D227" s="1192">
        <v>16895.349999999999</v>
      </c>
      <c r="E227" s="1192">
        <v>75771.72</v>
      </c>
      <c r="F227" s="1190" t="s">
        <v>1112</v>
      </c>
      <c r="G227" s="1190" t="s">
        <v>1033</v>
      </c>
      <c r="H227" s="652"/>
      <c r="I227" s="654"/>
      <c r="J227" s="654"/>
      <c r="K227" s="654"/>
      <c r="L227" s="655" t="str">
        <f t="shared" si="171"/>
        <v>5405</v>
      </c>
      <c r="M227" s="656" t="str">
        <f t="shared" si="172"/>
        <v>MAIN-D'OEUVRE - INTERNE VW - MCI</v>
      </c>
      <c r="N227" s="657">
        <f>+IF(OR($Q227=Parametres!$G$2,$Q227=Parametres!$G$3),I227,C227)</f>
        <v>58876.37</v>
      </c>
      <c r="O227" s="657">
        <f>+IF(OR($Q227=Parametres!$G$2,$Q227=Parametres!$G$3),J227,D227)</f>
        <v>16895.349999999999</v>
      </c>
      <c r="P227" s="657">
        <f>+IF(OR($Q227=Parametres!$G$2,$Q227=Parametres!$G$3),K227,E227)</f>
        <v>75771.72</v>
      </c>
      <c r="Q227" s="656" t="str">
        <f t="shared" si="173"/>
        <v>6-Coût des ventes</v>
      </c>
      <c r="R227" s="655" t="str">
        <f t="shared" si="174"/>
        <v>4405</v>
      </c>
      <c r="S227" s="656">
        <f t="shared" si="175"/>
        <v>0</v>
      </c>
      <c r="T227" s="658" t="str">
        <f>+VLOOKUP($L227,Data_Validation!$A:$D,1,0)</f>
        <v>5405</v>
      </c>
      <c r="U227" s="658" t="str">
        <f>+VLOOKUP($L227,Data_Validation!$A:$D,3,0)</f>
        <v>Service</v>
      </c>
      <c r="V227" s="658" t="str">
        <f>+VLOOKUP($L227,Data_Validation!$A:$D,4,0)</f>
        <v>M/O Interne</v>
      </c>
      <c r="W227" s="658" t="str">
        <f>+VLOOKUP($L227,Data_Validation!$A:$E,5,0)</f>
        <v>$</v>
      </c>
      <c r="X227" s="658">
        <f>+VLOOKUP($L227,Data_Validation!$A:$F,6,0)</f>
        <v>0</v>
      </c>
    </row>
    <row r="228" spans="1:24" ht="15" customHeight="1">
      <c r="A228" s="1190" t="s">
        <v>3685</v>
      </c>
      <c r="B228" s="1190" t="s">
        <v>2162</v>
      </c>
      <c r="C228" s="1192">
        <v>12206.83</v>
      </c>
      <c r="D228" s="1192">
        <v>3446.54</v>
      </c>
      <c r="E228" s="1192">
        <v>15653.37</v>
      </c>
      <c r="F228" s="1190" t="s">
        <v>1112</v>
      </c>
      <c r="G228" s="1190" t="s">
        <v>1133</v>
      </c>
      <c r="H228" s="652"/>
      <c r="I228" s="654"/>
      <c r="J228" s="654"/>
      <c r="K228" s="654"/>
      <c r="L228" s="655" t="str">
        <f t="shared" si="171"/>
        <v>5416</v>
      </c>
      <c r="M228" s="656" t="str">
        <f t="shared" si="172"/>
        <v>C/V - MAIN D'OEUVRE SVC NON APP - TOUS</v>
      </c>
      <c r="N228" s="657">
        <f>+IF(OR($Q228=Parametres!$G$2,$Q228=Parametres!$G$3),I228,C228)</f>
        <v>12206.83</v>
      </c>
      <c r="O228" s="657">
        <f>+IF(OR($Q228=Parametres!$G$2,$Q228=Parametres!$G$3),J228,D228)</f>
        <v>3446.54</v>
      </c>
      <c r="P228" s="657">
        <f>+IF(OR($Q228=Parametres!$G$2,$Q228=Parametres!$G$3),K228,E228)</f>
        <v>15653.37</v>
      </c>
      <c r="Q228" s="656" t="str">
        <f t="shared" si="173"/>
        <v>6-Coût des ventes</v>
      </c>
      <c r="R228" s="655" t="str">
        <f t="shared" si="174"/>
        <v>4416</v>
      </c>
      <c r="S228" s="656">
        <f t="shared" si="175"/>
        <v>0</v>
      </c>
      <c r="T228" s="658" t="str">
        <f>+VLOOKUP($L228,Data_Validation!$A:$D,1,0)</f>
        <v>5416</v>
      </c>
      <c r="U228" s="658" t="str">
        <f>+VLOOKUP($L228,Data_Validation!$A:$D,3,0)</f>
        <v>Service</v>
      </c>
      <c r="V228" s="658" t="str">
        <f>+VLOOKUP($L228,Data_Validation!$A:$D,4,0)</f>
        <v>Ajustement M/O</v>
      </c>
      <c r="W228" s="658" t="str">
        <f>+VLOOKUP($L228,Data_Validation!$A:$E,5,0)</f>
        <v>$</v>
      </c>
      <c r="X228" s="658">
        <f>+VLOOKUP($L228,Data_Validation!$A:$F,6,0)</f>
        <v>0</v>
      </c>
    </row>
    <row r="229" spans="1:24" ht="15.75" customHeight="1">
      <c r="A229" s="1190" t="s">
        <v>1035</v>
      </c>
      <c r="B229" s="1190" t="s">
        <v>2168</v>
      </c>
      <c r="C229" s="1192">
        <v>40405.620000000003</v>
      </c>
      <c r="D229" s="1192">
        <v>19932.63</v>
      </c>
      <c r="E229" s="1192">
        <v>60338.25</v>
      </c>
      <c r="F229" s="1190" t="s">
        <v>1112</v>
      </c>
      <c r="G229" s="1190" t="s">
        <v>1036</v>
      </c>
      <c r="H229" s="652"/>
      <c r="I229" s="674"/>
      <c r="J229" s="665"/>
      <c r="K229" s="674"/>
      <c r="L229" s="655" t="str">
        <f t="shared" si="171"/>
        <v>5451</v>
      </c>
      <c r="M229" s="656" t="str">
        <f t="shared" si="172"/>
        <v>CARBURANT/HUILE/GRAISSE</v>
      </c>
      <c r="N229" s="657">
        <f>+IF(OR($Q229=Parametres!$G$2,$Q229=Parametres!$G$3),I229,C229)</f>
        <v>40405.620000000003</v>
      </c>
      <c r="O229" s="657">
        <f>+IF(OR($Q229=Parametres!$G$2,$Q229=Parametres!$G$3),J229,D229)</f>
        <v>19932.63</v>
      </c>
      <c r="P229" s="657">
        <f>+IF(OR($Q229=Parametres!$G$2,$Q229=Parametres!$G$3),K229,E229)</f>
        <v>60338.25</v>
      </c>
      <c r="Q229" s="656" t="str">
        <f t="shared" si="173"/>
        <v>6-Coût des ventes</v>
      </c>
      <c r="R229" s="655" t="str">
        <f t="shared" si="174"/>
        <v>4782</v>
      </c>
      <c r="S229" s="656">
        <f t="shared" si="175"/>
        <v>0</v>
      </c>
      <c r="T229" s="658" t="str">
        <f>+VLOOKUP($L229,Data_Validation!$A:$D,1,0)</f>
        <v>5451</v>
      </c>
      <c r="U229" s="658" t="str">
        <f>+VLOOKUP($L229,Data_Validation!$A:$D,3,0)</f>
        <v>Pièces</v>
      </c>
      <c r="V229" s="658" t="str">
        <f>+VLOOKUP($L229,Data_Validation!$A:$D,4,0)</f>
        <v>Huiles et Graisse</v>
      </c>
      <c r="W229" s="658" t="str">
        <f>+VLOOKUP($L229,Data_Validation!$A:$E,5,0)</f>
        <v>$</v>
      </c>
      <c r="X229" s="658">
        <f>+VLOOKUP($L229,Data_Validation!$A:$F,6,0)</f>
        <v>0</v>
      </c>
    </row>
    <row r="230" spans="1:24" ht="15" customHeight="1">
      <c r="A230" s="1190" t="s">
        <v>1038</v>
      </c>
      <c r="B230" s="1190" t="s">
        <v>2171</v>
      </c>
      <c r="C230" s="1192">
        <v>8496.9599999999991</v>
      </c>
      <c r="D230" s="1192">
        <v>5503</v>
      </c>
      <c r="E230" s="1192">
        <v>13999.96</v>
      </c>
      <c r="F230" s="1190" t="s">
        <v>1112</v>
      </c>
      <c r="G230" s="1190" t="s">
        <v>1039</v>
      </c>
      <c r="H230" s="653"/>
      <c r="I230" s="672"/>
      <c r="J230" s="653"/>
      <c r="K230" s="672"/>
      <c r="L230" s="655" t="str">
        <f t="shared" si="171"/>
        <v>5491</v>
      </c>
      <c r="M230" s="656" t="str">
        <f t="shared" si="172"/>
        <v>REPARATION SOUS-LOC. - GENERAL</v>
      </c>
      <c r="N230" s="657">
        <f>+IF(OR($Q230=Parametres!$G$2,$Q230=Parametres!$G$3),I230,C230)</f>
        <v>8496.9599999999991</v>
      </c>
      <c r="O230" s="657">
        <f>+IF(OR($Q230=Parametres!$G$2,$Q230=Parametres!$G$3),J230,D230)</f>
        <v>5503</v>
      </c>
      <c r="P230" s="657">
        <f>+IF(OR($Q230=Parametres!$G$2,$Q230=Parametres!$G$3),K230,E230)</f>
        <v>13999.96</v>
      </c>
      <c r="Q230" s="656" t="str">
        <f t="shared" si="173"/>
        <v>6-Coût des ventes</v>
      </c>
      <c r="R230" s="655" t="str">
        <f t="shared" si="174"/>
        <v>4491</v>
      </c>
      <c r="S230" s="656">
        <f t="shared" si="175"/>
        <v>0</v>
      </c>
      <c r="T230" s="658" t="str">
        <f>+VLOOKUP($L230,Data_Validation!$A:$D,1,0)</f>
        <v>5491</v>
      </c>
      <c r="U230" s="658" t="str">
        <f>+VLOOKUP($L230,Data_Validation!$A:$D,3,0)</f>
        <v>Service</v>
      </c>
      <c r="V230" s="658" t="str">
        <f>+VLOOKUP($L230,Data_Validation!$A:$D,4,0)</f>
        <v>Sous-traitement</v>
      </c>
      <c r="W230" s="658" t="str">
        <f>+VLOOKUP($L230,Data_Validation!$A:$E,5,0)</f>
        <v>$</v>
      </c>
      <c r="X230" s="658">
        <f>+VLOOKUP($L230,Data_Validation!$A:$F,6,0)</f>
        <v>0</v>
      </c>
    </row>
    <row r="231" spans="1:24" ht="15" customHeight="1">
      <c r="A231" s="1190" t="s">
        <v>1134</v>
      </c>
      <c r="B231" s="1190" t="s">
        <v>2174</v>
      </c>
      <c r="C231" s="1192">
        <v>8952.1</v>
      </c>
      <c r="D231" s="1192">
        <v>0</v>
      </c>
      <c r="E231" s="1192">
        <v>8952.1</v>
      </c>
      <c r="F231" s="1190" t="s">
        <v>1112</v>
      </c>
      <c r="G231" s="1190" t="s">
        <v>1042</v>
      </c>
      <c r="H231" s="653"/>
      <c r="I231" s="654"/>
      <c r="J231" s="654"/>
      <c r="K231" s="654"/>
      <c r="L231" s="655" t="str">
        <f t="shared" si="171"/>
        <v>5493</v>
      </c>
      <c r="M231" s="656" t="str">
        <f t="shared" si="172"/>
        <v>C/V - SOUS-TRAITANCE GARANTIE</v>
      </c>
      <c r="N231" s="657">
        <f>+IF(OR($Q231=Parametres!$G$2,$Q231=Parametres!$G$3),I231,C231)</f>
        <v>8952.1</v>
      </c>
      <c r="O231" s="657">
        <f>+IF(OR($Q231=Parametres!$G$2,$Q231=Parametres!$G$3),J231,D231)</f>
        <v>0</v>
      </c>
      <c r="P231" s="657">
        <f>+IF(OR($Q231=Parametres!$G$2,$Q231=Parametres!$G$3),K231,E231)</f>
        <v>8952.1</v>
      </c>
      <c r="Q231" s="656" t="str">
        <f t="shared" si="173"/>
        <v>6-Coût des ventes</v>
      </c>
      <c r="R231" s="655" t="str">
        <f t="shared" si="174"/>
        <v>4493</v>
      </c>
      <c r="S231" s="656">
        <f t="shared" si="175"/>
        <v>0</v>
      </c>
      <c r="T231" s="658" t="str">
        <f>+VLOOKUP($L231,Data_Validation!$A:$D,1,0)</f>
        <v>5493</v>
      </c>
      <c r="U231" s="658" t="str">
        <f>+VLOOKUP($L231,Data_Validation!$A:$D,3,0)</f>
        <v>Service</v>
      </c>
      <c r="V231" s="658" t="str">
        <f>+VLOOKUP($L231,Data_Validation!$A:$D,4,0)</f>
        <v>Sous-traitement</v>
      </c>
      <c r="W231" s="658" t="str">
        <f>+VLOOKUP($L231,Data_Validation!$A:$E,5,0)</f>
        <v>$</v>
      </c>
      <c r="X231" s="658">
        <f>+VLOOKUP($L231,Data_Validation!$A:$F,6,0)</f>
        <v>0</v>
      </c>
    </row>
    <row r="232" spans="1:24" ht="15" customHeight="1">
      <c r="A232" s="1190" t="s">
        <v>1135</v>
      </c>
      <c r="B232" s="1190" t="s">
        <v>2177</v>
      </c>
      <c r="C232" s="1192">
        <v>17813.669999999998</v>
      </c>
      <c r="D232" s="1192">
        <v>11682</v>
      </c>
      <c r="E232" s="1192">
        <v>29495.67</v>
      </c>
      <c r="F232" s="1190" t="s">
        <v>1112</v>
      </c>
      <c r="G232" s="1190" t="s">
        <v>1046</v>
      </c>
      <c r="H232" s="652"/>
      <c r="I232" s="654"/>
      <c r="J232" s="654"/>
      <c r="K232" s="654"/>
      <c r="L232" s="655" t="str">
        <f t="shared" si="171"/>
        <v>5495</v>
      </c>
      <c r="M232" s="656" t="str">
        <f t="shared" si="172"/>
        <v>C/V - SOUS-TRAITANCE INTERNE</v>
      </c>
      <c r="N232" s="657">
        <f>+IF(OR($Q232=Parametres!$G$2,$Q232=Parametres!$G$3),I232,C232)</f>
        <v>17813.669999999998</v>
      </c>
      <c r="O232" s="657">
        <f>+IF(OR($Q232=Parametres!$G$2,$Q232=Parametres!$G$3),J232,D232)</f>
        <v>11682</v>
      </c>
      <c r="P232" s="657">
        <f>+IF(OR($Q232=Parametres!$G$2,$Q232=Parametres!$G$3),K232,E232)</f>
        <v>29495.67</v>
      </c>
      <c r="Q232" s="656" t="str">
        <f t="shared" si="173"/>
        <v>6-Coût des ventes</v>
      </c>
      <c r="R232" s="655" t="str">
        <f t="shared" si="174"/>
        <v>4495</v>
      </c>
      <c r="S232" s="656">
        <f t="shared" si="175"/>
        <v>0</v>
      </c>
      <c r="T232" s="658" t="str">
        <f>+VLOOKUP($L232,Data_Validation!$A:$D,1,0)</f>
        <v>5495</v>
      </c>
      <c r="U232" s="658" t="str">
        <f>+VLOOKUP($L232,Data_Validation!$A:$D,3,0)</f>
        <v>Service</v>
      </c>
      <c r="V232" s="658" t="str">
        <f>+VLOOKUP($L232,Data_Validation!$A:$D,4,0)</f>
        <v>Sous-traitement</v>
      </c>
      <c r="W232" s="658" t="str">
        <f>+VLOOKUP($L232,Data_Validation!$A:$E,5,0)</f>
        <v>$</v>
      </c>
      <c r="X232" s="658">
        <f>+VLOOKUP($L232,Data_Validation!$A:$F,6,0)</f>
        <v>0</v>
      </c>
    </row>
    <row r="233" spans="1:24" ht="15" customHeight="1">
      <c r="A233" s="1190" t="s">
        <v>3432</v>
      </c>
      <c r="B233" s="1190" t="s">
        <v>3433</v>
      </c>
      <c r="C233" s="1192">
        <v>4213.7700000000004</v>
      </c>
      <c r="D233" s="1192">
        <v>1782.36</v>
      </c>
      <c r="E233" s="1192">
        <v>5996.13</v>
      </c>
      <c r="F233" s="1190" t="s">
        <v>1112</v>
      </c>
      <c r="G233" s="1190" t="s">
        <v>3431</v>
      </c>
      <c r="H233" s="653"/>
      <c r="I233" s="662"/>
      <c r="J233" s="662"/>
      <c r="K233" s="662"/>
      <c r="L233" s="655" t="str">
        <f t="shared" si="171"/>
        <v>5505</v>
      </c>
      <c r="M233" s="656" t="str">
        <f t="shared" si="172"/>
        <v>C/V - M.O. INTERNE CARROSSERIE</v>
      </c>
      <c r="N233" s="657">
        <f>+IF(OR($Q233=Parametres!$G$2,$Q233=Parametres!$G$3),I233,C233)</f>
        <v>4213.7700000000004</v>
      </c>
      <c r="O233" s="657">
        <f>+IF(OR($Q233=Parametres!$G$2,$Q233=Parametres!$G$3),J233,D233)</f>
        <v>1782.36</v>
      </c>
      <c r="P233" s="657">
        <f>+IF(OR($Q233=Parametres!$G$2,$Q233=Parametres!$G$3),K233,E233)</f>
        <v>5996.13</v>
      </c>
      <c r="Q233" s="656" t="str">
        <f t="shared" si="173"/>
        <v>6-Coût des ventes</v>
      </c>
      <c r="R233" s="655" t="str">
        <f t="shared" si="174"/>
        <v>4505</v>
      </c>
      <c r="S233" s="656">
        <f t="shared" si="175"/>
        <v>0</v>
      </c>
      <c r="T233" s="658" t="str">
        <f>+VLOOKUP($L233,Data_Validation!$A:$D,1,0)</f>
        <v>5505</v>
      </c>
      <c r="U233" s="658" t="str">
        <f>+VLOOKUP($L233,Data_Validation!$A:$D,3,0)</f>
        <v>Service</v>
      </c>
      <c r="V233" s="658" t="str">
        <f>+VLOOKUP($L233,Data_Validation!$A:$D,4,0)</f>
        <v>M.O. Recond. MCPA</v>
      </c>
      <c r="W233" s="658" t="str">
        <f>+VLOOKUP($L233,Data_Validation!$A:$E,5,0)</f>
        <v>$</v>
      </c>
      <c r="X233" s="658">
        <f>+VLOOKUP($L233,Data_Validation!$A:$F,6,0)</f>
        <v>0</v>
      </c>
    </row>
    <row r="234" spans="1:24" ht="15.75" customHeight="1">
      <c r="A234" s="1190" t="s">
        <v>1136</v>
      </c>
      <c r="B234" s="1190" t="s">
        <v>2186</v>
      </c>
      <c r="C234" s="1192">
        <v>23015.56</v>
      </c>
      <c r="D234" s="1192">
        <v>-39.979999999999997</v>
      </c>
      <c r="E234" s="1192">
        <v>22975.58</v>
      </c>
      <c r="F234" s="1190" t="s">
        <v>1112</v>
      </c>
      <c r="G234" s="1190" t="s">
        <v>1053</v>
      </c>
      <c r="H234" s="653"/>
      <c r="I234" s="654"/>
      <c r="J234" s="654"/>
      <c r="K234" s="654"/>
      <c r="L234" s="655" t="str">
        <f t="shared" si="171"/>
        <v>5591</v>
      </c>
      <c r="M234" s="656" t="str">
        <f t="shared" si="172"/>
        <v>C/V - S-TRAIT. CARR.</v>
      </c>
      <c r="N234" s="657">
        <f>+IF(OR($Q234=Parametres!$G$2,$Q234=Parametres!$G$3),I234,C234)</f>
        <v>23015.56</v>
      </c>
      <c r="O234" s="657">
        <f>+IF(OR($Q234=Parametres!$G$2,$Q234=Parametres!$G$3),J234,D234)</f>
        <v>-39.979999999999997</v>
      </c>
      <c r="P234" s="657">
        <f>+IF(OR($Q234=Parametres!$G$2,$Q234=Parametres!$G$3),K234,E234)</f>
        <v>22975.58</v>
      </c>
      <c r="Q234" s="656" t="str">
        <f t="shared" si="173"/>
        <v>6-Coût des ventes</v>
      </c>
      <c r="R234" s="655" t="str">
        <f t="shared" si="174"/>
        <v>4591</v>
      </c>
      <c r="S234" s="656">
        <f t="shared" si="175"/>
        <v>0</v>
      </c>
      <c r="T234" s="658" t="str">
        <f>+VLOOKUP($L234,Data_Validation!$A:$D,1,0)</f>
        <v>5591</v>
      </c>
      <c r="U234" s="658" t="str">
        <f>+VLOOKUP($L234,Data_Validation!$A:$D,3,0)</f>
        <v>Carrosserie</v>
      </c>
      <c r="V234" s="658" t="str">
        <f>+VLOOKUP($L234,Data_Validation!$A:$D,4,0)</f>
        <v>M/O Sous-traitement</v>
      </c>
      <c r="W234" s="658" t="str">
        <f>+VLOOKUP($L234,Data_Validation!$A:$E,5,0)</f>
        <v>$</v>
      </c>
      <c r="X234" s="658">
        <f>+VLOOKUP($L234,Data_Validation!$A:$F,6,0)</f>
        <v>0</v>
      </c>
    </row>
    <row r="235" spans="1:24" ht="15" customHeight="1">
      <c r="A235" s="1190" t="s">
        <v>1137</v>
      </c>
      <c r="B235" s="1190" t="s">
        <v>2189</v>
      </c>
      <c r="C235" s="1192">
        <v>137960.95000000001</v>
      </c>
      <c r="D235" s="1192">
        <v>54469.69</v>
      </c>
      <c r="E235" s="1192">
        <v>192430.64</v>
      </c>
      <c r="F235" s="1190" t="s">
        <v>1112</v>
      </c>
      <c r="G235" s="1190" t="s">
        <v>1057</v>
      </c>
      <c r="H235" s="652"/>
      <c r="I235" s="654"/>
      <c r="J235" s="654"/>
      <c r="K235" s="654"/>
      <c r="L235" s="655" t="str">
        <f t="shared" si="171"/>
        <v>5593</v>
      </c>
      <c r="M235" s="656" t="str">
        <f t="shared" si="172"/>
        <v>C/V - S-TRAIT.GARANTIE CARROS.</v>
      </c>
      <c r="N235" s="657">
        <f>+IF(OR($Q235=Parametres!$G$2,$Q235=Parametres!$G$3),I235,C235)</f>
        <v>137960.95000000001</v>
      </c>
      <c r="O235" s="657">
        <f>+IF(OR($Q235=Parametres!$G$2,$Q235=Parametres!$G$3),J235,D235)</f>
        <v>54469.69</v>
      </c>
      <c r="P235" s="657">
        <f>+IF(OR($Q235=Parametres!$G$2,$Q235=Parametres!$G$3),K235,E235)</f>
        <v>192430.64</v>
      </c>
      <c r="Q235" s="656" t="str">
        <f t="shared" si="173"/>
        <v>6-Coût des ventes</v>
      </c>
      <c r="R235" s="655" t="str">
        <f t="shared" si="174"/>
        <v>4593</v>
      </c>
      <c r="S235" s="656">
        <f t="shared" si="175"/>
        <v>0</v>
      </c>
      <c r="T235" s="658" t="str">
        <f>+VLOOKUP($L235,Data_Validation!$A:$D,1,0)</f>
        <v>5593</v>
      </c>
      <c r="U235" s="658" t="str">
        <f>+VLOOKUP($L235,Data_Validation!$A:$D,3,0)</f>
        <v>Carrosserie</v>
      </c>
      <c r="V235" s="658" t="str">
        <f>+VLOOKUP($L235,Data_Validation!$A:$D,4,0)</f>
        <v>M/O Sous-traitement</v>
      </c>
      <c r="W235" s="658" t="str">
        <f>+VLOOKUP($L235,Data_Validation!$A:$E,5,0)</f>
        <v>$</v>
      </c>
      <c r="X235" s="658">
        <f>+VLOOKUP($L235,Data_Validation!$A:$F,6,0)</f>
        <v>0</v>
      </c>
    </row>
    <row r="236" spans="1:24" ht="15" customHeight="1">
      <c r="A236" s="1190" t="s">
        <v>1138</v>
      </c>
      <c r="B236" s="1190" t="s">
        <v>2192</v>
      </c>
      <c r="C236" s="1192">
        <v>3215</v>
      </c>
      <c r="D236" s="1192">
        <v>0</v>
      </c>
      <c r="E236" s="1192">
        <v>3215</v>
      </c>
      <c r="F236" s="1190" t="s">
        <v>1112</v>
      </c>
      <c r="G236" s="1190" t="s">
        <v>1061</v>
      </c>
      <c r="H236" s="653"/>
      <c r="I236" s="654"/>
      <c r="J236" s="654"/>
      <c r="K236" s="654"/>
      <c r="L236" s="655" t="str">
        <f t="shared" si="171"/>
        <v>5595</v>
      </c>
      <c r="M236" s="656" t="str">
        <f t="shared" si="172"/>
        <v>C/V - S-TRAIT.INTERNE CARROS.</v>
      </c>
      <c r="N236" s="657">
        <f>+IF(OR($Q236=Parametres!$G$2,$Q236=Parametres!$G$3),I236,C236)</f>
        <v>3215</v>
      </c>
      <c r="O236" s="657">
        <f>+IF(OR($Q236=Parametres!$G$2,$Q236=Parametres!$G$3),J236,D236)</f>
        <v>0</v>
      </c>
      <c r="P236" s="657">
        <f>+IF(OR($Q236=Parametres!$G$2,$Q236=Parametres!$G$3),K236,E236)</f>
        <v>3215</v>
      </c>
      <c r="Q236" s="656" t="str">
        <f t="shared" si="173"/>
        <v>6-Coût des ventes</v>
      </c>
      <c r="R236" s="655" t="str">
        <f t="shared" si="174"/>
        <v>4595</v>
      </c>
      <c r="S236" s="656">
        <f t="shared" si="175"/>
        <v>0</v>
      </c>
      <c r="T236" s="658" t="str">
        <f>+VLOOKUP($L236,Data_Validation!$A:$D,1,0)</f>
        <v>5595</v>
      </c>
      <c r="U236" s="658" t="str">
        <f>+VLOOKUP($L236,Data_Validation!$A:$D,3,0)</f>
        <v>Carrosserie</v>
      </c>
      <c r="V236" s="658" t="str">
        <f>+VLOOKUP($L236,Data_Validation!$A:$D,4,0)</f>
        <v>M/O Sous-traitement</v>
      </c>
      <c r="W236" s="658" t="str">
        <f>+VLOOKUP($L236,Data_Validation!$A:$E,5,0)</f>
        <v>$</v>
      </c>
      <c r="X236" s="658">
        <f>+VLOOKUP($L236,Data_Validation!$A:$F,6,0)</f>
        <v>0</v>
      </c>
    </row>
    <row r="237" spans="1:24" ht="15" customHeight="1">
      <c r="A237" s="1190" t="s">
        <v>3678</v>
      </c>
      <c r="B237" s="1190" t="s">
        <v>2195</v>
      </c>
      <c r="C237" s="1192">
        <v>120928.48</v>
      </c>
      <c r="D237" s="1192">
        <v>54717.11</v>
      </c>
      <c r="E237" s="1192">
        <v>175645.59</v>
      </c>
      <c r="F237" s="1190" t="s">
        <v>1112</v>
      </c>
      <c r="G237" s="1190" t="s">
        <v>1065</v>
      </c>
      <c r="H237" s="653"/>
      <c r="I237" s="672"/>
      <c r="J237" s="653"/>
      <c r="K237" s="672"/>
      <c r="L237" s="655" t="str">
        <f t="shared" si="171"/>
        <v>5701</v>
      </c>
      <c r="M237" s="656" t="str">
        <f t="shared" si="172"/>
        <v>VW P&amp;A - BR - CLIENT - MCI</v>
      </c>
      <c r="N237" s="657">
        <f>+IF(OR($Q237=Parametres!$G$2,$Q237=Parametres!$G$3),I237,C237)</f>
        <v>120928.48</v>
      </c>
      <c r="O237" s="661">
        <f>+IF(OR($Q237=Parametres!$G$2,$Q237=Parametres!$G$3),J237,D237)</f>
        <v>54717.11</v>
      </c>
      <c r="P237" s="657">
        <f>+IF(OR($Q237=Parametres!$G$2,$Q237=Parametres!$G$3),K237,E237)</f>
        <v>175645.59</v>
      </c>
      <c r="Q237" s="656" t="str">
        <f t="shared" si="173"/>
        <v>6-Coût des ventes</v>
      </c>
      <c r="R237" s="655" t="str">
        <f t="shared" si="174"/>
        <v>4701</v>
      </c>
      <c r="S237" s="656">
        <f t="shared" si="175"/>
        <v>0</v>
      </c>
      <c r="T237" s="658" t="str">
        <f>+VLOOKUP($L237,Data_Validation!$A:$D,1,0)</f>
        <v>5701</v>
      </c>
      <c r="U237" s="658" t="str">
        <f>+VLOOKUP($L237,Data_Validation!$A:$D,3,0)</f>
        <v>Pièces</v>
      </c>
      <c r="V237" s="658" t="str">
        <f>+VLOOKUP($L237,Data_Validation!$A:$D,4,0)</f>
        <v>Pièces Ro Clients</v>
      </c>
      <c r="W237" s="658" t="str">
        <f>+VLOOKUP($L237,Data_Validation!$A:$E,5,0)</f>
        <v>$</v>
      </c>
      <c r="X237" s="658">
        <f>+VLOOKUP($L237,Data_Validation!$A:$F,6,0)</f>
        <v>0</v>
      </c>
    </row>
    <row r="238" spans="1:24" ht="15.75" customHeight="1">
      <c r="A238" s="1190" t="s">
        <v>1140</v>
      </c>
      <c r="B238" s="1190" t="s">
        <v>2198</v>
      </c>
      <c r="C238" s="1192">
        <v>1415.82</v>
      </c>
      <c r="D238" s="1192">
        <v>1267.97</v>
      </c>
      <c r="E238" s="1192">
        <v>2683.79</v>
      </c>
      <c r="F238" s="1190" t="s">
        <v>1112</v>
      </c>
      <c r="G238" s="1190" t="s">
        <v>1069</v>
      </c>
      <c r="H238" s="653"/>
      <c r="I238" s="672"/>
      <c r="J238" s="672"/>
      <c r="K238" s="672"/>
      <c r="L238" s="655" t="str">
        <f t="shared" si="171"/>
        <v>5702</v>
      </c>
      <c r="M238" s="656" t="str">
        <f t="shared" si="172"/>
        <v>C/V - SHOP SUPPLY VW</v>
      </c>
      <c r="N238" s="657">
        <f>+IF(OR($Q238=Parametres!$G$2,$Q238=Parametres!$G$3),I238,C238)</f>
        <v>1415.82</v>
      </c>
      <c r="O238" s="661">
        <f>+IF(OR($Q238=Parametres!$G$2,$Q238=Parametres!$G$3),J238,D238)</f>
        <v>1267.97</v>
      </c>
      <c r="P238" s="657">
        <f>+IF(OR($Q238=Parametres!$G$2,$Q238=Parametres!$G$3),K238,E238)</f>
        <v>2683.79</v>
      </c>
      <c r="Q238" s="656" t="str">
        <f t="shared" si="173"/>
        <v>6-Coût des ventes</v>
      </c>
      <c r="R238" s="655" t="str">
        <f t="shared" si="174"/>
        <v>4702</v>
      </c>
      <c r="S238" s="656">
        <f t="shared" si="175"/>
        <v>0</v>
      </c>
      <c r="T238" s="658" t="str">
        <f>+VLOOKUP($L238,Data_Validation!$A:$D,1,0)</f>
        <v>5702</v>
      </c>
      <c r="U238" s="658" t="str">
        <f>+VLOOKUP($L238,Data_Validation!$A:$D,3,0)</f>
        <v>Service</v>
      </c>
      <c r="V238" s="658" t="str">
        <f>+VLOOKUP($L238,Data_Validation!$A:$D,4,0)</f>
        <v>M/O Client</v>
      </c>
      <c r="W238" s="658" t="str">
        <f>+VLOOKUP($L238,Data_Validation!$A:$E,5,0)</f>
        <v>$</v>
      </c>
      <c r="X238" s="658">
        <f>+VLOOKUP($L238,Data_Validation!$A:$F,6,0)</f>
        <v>0</v>
      </c>
    </row>
    <row r="239" spans="1:24" ht="15" customHeight="1">
      <c r="A239" s="1190" t="s">
        <v>3679</v>
      </c>
      <c r="B239" s="1190" t="s">
        <v>2201</v>
      </c>
      <c r="C239" s="1192">
        <v>67542.13</v>
      </c>
      <c r="D239" s="1192">
        <v>23008.53</v>
      </c>
      <c r="E239" s="1192">
        <v>90550.66</v>
      </c>
      <c r="F239" s="1190" t="s">
        <v>1112</v>
      </c>
      <c r="G239" s="1190" t="s">
        <v>1071</v>
      </c>
      <c r="H239" s="653"/>
      <c r="I239" s="654"/>
      <c r="J239" s="654"/>
      <c r="K239" s="654"/>
      <c r="L239" s="655" t="str">
        <f t="shared" si="171"/>
        <v>5703</v>
      </c>
      <c r="M239" s="656" t="str">
        <f t="shared" si="172"/>
        <v>VW P&amp;A - BR - GARANTIE - MCI</v>
      </c>
      <c r="N239" s="657">
        <f>+IF(OR($Q239=Parametres!$G$2,$Q239=Parametres!$G$3),I239,C239)</f>
        <v>67542.13</v>
      </c>
      <c r="O239" s="657">
        <f>+IF(OR($Q239=Parametres!$G$2,$Q239=Parametres!$G$3),J239,D239)</f>
        <v>23008.53</v>
      </c>
      <c r="P239" s="657">
        <f>+IF(OR($Q239=Parametres!$G$2,$Q239=Parametres!$G$3),K239,E239)</f>
        <v>90550.66</v>
      </c>
      <c r="Q239" s="656" t="str">
        <f t="shared" si="173"/>
        <v>6-Coût des ventes</v>
      </c>
      <c r="R239" s="655" t="str">
        <f t="shared" si="174"/>
        <v>4703</v>
      </c>
      <c r="S239" s="656">
        <f t="shared" si="175"/>
        <v>0</v>
      </c>
      <c r="T239" s="658" t="str">
        <f>+VLOOKUP($L239,Data_Validation!$A:$D,1,0)</f>
        <v>5703</v>
      </c>
      <c r="U239" s="658" t="str">
        <f>+VLOOKUP($L239,Data_Validation!$A:$D,3,0)</f>
        <v>Pièces</v>
      </c>
      <c r="V239" s="658" t="str">
        <f>+VLOOKUP($L239,Data_Validation!$A:$D,4,0)</f>
        <v>P/A Garantie</v>
      </c>
      <c r="W239" s="658" t="str">
        <f>+VLOOKUP($L239,Data_Validation!$A:$E,5,0)</f>
        <v>$</v>
      </c>
      <c r="X239" s="658">
        <f>+VLOOKUP($L239,Data_Validation!$A:$F,6,0)</f>
        <v>0</v>
      </c>
    </row>
    <row r="240" spans="1:24" ht="15" customHeight="1">
      <c r="A240" s="1190" t="s">
        <v>3922</v>
      </c>
      <c r="B240" s="1190" t="s">
        <v>3422</v>
      </c>
      <c r="C240" s="1192">
        <v>10.119999999999999</v>
      </c>
      <c r="D240" s="1192">
        <v>0</v>
      </c>
      <c r="E240" s="1192">
        <v>10.119999999999999</v>
      </c>
      <c r="F240" s="1190" t="s">
        <v>1112</v>
      </c>
      <c r="G240" s="1190" t="s">
        <v>3421</v>
      </c>
      <c r="H240" s="653"/>
      <c r="I240" s="669"/>
      <c r="J240" s="669"/>
      <c r="K240" s="669"/>
      <c r="L240" s="655" t="str">
        <f t="shared" si="171"/>
        <v>5704</v>
      </c>
      <c r="M240" s="656" t="str">
        <f t="shared" si="172"/>
        <v>VW P&amp;A SVC BR - SVC RAPIDE - CLIENT - MCI</v>
      </c>
      <c r="N240" s="657">
        <f>+IF(OR($Q240=Parametres!$G$2,$Q240=Parametres!$G$3),I240,C240)</f>
        <v>10.119999999999999</v>
      </c>
      <c r="O240" s="657">
        <f>+IF(OR($Q240=Parametres!$G$2,$Q240=Parametres!$G$3),J240,D240)</f>
        <v>0</v>
      </c>
      <c r="P240" s="657">
        <f>+IF(OR($Q240=Parametres!$G$2,$Q240=Parametres!$G$3),K240,E240)</f>
        <v>10.119999999999999</v>
      </c>
      <c r="Q240" s="656" t="str">
        <f t="shared" si="173"/>
        <v>6-Coût des ventes</v>
      </c>
      <c r="R240" s="655" t="str">
        <f t="shared" si="174"/>
        <v>4704</v>
      </c>
      <c r="S240" s="656">
        <f t="shared" si="175"/>
        <v>0</v>
      </c>
      <c r="T240" s="658" t="str">
        <f>+VLOOKUP($L240,Data_Validation!$A:$D,1,0)</f>
        <v>5704</v>
      </c>
      <c r="U240" s="658" t="str">
        <f>+VLOOKUP($L240,Data_Validation!$A:$D,3,0)</f>
        <v>Service</v>
      </c>
      <c r="V240" s="658" t="str">
        <f>+VLOOKUP($L240,Data_Validation!$A:$D,4,0)</f>
        <v>M/O Interne</v>
      </c>
      <c r="W240" s="658" t="str">
        <f>+VLOOKUP($L240,Data_Validation!$A:$E,5,0)</f>
        <v>$</v>
      </c>
      <c r="X240" s="658">
        <f>+VLOOKUP($L240,Data_Validation!$A:$F,6,0)</f>
        <v>0</v>
      </c>
    </row>
    <row r="241" spans="1:24" ht="15" customHeight="1">
      <c r="A241" s="1190" t="s">
        <v>3680</v>
      </c>
      <c r="B241" s="1190" t="s">
        <v>2204</v>
      </c>
      <c r="C241" s="1192">
        <v>121433.7</v>
      </c>
      <c r="D241" s="1192">
        <v>30334.69</v>
      </c>
      <c r="E241" s="1192">
        <v>151768.39000000001</v>
      </c>
      <c r="F241" s="1190" t="s">
        <v>1112</v>
      </c>
      <c r="G241" s="1190" t="s">
        <v>1075</v>
      </c>
      <c r="H241" s="653"/>
      <c r="I241" s="668"/>
      <c r="J241" s="668"/>
      <c r="K241" s="668"/>
      <c r="L241" s="655" t="str">
        <f t="shared" si="171"/>
        <v>5705</v>
      </c>
      <c r="M241" s="656" t="str">
        <f t="shared" si="172"/>
        <v>VW P&amp;A - BR - INTERNE - MCI</v>
      </c>
      <c r="N241" s="657">
        <f>+IF(OR($Q241=Parametres!$G$2,$Q241=Parametres!$G$3),I241,C241)</f>
        <v>121433.7</v>
      </c>
      <c r="O241" s="657">
        <f>+IF(OR($Q241=Parametres!$G$2,$Q241=Parametres!$G$3),J241,D241)</f>
        <v>30334.69</v>
      </c>
      <c r="P241" s="657">
        <f>+IF(OR($Q241=Parametres!$G$2,$Q241=Parametres!$G$3),K241,E241)</f>
        <v>151768.39000000001</v>
      </c>
      <c r="Q241" s="656" t="str">
        <f t="shared" si="173"/>
        <v>6-Coût des ventes</v>
      </c>
      <c r="R241" s="655" t="str">
        <f t="shared" si="174"/>
        <v>4705</v>
      </c>
      <c r="S241" s="656">
        <f t="shared" si="175"/>
        <v>0</v>
      </c>
      <c r="T241" s="658" t="str">
        <f>+VLOOKUP($L241,Data_Validation!$A:$D,1,0)</f>
        <v>5705</v>
      </c>
      <c r="U241" s="658" t="str">
        <f>+VLOOKUP($L241,Data_Validation!$A:$D,3,0)</f>
        <v>Pièces</v>
      </c>
      <c r="V241" s="658" t="str">
        <f>+VLOOKUP($L241,Data_Validation!$A:$D,4,0)</f>
        <v>Ventes Internes</v>
      </c>
      <c r="W241" s="658" t="str">
        <f>+VLOOKUP($L241,Data_Validation!$A:$E,5,0)</f>
        <v>$</v>
      </c>
      <c r="X241" s="658">
        <f>+VLOOKUP($L241,Data_Validation!$A:$F,6,0)</f>
        <v>0</v>
      </c>
    </row>
    <row r="242" spans="1:24" ht="15" customHeight="1">
      <c r="A242" s="1190" t="s">
        <v>3681</v>
      </c>
      <c r="B242" s="1190" t="s">
        <v>2207</v>
      </c>
      <c r="C242" s="1192">
        <v>186.11</v>
      </c>
      <c r="D242" s="1192">
        <v>60.72</v>
      </c>
      <c r="E242" s="1192">
        <v>246.83</v>
      </c>
      <c r="F242" s="1190" t="s">
        <v>1112</v>
      </c>
      <c r="G242" s="1190" t="s">
        <v>1078</v>
      </c>
      <c r="H242" s="653"/>
      <c r="I242" s="668"/>
      <c r="J242" s="668"/>
      <c r="K242" s="668"/>
      <c r="L242" s="655" t="str">
        <f t="shared" si="171"/>
        <v>5706</v>
      </c>
      <c r="M242" s="656" t="str">
        <f t="shared" si="172"/>
        <v>VW P&amp;A - BR - CLIENT - VEB</v>
      </c>
      <c r="N242" s="657">
        <f>+IF(OR($Q242=Parametres!$G$2,$Q242=Parametres!$G$3),I242,C242)</f>
        <v>186.11</v>
      </c>
      <c r="O242" s="657">
        <f>+IF(OR($Q242=Parametres!$G$2,$Q242=Parametres!$G$3),J242,D242)</f>
        <v>60.72</v>
      </c>
      <c r="P242" s="657">
        <f>+IF(OR($Q242=Parametres!$G$2,$Q242=Parametres!$G$3),K242,E242)</f>
        <v>246.83</v>
      </c>
      <c r="Q242" s="656" t="str">
        <f t="shared" si="173"/>
        <v>6-Coût des ventes</v>
      </c>
      <c r="R242" s="655" t="str">
        <f t="shared" si="174"/>
        <v>4706</v>
      </c>
      <c r="S242" s="656">
        <f t="shared" si="175"/>
        <v>0</v>
      </c>
      <c r="T242" s="658" t="str">
        <f>+VLOOKUP($L242,Data_Validation!$A:$D,1,0)</f>
        <v>5706</v>
      </c>
      <c r="U242" s="658" t="str">
        <f>+VLOOKUP($L242,Data_Validation!$A:$D,3,0)</f>
        <v>Service</v>
      </c>
      <c r="V242" s="658" t="str">
        <f>+VLOOKUP($L242,Data_Validation!$A:$D,4,0)</f>
        <v>M/O Interne</v>
      </c>
      <c r="W242" s="658" t="str">
        <f>+VLOOKUP($L242,Data_Validation!$A:$E,5,0)</f>
        <v>$</v>
      </c>
      <c r="X242" s="658">
        <f>+VLOOKUP($L242,Data_Validation!$A:$F,6,0)</f>
        <v>0</v>
      </c>
    </row>
    <row r="243" spans="1:24" ht="15.75" customHeight="1">
      <c r="A243" s="1190" t="s">
        <v>1143</v>
      </c>
      <c r="B243" s="1190" t="s">
        <v>2210</v>
      </c>
      <c r="C243" s="1192">
        <v>3235.67</v>
      </c>
      <c r="D243" s="1192">
        <v>2689.85</v>
      </c>
      <c r="E243" s="1192">
        <v>5925.52</v>
      </c>
      <c r="F243" s="1190" t="s">
        <v>1112</v>
      </c>
      <c r="G243" s="1190" t="s">
        <v>1144</v>
      </c>
      <c r="H243" s="653"/>
      <c r="I243" s="669"/>
      <c r="J243" s="669"/>
      <c r="K243" s="669"/>
      <c r="L243" s="655" t="str">
        <f t="shared" si="171"/>
        <v>5711</v>
      </c>
      <c r="M243" s="656" t="str">
        <f t="shared" si="172"/>
        <v>C/V - AUTRE PIECE/ACC/CARR B.R. CLIENT</v>
      </c>
      <c r="N243" s="657">
        <f>+IF(OR($Q243=Parametres!$G$2,$Q243=Parametres!$G$3),I243,C243)</f>
        <v>3235.67</v>
      </c>
      <c r="O243" s="661">
        <f>+IF(OR($Q243=Parametres!$G$2,$Q243=Parametres!$G$3),J243,D243)</f>
        <v>2689.85</v>
      </c>
      <c r="P243" s="657">
        <f>+IF(OR($Q243=Parametres!$G$2,$Q243=Parametres!$G$3),K243,E243)</f>
        <v>5925.52</v>
      </c>
      <c r="Q243" s="656" t="str">
        <f t="shared" si="173"/>
        <v>6-Coût des ventes</v>
      </c>
      <c r="R243" s="655" t="str">
        <f t="shared" si="174"/>
        <v>4711</v>
      </c>
      <c r="S243" s="656">
        <f t="shared" si="175"/>
        <v>0</v>
      </c>
      <c r="T243" s="658" t="str">
        <f>+VLOOKUP($L243,Data_Validation!$A:$D,1,0)</f>
        <v>5711</v>
      </c>
      <c r="U243" s="658" t="str">
        <f>+VLOOKUP($L243,Data_Validation!$A:$D,3,0)</f>
        <v>Pièces</v>
      </c>
      <c r="V243" s="658" t="str">
        <f>+VLOOKUP($L243,Data_Validation!$A:$D,4,0)</f>
        <v>Pièces Ro Clients</v>
      </c>
      <c r="W243" s="658" t="str">
        <f>+VLOOKUP($L243,Data_Validation!$A:$E,5,0)</f>
        <v>$</v>
      </c>
      <c r="X243" s="658">
        <f>+VLOOKUP($L243,Data_Validation!$A:$F,6,0)</f>
        <v>0</v>
      </c>
    </row>
    <row r="244" spans="1:24" ht="15" customHeight="1">
      <c r="A244" s="1190" t="s">
        <v>3682</v>
      </c>
      <c r="B244" s="1190" t="s">
        <v>2216</v>
      </c>
      <c r="C244" s="1192">
        <v>13642.93</v>
      </c>
      <c r="D244" s="1192">
        <v>1887.44</v>
      </c>
      <c r="E244" s="1192">
        <v>15530.37</v>
      </c>
      <c r="F244" s="1190" t="s">
        <v>1112</v>
      </c>
      <c r="G244" s="1190" t="s">
        <v>1088</v>
      </c>
      <c r="H244" s="653"/>
      <c r="I244" s="668"/>
      <c r="J244" s="668"/>
      <c r="K244" s="668"/>
      <c r="L244" s="655" t="str">
        <f t="shared" ref="L244:L307" si="176">TEXT(B244,0)</f>
        <v>5731</v>
      </c>
      <c r="M244" s="656" t="str">
        <f t="shared" ref="M244:M307" si="177">+A244</f>
        <v>VW-P&amp;A-P&amp;BRO-CLIENT - MCI</v>
      </c>
      <c r="N244" s="657">
        <f>+IF(OR($Q244=Parametres!$G$2,$Q244=Parametres!$G$3),I244,C244)</f>
        <v>13642.93</v>
      </c>
      <c r="O244" s="657">
        <f>+IF(OR($Q244=Parametres!$G$2,$Q244=Parametres!$G$3),J244,D244)</f>
        <v>1887.44</v>
      </c>
      <c r="P244" s="657">
        <f>+IF(OR($Q244=Parametres!$G$2,$Q244=Parametres!$G$3),K244,E244)</f>
        <v>15530.37</v>
      </c>
      <c r="Q244" s="656" t="str">
        <f t="shared" ref="Q244:Q307" si="178">+F244</f>
        <v>6-Coût des ventes</v>
      </c>
      <c r="R244" s="655" t="str">
        <f t="shared" ref="R244:R307" si="179">+G244</f>
        <v>4731</v>
      </c>
      <c r="S244" s="656">
        <f t="shared" ref="S244:S307" si="180">+H244</f>
        <v>0</v>
      </c>
      <c r="T244" s="673" t="str">
        <f>+VLOOKUP($L244,Data_Validation!$A:$D,1,0)</f>
        <v>5731</v>
      </c>
      <c r="U244" s="658" t="str">
        <f>+VLOOKUP($L244,Data_Validation!$A:$D,3,0)</f>
        <v>Pièces</v>
      </c>
      <c r="V244" s="658" t="str">
        <f>+VLOOKUP($L244,Data_Validation!$A:$D,4,0)</f>
        <v>Pièces Ro Carrosserie</v>
      </c>
      <c r="W244" s="658" t="str">
        <f>+VLOOKUP($L244,Data_Validation!$A:$E,5,0)</f>
        <v>$</v>
      </c>
      <c r="X244" s="658">
        <f>+VLOOKUP($L244,Data_Validation!$A:$F,6,0)</f>
        <v>0</v>
      </c>
    </row>
    <row r="245" spans="1:24" ht="15" customHeight="1">
      <c r="A245" s="1190" t="s">
        <v>3683</v>
      </c>
      <c r="B245" s="1190" t="s">
        <v>2219</v>
      </c>
      <c r="C245" s="1192">
        <v>75864.88</v>
      </c>
      <c r="D245" s="1192">
        <v>28220.22</v>
      </c>
      <c r="E245" s="1192">
        <v>104085.1</v>
      </c>
      <c r="F245" s="1190" t="s">
        <v>1112</v>
      </c>
      <c r="G245" s="1190" t="s">
        <v>1092</v>
      </c>
      <c r="H245" s="653"/>
      <c r="I245" s="669"/>
      <c r="J245" s="669"/>
      <c r="K245" s="669"/>
      <c r="L245" s="655" t="str">
        <f t="shared" si="176"/>
        <v>5733</v>
      </c>
      <c r="M245" s="656" t="str">
        <f t="shared" si="177"/>
        <v>VW-P&amp;A-P&amp;BRO-GARANTIE - MCI</v>
      </c>
      <c r="N245" s="657">
        <f>+IF(OR($Q245=Parametres!$G$2,$Q245=Parametres!$G$3),I245,C245)</f>
        <v>75864.88</v>
      </c>
      <c r="O245" s="657">
        <f>+IF(OR($Q245=Parametres!$G$2,$Q245=Parametres!$G$3),J245,D245)</f>
        <v>28220.22</v>
      </c>
      <c r="P245" s="657">
        <f>+IF(OR($Q245=Parametres!$G$2,$Q245=Parametres!$G$3),K245,E245)</f>
        <v>104085.1</v>
      </c>
      <c r="Q245" s="656" t="str">
        <f t="shared" si="178"/>
        <v>6-Coût des ventes</v>
      </c>
      <c r="R245" s="655" t="str">
        <f t="shared" si="179"/>
        <v>4733</v>
      </c>
      <c r="S245" s="656">
        <f t="shared" si="180"/>
        <v>0</v>
      </c>
      <c r="T245" s="658" t="str">
        <f>+VLOOKUP($L245,Data_Validation!$A:$D,1,0)</f>
        <v>5733</v>
      </c>
      <c r="U245" s="658" t="str">
        <f>+VLOOKUP($L245,Data_Validation!$A:$D,3,0)</f>
        <v>Pièces</v>
      </c>
      <c r="V245" s="658" t="str">
        <f>+VLOOKUP($L245,Data_Validation!$A:$D,4,0)</f>
        <v>Pièces Ro Carrosserie</v>
      </c>
      <c r="W245" s="658" t="str">
        <f>+VLOOKUP($L245,Data_Validation!$A:$E,5,0)</f>
        <v>$</v>
      </c>
      <c r="X245" s="658">
        <f>+VLOOKUP($L245,Data_Validation!$A:$F,6,0)</f>
        <v>0</v>
      </c>
    </row>
    <row r="246" spans="1:24" ht="15" customHeight="1">
      <c r="A246" s="1190" t="s">
        <v>3684</v>
      </c>
      <c r="B246" s="1190" t="s">
        <v>2222</v>
      </c>
      <c r="C246" s="1192">
        <v>3504.14</v>
      </c>
      <c r="D246" s="1192">
        <v>69.47</v>
      </c>
      <c r="E246" s="1192">
        <v>3573.61</v>
      </c>
      <c r="F246" s="1190" t="s">
        <v>1112</v>
      </c>
      <c r="G246" s="1190" t="s">
        <v>1096</v>
      </c>
      <c r="H246" s="653"/>
      <c r="I246" s="668"/>
      <c r="J246" s="668"/>
      <c r="K246" s="668"/>
      <c r="L246" s="655" t="str">
        <f t="shared" si="176"/>
        <v>5735</v>
      </c>
      <c r="M246" s="656" t="str">
        <f t="shared" si="177"/>
        <v>VW-P&amp;A-P&amp;BRO-INTERNE - MCI</v>
      </c>
      <c r="N246" s="657">
        <f>+IF(OR($Q246=Parametres!$G$2,$Q246=Parametres!$G$3),I246,C246)</f>
        <v>3504.14</v>
      </c>
      <c r="O246" s="657">
        <f>+IF(OR($Q246=Parametres!$G$2,$Q246=Parametres!$G$3),J246,D246)</f>
        <v>69.47</v>
      </c>
      <c r="P246" s="657">
        <f>+IF(OR($Q246=Parametres!$G$2,$Q246=Parametres!$G$3),K246,E246)</f>
        <v>3573.61</v>
      </c>
      <c r="Q246" s="656" t="str">
        <f t="shared" si="178"/>
        <v>6-Coût des ventes</v>
      </c>
      <c r="R246" s="655" t="str">
        <f t="shared" si="179"/>
        <v>4735</v>
      </c>
      <c r="S246" s="656">
        <f t="shared" si="180"/>
        <v>0</v>
      </c>
      <c r="T246" s="658" t="str">
        <f>+VLOOKUP($L246,Data_Validation!$A:$D,1,0)</f>
        <v>5735</v>
      </c>
      <c r="U246" s="658" t="str">
        <f>+VLOOKUP($L246,Data_Validation!$A:$D,3,0)</f>
        <v>Pièces</v>
      </c>
      <c r="V246" s="658" t="str">
        <f>+VLOOKUP($L246,Data_Validation!$A:$D,4,0)</f>
        <v>Pièces Ro Carrosserie</v>
      </c>
      <c r="W246" s="658" t="str">
        <f>+VLOOKUP($L246,Data_Validation!$A:$E,5,0)</f>
        <v>$</v>
      </c>
      <c r="X246" s="658">
        <f>+VLOOKUP($L246,Data_Validation!$A:$F,6,0)</f>
        <v>0</v>
      </c>
    </row>
    <row r="247" spans="1:24" ht="15.75" customHeight="1">
      <c r="A247" s="1190" t="s">
        <v>1149</v>
      </c>
      <c r="B247" s="1190" t="s">
        <v>2225</v>
      </c>
      <c r="C247" s="1192">
        <v>30415.16</v>
      </c>
      <c r="D247" s="1192">
        <v>14909.08</v>
      </c>
      <c r="E247" s="1192">
        <v>45324.24</v>
      </c>
      <c r="F247" s="1190" t="s">
        <v>1112</v>
      </c>
      <c r="G247" s="1190" t="s">
        <v>1100</v>
      </c>
      <c r="H247" s="653"/>
      <c r="I247" s="669"/>
      <c r="J247" s="669"/>
      <c r="K247" s="669"/>
      <c r="L247" s="655" t="str">
        <f t="shared" si="176"/>
        <v>5761</v>
      </c>
      <c r="M247" s="656" t="str">
        <f t="shared" si="177"/>
        <v>C/V - P&amp;A VW COMPTOIR - DETAIL</v>
      </c>
      <c r="N247" s="657">
        <f>+IF(OR($Q247=Parametres!$G$2,$Q247=Parametres!$G$3),I247,C247)</f>
        <v>30415.16</v>
      </c>
      <c r="O247" s="657">
        <f>+IF(OR($Q247=Parametres!$G$2,$Q247=Parametres!$G$3),J247,D247)</f>
        <v>14909.08</v>
      </c>
      <c r="P247" s="657">
        <f>+IF(OR($Q247=Parametres!$G$2,$Q247=Parametres!$G$3),K247,E247)</f>
        <v>45324.24</v>
      </c>
      <c r="Q247" s="656" t="str">
        <f t="shared" si="178"/>
        <v>6-Coût des ventes</v>
      </c>
      <c r="R247" s="655" t="str">
        <f t="shared" si="179"/>
        <v>4761</v>
      </c>
      <c r="S247" s="656">
        <f t="shared" si="180"/>
        <v>0</v>
      </c>
      <c r="T247" s="658" t="str">
        <f>+VLOOKUP($L247,Data_Validation!$A:$D,1,0)</f>
        <v>5761</v>
      </c>
      <c r="U247" s="658" t="str">
        <f>+VLOOKUP($L247,Data_Validation!$A:$D,3,0)</f>
        <v>Pièces</v>
      </c>
      <c r="V247" s="658" t="str">
        <f>+VLOOKUP($L247,Data_Validation!$A:$D,4,0)</f>
        <v>Ventes Détails</v>
      </c>
      <c r="W247" s="658" t="str">
        <f>+VLOOKUP($L247,Data_Validation!$A:$E,5,0)</f>
        <v>$</v>
      </c>
      <c r="X247" s="658">
        <f>+VLOOKUP($L247,Data_Validation!$A:$F,6,0)</f>
        <v>0</v>
      </c>
    </row>
    <row r="248" spans="1:24" ht="15" customHeight="1">
      <c r="A248" s="1190" t="s">
        <v>1150</v>
      </c>
      <c r="B248" s="1190" t="s">
        <v>2228</v>
      </c>
      <c r="C248" s="1192">
        <v>357304.99</v>
      </c>
      <c r="D248" s="1192">
        <v>141859.39000000001</v>
      </c>
      <c r="E248" s="1192">
        <v>499164.38</v>
      </c>
      <c r="F248" s="1190" t="s">
        <v>1112</v>
      </c>
      <c r="G248" s="1190" t="s">
        <v>1104</v>
      </c>
      <c r="H248" s="653"/>
      <c r="I248" s="668"/>
      <c r="J248" s="668"/>
      <c r="K248" s="668"/>
      <c r="L248" s="655" t="str">
        <f t="shared" si="176"/>
        <v>5763</v>
      </c>
      <c r="M248" s="656" t="str">
        <f t="shared" si="177"/>
        <v>C/V - P&amp;A VW COMPTOIR GROS - ECHANGE</v>
      </c>
      <c r="N248" s="657">
        <f>+IF(OR($Q248=Parametres!$G$2,$Q248=Parametres!$G$3),I248,C248)</f>
        <v>357304.99</v>
      </c>
      <c r="O248" s="657">
        <f>+IF(OR($Q248=Parametres!$G$2,$Q248=Parametres!$G$3),J248,D248)</f>
        <v>141859.39000000001</v>
      </c>
      <c r="P248" s="657">
        <f>+IF(OR($Q248=Parametres!$G$2,$Q248=Parametres!$G$3),K248,E248)</f>
        <v>499164.38</v>
      </c>
      <c r="Q248" s="656" t="str">
        <f t="shared" si="178"/>
        <v>6-Coût des ventes</v>
      </c>
      <c r="R248" s="655" t="str">
        <f t="shared" si="179"/>
        <v>4763</v>
      </c>
      <c r="S248" s="656">
        <f t="shared" si="180"/>
        <v>0</v>
      </c>
      <c r="T248" s="658" t="str">
        <f>+VLOOKUP($L248,Data_Validation!$A:$D,1,0)</f>
        <v>5763</v>
      </c>
      <c r="U248" s="658" t="str">
        <f>+VLOOKUP($L248,Data_Validation!$A:$D,3,0)</f>
        <v>Pièces</v>
      </c>
      <c r="V248" s="658" t="str">
        <f>+VLOOKUP($L248,Data_Validation!$A:$D,4,0)</f>
        <v>Ventes de Gros</v>
      </c>
      <c r="W248" s="658" t="str">
        <f>+VLOOKUP($L248,Data_Validation!$A:$E,5,0)</f>
        <v>$</v>
      </c>
      <c r="X248" s="658">
        <f>+VLOOKUP($L248,Data_Validation!$A:$F,6,0)</f>
        <v>0</v>
      </c>
    </row>
    <row r="249" spans="1:24" ht="15" customHeight="1">
      <c r="A249" s="1190" t="s">
        <v>3687</v>
      </c>
      <c r="B249" s="1190" t="s">
        <v>3688</v>
      </c>
      <c r="C249" s="1192">
        <v>13675.1</v>
      </c>
      <c r="D249" s="1192">
        <v>4602.76</v>
      </c>
      <c r="E249" s="1192">
        <v>18277.86</v>
      </c>
      <c r="F249" s="1190" t="s">
        <v>1112</v>
      </c>
      <c r="G249" s="1190" t="s">
        <v>3689</v>
      </c>
      <c r="H249" s="653"/>
      <c r="I249" s="669"/>
      <c r="J249" s="669"/>
      <c r="K249" s="669"/>
      <c r="L249" s="655" t="str">
        <f t="shared" si="176"/>
        <v>5773</v>
      </c>
      <c r="M249" s="656" t="str">
        <f t="shared" si="177"/>
        <v>C/V - P&amp;A - COMPTOIR - ENGROS - AUDI</v>
      </c>
      <c r="N249" s="657">
        <f>+IF(OR($Q249=Parametres!$G$2,$Q249=Parametres!$G$3),I249,C249)</f>
        <v>13675.1</v>
      </c>
      <c r="O249" s="657">
        <f>+IF(OR($Q249=Parametres!$G$2,$Q249=Parametres!$G$3),J249,D249)</f>
        <v>4602.76</v>
      </c>
      <c r="P249" s="657">
        <f>+IF(OR($Q249=Parametres!$G$2,$Q249=Parametres!$G$3),K249,E249)</f>
        <v>18277.86</v>
      </c>
      <c r="Q249" s="656" t="str">
        <f t="shared" si="178"/>
        <v>6-Coût des ventes</v>
      </c>
      <c r="R249" s="655" t="str">
        <f t="shared" si="179"/>
        <v>4773</v>
      </c>
      <c r="S249" s="656">
        <f t="shared" si="180"/>
        <v>0</v>
      </c>
      <c r="T249" s="658" t="str">
        <f>+VLOOKUP($L249,Data_Validation!$A:$D,1,0)</f>
        <v>5773</v>
      </c>
      <c r="U249" s="658" t="str">
        <f>+VLOOKUP($L249,Data_Validation!$A:$D,3,0)</f>
        <v>Pièces</v>
      </c>
      <c r="V249" s="658" t="str">
        <f>+VLOOKUP($L249,Data_Validation!$A:$D,4,0)</f>
        <v>Ventes de Gros</v>
      </c>
      <c r="W249" s="658" t="str">
        <f>+VLOOKUP($L249,Data_Validation!$A:$E,5,0)</f>
        <v>$</v>
      </c>
      <c r="X249" s="658">
        <f>+VLOOKUP($L249,Data_Validation!$A:$F,6,0)</f>
        <v>0</v>
      </c>
    </row>
    <row r="250" spans="1:24" ht="15" customHeight="1">
      <c r="A250" s="1190" t="s">
        <v>1151</v>
      </c>
      <c r="B250" s="1190" t="s">
        <v>2231</v>
      </c>
      <c r="C250" s="1192">
        <v>113717.79</v>
      </c>
      <c r="D250" s="1192">
        <v>27260.54</v>
      </c>
      <c r="E250" s="1192">
        <v>140978.32999999999</v>
      </c>
      <c r="F250" s="1190" t="s">
        <v>1112</v>
      </c>
      <c r="G250" s="1190" t="s">
        <v>1108</v>
      </c>
      <c r="H250" s="653"/>
      <c r="I250" s="668"/>
      <c r="J250" s="668"/>
      <c r="K250" s="668"/>
      <c r="L250" s="655" t="str">
        <f t="shared" si="176"/>
        <v>5781</v>
      </c>
      <c r="M250" s="656" t="str">
        <f t="shared" si="177"/>
        <v>COUT PNEUS</v>
      </c>
      <c r="N250" s="657">
        <f>+IF(OR($Q250=Parametres!$G$2,$Q250=Parametres!$G$3),I250,C250)</f>
        <v>113717.79</v>
      </c>
      <c r="O250" s="657">
        <f>+IF(OR($Q250=Parametres!$G$2,$Q250=Parametres!$G$3),J250,D250)</f>
        <v>27260.54</v>
      </c>
      <c r="P250" s="657">
        <f>+IF(OR($Q250=Parametres!$G$2,$Q250=Parametres!$G$3),K250,E250)</f>
        <v>140978.32999999999</v>
      </c>
      <c r="Q250" s="656" t="str">
        <f t="shared" si="178"/>
        <v>6-Coût des ventes</v>
      </c>
      <c r="R250" s="655" t="str">
        <f t="shared" si="179"/>
        <v>4781</v>
      </c>
      <c r="S250" s="656">
        <f t="shared" si="180"/>
        <v>0</v>
      </c>
      <c r="T250" s="658" t="str">
        <f>+VLOOKUP($L250,Data_Validation!$A:$D,1,0)</f>
        <v>5781</v>
      </c>
      <c r="U250" s="658" t="str">
        <f>+VLOOKUP($L250,Data_Validation!$A:$D,3,0)</f>
        <v>Pièces</v>
      </c>
      <c r="V250" s="658" t="str">
        <f>+VLOOKUP($L250,Data_Validation!$A:$D,4,0)</f>
        <v>Ventes Pneus</v>
      </c>
      <c r="W250" s="658" t="str">
        <f>+VLOOKUP($L250,Data_Validation!$A:$E,5,0)</f>
        <v>$</v>
      </c>
      <c r="X250" s="658">
        <f>+VLOOKUP($L250,Data_Validation!$A:$F,6,0)</f>
        <v>0</v>
      </c>
    </row>
    <row r="251" spans="1:24" ht="15" customHeight="1">
      <c r="A251" s="1190" t="s">
        <v>1152</v>
      </c>
      <c r="B251" s="1190" t="s">
        <v>2234</v>
      </c>
      <c r="C251" s="1192">
        <v>-5994.86</v>
      </c>
      <c r="D251" s="1192">
        <v>1237.56</v>
      </c>
      <c r="E251" s="1192">
        <v>-4757.3</v>
      </c>
      <c r="F251" s="1190" t="s">
        <v>1112</v>
      </c>
      <c r="G251" s="1190" t="s">
        <v>1108</v>
      </c>
      <c r="H251" s="653"/>
      <c r="I251" s="654"/>
      <c r="J251" s="654"/>
      <c r="K251" s="654"/>
      <c r="L251" s="655" t="str">
        <f t="shared" si="176"/>
        <v>5785</v>
      </c>
      <c r="M251" s="656" t="str">
        <f t="shared" si="177"/>
        <v>C/V - VW PNEUS</v>
      </c>
      <c r="N251" s="657">
        <f>+IF(OR($Q251=Parametres!$G$2,$Q251=Parametres!$G$3),I251,C251)</f>
        <v>-5994.86</v>
      </c>
      <c r="O251" s="657">
        <f>+IF(OR($Q251=Parametres!$G$2,$Q251=Parametres!$G$3),J251,D251)</f>
        <v>1237.56</v>
      </c>
      <c r="P251" s="657">
        <f>+IF(OR($Q251=Parametres!$G$2,$Q251=Parametres!$G$3),K251,E251)</f>
        <v>-4757.3</v>
      </c>
      <c r="Q251" s="656" t="str">
        <f t="shared" si="178"/>
        <v>6-Coût des ventes</v>
      </c>
      <c r="R251" s="655" t="str">
        <f t="shared" si="179"/>
        <v>4781</v>
      </c>
      <c r="S251" s="656">
        <f t="shared" si="180"/>
        <v>0</v>
      </c>
      <c r="T251" s="658" t="str">
        <f>+VLOOKUP($L251,Data_Validation!$A:$D,1,0)</f>
        <v>5785</v>
      </c>
      <c r="U251" s="658" t="str">
        <f>+VLOOKUP($L251,Data_Validation!$A:$D,3,0)</f>
        <v>Pièces</v>
      </c>
      <c r="V251" s="658" t="str">
        <f>+VLOOKUP($L251,Data_Validation!$A:$D,4,0)</f>
        <v>Ventes Pneus</v>
      </c>
      <c r="W251" s="658" t="str">
        <f>+VLOOKUP($L251,Data_Validation!$A:$E,5,0)</f>
        <v>$</v>
      </c>
      <c r="X251" s="658">
        <f>+VLOOKUP($L251,Data_Validation!$A:$F,6,0)</f>
        <v>0</v>
      </c>
    </row>
    <row r="252" spans="1:24" ht="15.75" customHeight="1">
      <c r="A252" s="1190" t="s">
        <v>1153</v>
      </c>
      <c r="B252" s="1190" t="s">
        <v>2239</v>
      </c>
      <c r="C252" s="1192">
        <v>-22411.85</v>
      </c>
      <c r="D252" s="1192">
        <v>-344.88</v>
      </c>
      <c r="E252" s="1192">
        <v>-22756.73</v>
      </c>
      <c r="F252" s="1190" t="s">
        <v>1112</v>
      </c>
      <c r="G252" s="1190" t="s">
        <v>1154</v>
      </c>
      <c r="H252" s="653"/>
      <c r="I252" s="672"/>
      <c r="J252" s="653"/>
      <c r="K252" s="672"/>
      <c r="L252" s="655" t="str">
        <f t="shared" si="176"/>
        <v>5796</v>
      </c>
      <c r="M252" s="656" t="str">
        <f t="shared" si="177"/>
        <v>C/V - BONI / ESCPTE PI VW</v>
      </c>
      <c r="N252" s="657">
        <f>+IF(OR($Q252=Parametres!$G$2,$Q252=Parametres!$G$3),I252,C252)</f>
        <v>-22411.85</v>
      </c>
      <c r="O252" s="657">
        <f>+IF(OR($Q252=Parametres!$G$2,$Q252=Parametres!$G$3),J252,D252)</f>
        <v>-344.88</v>
      </c>
      <c r="P252" s="657">
        <f>+IF(OR($Q252=Parametres!$G$2,$Q252=Parametres!$G$3),K252,E252)</f>
        <v>-22756.73</v>
      </c>
      <c r="Q252" s="656" t="str">
        <f t="shared" si="178"/>
        <v>6-Coût des ventes</v>
      </c>
      <c r="R252" s="655" t="str">
        <f t="shared" si="179"/>
        <v>5792</v>
      </c>
      <c r="S252" s="656">
        <f t="shared" si="180"/>
        <v>0</v>
      </c>
      <c r="T252" s="658" t="str">
        <f>+VLOOKUP($L252,Data_Validation!$A:$D,1,0)</f>
        <v>5796</v>
      </c>
      <c r="U252" s="658" t="str">
        <f>+VLOOKUP($L252,Data_Validation!$A:$D,3,0)</f>
        <v>Pièces</v>
      </c>
      <c r="V252" s="658" t="str">
        <f>+VLOOKUP($L252,Data_Validation!$A:$D,4,0)</f>
        <v>Escomptes</v>
      </c>
      <c r="W252" s="658" t="str">
        <f>+VLOOKUP($L252,Data_Validation!$A:$E,5,0)</f>
        <v>$</v>
      </c>
      <c r="X252" s="658">
        <f>+VLOOKUP($L252,Data_Validation!$A:$F,6,0)</f>
        <v>0</v>
      </c>
    </row>
    <row r="253" spans="1:24" ht="15" customHeight="1">
      <c r="A253" s="1190" t="s">
        <v>1155</v>
      </c>
      <c r="B253" s="1190" t="s">
        <v>1157</v>
      </c>
      <c r="C253" s="1192">
        <v>144262.53</v>
      </c>
      <c r="D253" s="1192">
        <v>48723.01</v>
      </c>
      <c r="E253" s="1192">
        <v>192985.54</v>
      </c>
      <c r="F253" s="1190" t="s">
        <v>1156</v>
      </c>
      <c r="G253" s="1190" t="s">
        <v>1157</v>
      </c>
      <c r="H253" s="653"/>
      <c r="I253" s="654"/>
      <c r="J253" s="654"/>
      <c r="K253" s="654"/>
      <c r="L253" s="655" t="str">
        <f t="shared" si="176"/>
        <v>6101</v>
      </c>
      <c r="M253" s="656" t="str">
        <f t="shared" si="177"/>
        <v>COMMISSION VENDEUR NEUFS</v>
      </c>
      <c r="N253" s="657">
        <f>+IF(OR($Q253=Parametres!$G$2,$Q253=Parametres!$G$3),I253,C253)</f>
        <v>144262.53</v>
      </c>
      <c r="O253" s="657">
        <f>+IF(OR($Q253=Parametres!$G$2,$Q253=Parametres!$G$3),J253,D253)</f>
        <v>48723.01</v>
      </c>
      <c r="P253" s="657">
        <f>+IF(OR($Q253=Parametres!$G$2,$Q253=Parametres!$G$3),K253,E253)</f>
        <v>192985.54</v>
      </c>
      <c r="Q253" s="656" t="str">
        <f t="shared" si="178"/>
        <v>7-Dépenses</v>
      </c>
      <c r="R253" s="655" t="str">
        <f t="shared" si="179"/>
        <v>6101</v>
      </c>
      <c r="S253" s="656">
        <f t="shared" si="180"/>
        <v>0</v>
      </c>
      <c r="T253" s="658" t="str">
        <f>+VLOOKUP($L253,Data_Validation!$A:$D,1,0)</f>
        <v>6101</v>
      </c>
      <c r="U253" s="658" t="str">
        <f>+VLOOKUP($L253,Data_Validation!$A:$D,3,0)</f>
        <v>Véhicules neufs</v>
      </c>
      <c r="V253" s="658" t="str">
        <f>+VLOOKUP($L253,Data_Validation!$A:$D,4,0)</f>
        <v>Comm. vendeurs</v>
      </c>
      <c r="W253" s="658" t="str">
        <f>+VLOOKUP($L253,Data_Validation!$A:$E,5,0)</f>
        <v>$</v>
      </c>
      <c r="X253" s="658">
        <f>+VLOOKUP($L253,Data_Validation!$A:$F,6,0)</f>
        <v>0</v>
      </c>
    </row>
    <row r="254" spans="1:24" ht="15" customHeight="1">
      <c r="A254" s="1190" t="s">
        <v>1158</v>
      </c>
      <c r="B254" s="1190" t="s">
        <v>1159</v>
      </c>
      <c r="C254" s="1192">
        <v>54848.78</v>
      </c>
      <c r="D254" s="1192">
        <v>17016.150000000001</v>
      </c>
      <c r="E254" s="1192">
        <v>71864.929999999993</v>
      </c>
      <c r="F254" s="1190" t="s">
        <v>1156</v>
      </c>
      <c r="G254" s="1190" t="s">
        <v>1159</v>
      </c>
      <c r="H254" s="653"/>
      <c r="I254" s="672"/>
      <c r="J254" s="653"/>
      <c r="K254" s="672"/>
      <c r="L254" s="655" t="str">
        <f t="shared" si="176"/>
        <v>6102</v>
      </c>
      <c r="M254" s="656" t="str">
        <f t="shared" si="177"/>
        <v>RENUMERATION F &amp; I</v>
      </c>
      <c r="N254" s="657">
        <f>+IF(OR($Q254=Parametres!$G$2,$Q254=Parametres!$G$3),I254,C254)</f>
        <v>54848.78</v>
      </c>
      <c r="O254" s="657">
        <f>+IF(OR($Q254=Parametres!$G$2,$Q254=Parametres!$G$3),J254,D254)</f>
        <v>17016.150000000001</v>
      </c>
      <c r="P254" s="657">
        <f>+IF(OR($Q254=Parametres!$G$2,$Q254=Parametres!$G$3),K254,E254)</f>
        <v>71864.929999999993</v>
      </c>
      <c r="Q254" s="656" t="str">
        <f t="shared" si="178"/>
        <v>7-Dépenses</v>
      </c>
      <c r="R254" s="655" t="str">
        <f t="shared" si="179"/>
        <v>6102</v>
      </c>
      <c r="S254" s="656">
        <f t="shared" si="180"/>
        <v>0</v>
      </c>
      <c r="T254" s="658" t="str">
        <f>+VLOOKUP($L254,Data_Validation!$A:$D,1,0)</f>
        <v>6102</v>
      </c>
      <c r="U254" s="658" t="str">
        <f>+VLOOKUP($L254,Data_Validation!$A:$D,3,0)</f>
        <v>Véhicules neufs</v>
      </c>
      <c r="V254" s="658" t="str">
        <f>+VLOOKUP($L254,Data_Validation!$A:$D,4,0)</f>
        <v>Comm. F&amp;I</v>
      </c>
      <c r="W254" s="658" t="str">
        <f>+VLOOKUP($L254,Data_Validation!$A:$E,5,0)</f>
        <v>$</v>
      </c>
      <c r="X254" s="658">
        <f>+VLOOKUP($L254,Data_Validation!$A:$F,6,0)</f>
        <v>0</v>
      </c>
    </row>
    <row r="255" spans="1:24" ht="15" customHeight="1">
      <c r="A255" s="1190" t="s">
        <v>1160</v>
      </c>
      <c r="B255" s="1190" t="s">
        <v>1161</v>
      </c>
      <c r="C255" s="1192">
        <v>1992.78</v>
      </c>
      <c r="D255" s="1192">
        <v>110.67</v>
      </c>
      <c r="E255" s="1192">
        <v>2103.4499999999998</v>
      </c>
      <c r="F255" s="1190" t="s">
        <v>1156</v>
      </c>
      <c r="G255" s="1190" t="s">
        <v>1161</v>
      </c>
      <c r="H255" s="653"/>
      <c r="I255" s="654"/>
      <c r="J255" s="654"/>
      <c r="K255" s="654"/>
      <c r="L255" s="655" t="str">
        <f t="shared" si="176"/>
        <v>6103</v>
      </c>
      <c r="M255" s="656" t="str">
        <f t="shared" si="177"/>
        <v>RELAT. A LA CLIENTELE &amp; AJUST.</v>
      </c>
      <c r="N255" s="657">
        <f>+IF(OR($Q255=Parametres!$G$2,$Q255=Parametres!$G$3),I255,C255)</f>
        <v>1992.78</v>
      </c>
      <c r="O255" s="657">
        <f>+IF(OR($Q255=Parametres!$G$2,$Q255=Parametres!$G$3),J255,D255)</f>
        <v>110.67</v>
      </c>
      <c r="P255" s="657">
        <f>+IF(OR($Q255=Parametres!$G$2,$Q255=Parametres!$G$3),K255,E255)</f>
        <v>2103.4499999999998</v>
      </c>
      <c r="Q255" s="656" t="str">
        <f t="shared" si="178"/>
        <v>7-Dépenses</v>
      </c>
      <c r="R255" s="655" t="str">
        <f t="shared" si="179"/>
        <v>6103</v>
      </c>
      <c r="S255" s="656">
        <f t="shared" si="180"/>
        <v>0</v>
      </c>
      <c r="T255" s="658" t="str">
        <f>+VLOOKUP($L255,Data_Validation!$A:$D,1,0)</f>
        <v>6103</v>
      </c>
      <c r="U255" s="658" t="str">
        <f>+VLOOKUP($L255,Data_Validation!$A:$D,3,0)</f>
        <v>Véhicules neufs</v>
      </c>
      <c r="V255" s="658" t="str">
        <f>+VLOOKUP($L255,Data_Validation!$A:$D,4,0)</f>
        <v>Service gratuit 1</v>
      </c>
      <c r="W255" s="658" t="str">
        <f>+VLOOKUP($L255,Data_Validation!$A:$E,5,0)</f>
        <v>$</v>
      </c>
      <c r="X255" s="658">
        <f>+VLOOKUP($L255,Data_Validation!$A:$F,6,0)</f>
        <v>0</v>
      </c>
    </row>
    <row r="256" spans="1:24" ht="15.75" customHeight="1">
      <c r="A256" s="1190" t="s">
        <v>1162</v>
      </c>
      <c r="B256" s="1190" t="s">
        <v>1163</v>
      </c>
      <c r="C256" s="1192">
        <v>18797.830000000002</v>
      </c>
      <c r="D256" s="1192">
        <v>12040.62</v>
      </c>
      <c r="E256" s="1192">
        <v>30838.45</v>
      </c>
      <c r="F256" s="1190" t="s">
        <v>1156</v>
      </c>
      <c r="G256" s="1190" t="s">
        <v>1163</v>
      </c>
      <c r="H256" s="653"/>
      <c r="I256" s="672"/>
      <c r="J256" s="653"/>
      <c r="K256" s="672"/>
      <c r="L256" s="655" t="str">
        <f t="shared" si="176"/>
        <v>6106</v>
      </c>
      <c r="M256" s="656" t="str">
        <f t="shared" si="177"/>
        <v>ENTRETIEN DES STOCKS</v>
      </c>
      <c r="N256" s="657">
        <f>+IF(OR($Q256=Parametres!$G$2,$Q256=Parametres!$G$3),I256,C256)</f>
        <v>18797.830000000002</v>
      </c>
      <c r="O256" s="657">
        <f>+IF(OR($Q256=Parametres!$G$2,$Q256=Parametres!$G$3),J256,D256)</f>
        <v>12040.62</v>
      </c>
      <c r="P256" s="657">
        <f>+IF(OR($Q256=Parametres!$G$2,$Q256=Parametres!$G$3),K256,E256)</f>
        <v>30838.45</v>
      </c>
      <c r="Q256" s="656" t="str">
        <f t="shared" si="178"/>
        <v>7-Dépenses</v>
      </c>
      <c r="R256" s="655" t="str">
        <f t="shared" si="179"/>
        <v>6106</v>
      </c>
      <c r="S256" s="656">
        <f t="shared" si="180"/>
        <v>0</v>
      </c>
      <c r="T256" s="658" t="str">
        <f>+VLOOKUP($L256,Data_Validation!$A:$D,1,0)</f>
        <v>6106</v>
      </c>
      <c r="U256" s="658" t="str">
        <f>+VLOOKUP($L256,Data_Validation!$A:$D,3,0)</f>
        <v>Véhicules neufs</v>
      </c>
      <c r="V256" s="658" t="str">
        <f>+VLOOKUP($L256,Data_Validation!$A:$D,4,0)</f>
        <v>Entretien stock</v>
      </c>
      <c r="W256" s="658" t="str">
        <f>+VLOOKUP($L256,Data_Validation!$A:$E,5,0)</f>
        <v>$</v>
      </c>
      <c r="X256" s="658">
        <f>+VLOOKUP($L256,Data_Validation!$A:$F,6,0)</f>
        <v>0</v>
      </c>
    </row>
    <row r="257" spans="1:24" ht="15" customHeight="1">
      <c r="A257" s="1190" t="s">
        <v>1164</v>
      </c>
      <c r="B257" s="1190" t="s">
        <v>1165</v>
      </c>
      <c r="C257" s="1192">
        <v>88119.54</v>
      </c>
      <c r="D257" s="1192">
        <v>34655.19</v>
      </c>
      <c r="E257" s="1192">
        <v>122774.73</v>
      </c>
      <c r="F257" s="1190" t="s">
        <v>1156</v>
      </c>
      <c r="G257" s="1190" t="s">
        <v>1165</v>
      </c>
      <c r="H257" s="653"/>
      <c r="I257" s="672"/>
      <c r="J257" s="653"/>
      <c r="K257" s="672"/>
      <c r="L257" s="655" t="str">
        <f t="shared" si="176"/>
        <v>6107</v>
      </c>
      <c r="M257" s="656" t="str">
        <f t="shared" si="177"/>
        <v>INTERET-PLAN DE FINANCEMENT</v>
      </c>
      <c r="N257" s="657">
        <f>+IF(OR($Q257=Parametres!$G$2,$Q257=Parametres!$G$3),I257,C257)</f>
        <v>88119.54</v>
      </c>
      <c r="O257" s="657">
        <f>+IF(OR($Q257=Parametres!$G$2,$Q257=Parametres!$G$3),J257,D257)</f>
        <v>34655.19</v>
      </c>
      <c r="P257" s="657">
        <f>+IF(OR($Q257=Parametres!$G$2,$Q257=Parametres!$G$3),K257,E257)</f>
        <v>122774.73</v>
      </c>
      <c r="Q257" s="656" t="str">
        <f t="shared" si="178"/>
        <v>7-Dépenses</v>
      </c>
      <c r="R257" s="655" t="str">
        <f t="shared" si="179"/>
        <v>6107</v>
      </c>
      <c r="S257" s="656">
        <f t="shared" si="180"/>
        <v>0</v>
      </c>
      <c r="T257" s="658" t="str">
        <f>+VLOOKUP($L257,Data_Validation!$A:$D,1,0)</f>
        <v>6107</v>
      </c>
      <c r="U257" s="658" t="str">
        <f>+VLOOKUP($L257,Data_Validation!$A:$D,3,0)</f>
        <v>Véhicules neufs</v>
      </c>
      <c r="V257" s="658" t="str">
        <f>+VLOOKUP($L257,Data_Validation!$A:$D,4,0)</f>
        <v>Intérêt de gros</v>
      </c>
      <c r="W257" s="658" t="str">
        <f>+VLOOKUP($L257,Data_Validation!$A:$E,5,0)</f>
        <v>$</v>
      </c>
      <c r="X257" s="658">
        <f>+VLOOKUP($L257,Data_Validation!$A:$F,6,0)</f>
        <v>0</v>
      </c>
    </row>
    <row r="258" spans="1:24" ht="15" customHeight="1">
      <c r="A258" s="1190" t="s">
        <v>1166</v>
      </c>
      <c r="B258" s="1190" t="s">
        <v>1167</v>
      </c>
      <c r="C258" s="1192">
        <v>24686.86</v>
      </c>
      <c r="D258" s="1192">
        <v>3753.76</v>
      </c>
      <c r="E258" s="1192">
        <v>28440.62</v>
      </c>
      <c r="F258" s="1190" t="s">
        <v>1156</v>
      </c>
      <c r="G258" s="1190" t="s">
        <v>1167</v>
      </c>
      <c r="H258" s="653"/>
      <c r="I258" s="672"/>
      <c r="J258" s="653"/>
      <c r="K258" s="672"/>
      <c r="L258" s="655" t="str">
        <f t="shared" si="176"/>
        <v>6108</v>
      </c>
      <c r="M258" s="656" t="str">
        <f t="shared" si="177"/>
        <v>FRAIS DE LIVRAISON</v>
      </c>
      <c r="N258" s="657">
        <f>+IF(OR($Q258=Parametres!$G$2,$Q258=Parametres!$G$3),I258,C258)</f>
        <v>24686.86</v>
      </c>
      <c r="O258" s="657">
        <f>+IF(OR($Q258=Parametres!$G$2,$Q258=Parametres!$G$3),J258,D258)</f>
        <v>3753.76</v>
      </c>
      <c r="P258" s="657">
        <f>+IF(OR($Q258=Parametres!$G$2,$Q258=Parametres!$G$3),K258,E258)</f>
        <v>28440.62</v>
      </c>
      <c r="Q258" s="656" t="str">
        <f t="shared" si="178"/>
        <v>7-Dépenses</v>
      </c>
      <c r="R258" s="655" t="str">
        <f t="shared" si="179"/>
        <v>6108</v>
      </c>
      <c r="S258" s="656">
        <f t="shared" si="180"/>
        <v>0</v>
      </c>
      <c r="T258" s="658" t="str">
        <f>+VLOOKUP($L258,Data_Validation!$A:$D,1,0)</f>
        <v>6108</v>
      </c>
      <c r="U258" s="658" t="str">
        <f>+VLOOKUP($L258,Data_Validation!$A:$D,3,0)</f>
        <v>Véhicules neufs</v>
      </c>
      <c r="V258" s="658" t="str">
        <f>+VLOOKUP($L258,Data_Validation!$A:$D,4,0)</f>
        <v>Frais de livraison</v>
      </c>
      <c r="W258" s="658" t="str">
        <f>+VLOOKUP($L258,Data_Validation!$A:$E,5,0)</f>
        <v>$</v>
      </c>
      <c r="X258" s="658">
        <f>+VLOOKUP($L258,Data_Validation!$A:$F,6,0)</f>
        <v>0</v>
      </c>
    </row>
    <row r="259" spans="1:24" ht="15" customHeight="1">
      <c r="A259" s="1190" t="s">
        <v>1168</v>
      </c>
      <c r="B259" s="1190" t="s">
        <v>1169</v>
      </c>
      <c r="C259" s="1192">
        <v>45977.48</v>
      </c>
      <c r="D259" s="1192">
        <v>20516.939999999999</v>
      </c>
      <c r="E259" s="1192">
        <v>66494.42</v>
      </c>
      <c r="F259" s="1190" t="s">
        <v>1156</v>
      </c>
      <c r="G259" s="1190" t="s">
        <v>1169</v>
      </c>
      <c r="H259" s="653"/>
      <c r="I259" s="672"/>
      <c r="J259" s="653"/>
      <c r="K259" s="672"/>
      <c r="L259" s="655" t="str">
        <f t="shared" si="176"/>
        <v>6114</v>
      </c>
      <c r="M259" s="656" t="str">
        <f t="shared" si="177"/>
        <v>PUBLICITE</v>
      </c>
      <c r="N259" s="657">
        <f>+IF(OR($Q259=Parametres!$G$2,$Q259=Parametres!$G$3),I259,C259)</f>
        <v>45977.48</v>
      </c>
      <c r="O259" s="661">
        <f>+IF(OR($Q259=Parametres!$G$2,$Q259=Parametres!$G$3),J259,D259)</f>
        <v>20516.939999999999</v>
      </c>
      <c r="P259" s="657">
        <f>+IF(OR($Q259=Parametres!$G$2,$Q259=Parametres!$G$3),K259,E259)</f>
        <v>66494.42</v>
      </c>
      <c r="Q259" s="656" t="str">
        <f t="shared" si="178"/>
        <v>7-Dépenses</v>
      </c>
      <c r="R259" s="655" t="str">
        <f t="shared" si="179"/>
        <v>6114</v>
      </c>
      <c r="S259" s="656">
        <f t="shared" si="180"/>
        <v>0</v>
      </c>
      <c r="T259" s="658" t="str">
        <f>+VLOOKUP($L259,Data_Validation!$A:$D,1,0)</f>
        <v>6114</v>
      </c>
      <c r="U259" s="658" t="str">
        <f>+VLOOKUP($L259,Data_Validation!$A:$D,3,0)</f>
        <v>Véhicules neufs</v>
      </c>
      <c r="V259" s="658" t="str">
        <f>+VLOOKUP($L259,Data_Validation!$A:$D,4,0)</f>
        <v>Publicité 1</v>
      </c>
      <c r="W259" s="658" t="str">
        <f>+VLOOKUP($L259,Data_Validation!$A:$E,5,0)</f>
        <v>$</v>
      </c>
      <c r="X259" s="658">
        <f>+VLOOKUP($L259,Data_Validation!$A:$F,6,0)</f>
        <v>0</v>
      </c>
    </row>
    <row r="260" spans="1:24" ht="15" customHeight="1">
      <c r="A260" s="1190" t="s">
        <v>1170</v>
      </c>
      <c r="B260" s="1190" t="s">
        <v>2259</v>
      </c>
      <c r="C260" s="1192">
        <v>-29250</v>
      </c>
      <c r="D260" s="1192">
        <v>-10950</v>
      </c>
      <c r="E260" s="1192">
        <v>-40200</v>
      </c>
      <c r="F260" s="1190" t="s">
        <v>1156</v>
      </c>
      <c r="G260" s="1190" t="s">
        <v>1169</v>
      </c>
      <c r="H260" s="653"/>
      <c r="I260" s="672"/>
      <c r="J260" s="653"/>
      <c r="K260" s="672"/>
      <c r="L260" s="655" t="str">
        <f t="shared" si="176"/>
        <v>6115</v>
      </c>
      <c r="M260" s="656" t="str">
        <f t="shared" si="177"/>
        <v>CREDIT PUBLICITE NEUF</v>
      </c>
      <c r="N260" s="657">
        <f>+IF(OR($Q260=Parametres!$G$2,$Q260=Parametres!$G$3),I260,C260)</f>
        <v>-29250</v>
      </c>
      <c r="O260" s="657">
        <f>+IF(OR($Q260=Parametres!$G$2,$Q260=Parametres!$G$3),J260,D260)</f>
        <v>-10950</v>
      </c>
      <c r="P260" s="657">
        <f>+IF(OR($Q260=Parametres!$G$2,$Q260=Parametres!$G$3),K260,E260)</f>
        <v>-40200</v>
      </c>
      <c r="Q260" s="656" t="str">
        <f t="shared" si="178"/>
        <v>7-Dépenses</v>
      </c>
      <c r="R260" s="655" t="str">
        <f t="shared" si="179"/>
        <v>6114</v>
      </c>
      <c r="S260" s="656">
        <f t="shared" si="180"/>
        <v>0</v>
      </c>
      <c r="T260" s="658" t="str">
        <f>+VLOOKUP($L260,Data_Validation!$A:$D,1,0)</f>
        <v>6115</v>
      </c>
      <c r="U260" s="658" t="str">
        <f>+VLOOKUP($L260,Data_Validation!$A:$D,3,0)</f>
        <v>Véhicules neufs</v>
      </c>
      <c r="V260" s="658" t="str">
        <f>+VLOOKUP($L260,Data_Validation!$A:$D,4,0)</f>
        <v>Publicité 1</v>
      </c>
      <c r="W260" s="658" t="str">
        <f>+VLOOKUP($L260,Data_Validation!$A:$E,5,0)</f>
        <v>$</v>
      </c>
      <c r="X260" s="658">
        <f>+VLOOKUP($L260,Data_Validation!$A:$F,6,0)</f>
        <v>0</v>
      </c>
    </row>
    <row r="261" spans="1:24" ht="15" customHeight="1">
      <c r="A261" s="1190" t="s">
        <v>1171</v>
      </c>
      <c r="B261" s="1190" t="s">
        <v>1172</v>
      </c>
      <c r="C261" s="1192">
        <v>21509.53</v>
      </c>
      <c r="D261" s="1192">
        <v>6698.2</v>
      </c>
      <c r="E261" s="1192">
        <v>28207.73</v>
      </c>
      <c r="F261" s="1190" t="s">
        <v>1156</v>
      </c>
      <c r="G261" s="1190" t="s">
        <v>1172</v>
      </c>
      <c r="H261" s="652"/>
      <c r="I261" s="654"/>
      <c r="J261" s="654"/>
      <c r="K261" s="654"/>
      <c r="L261" s="655" t="str">
        <f t="shared" si="176"/>
        <v>6121</v>
      </c>
      <c r="M261" s="656" t="str">
        <f t="shared" si="177"/>
        <v>SALAIRES - PROPRIETAIRES</v>
      </c>
      <c r="N261" s="657">
        <f>+IF(OR($Q261=Parametres!$G$2,$Q261=Parametres!$G$3),I261,C261)</f>
        <v>21509.53</v>
      </c>
      <c r="O261" s="657">
        <f>+IF(OR($Q261=Parametres!$G$2,$Q261=Parametres!$G$3),J261,D261)</f>
        <v>6698.2</v>
      </c>
      <c r="P261" s="657">
        <f>+IF(OR($Q261=Parametres!$G$2,$Q261=Parametres!$G$3),K261,E261)</f>
        <v>28207.73</v>
      </c>
      <c r="Q261" s="656" t="str">
        <f t="shared" si="178"/>
        <v>7-Dépenses</v>
      </c>
      <c r="R261" s="655" t="str">
        <f t="shared" si="179"/>
        <v>6121</v>
      </c>
      <c r="S261" s="656">
        <f t="shared" si="180"/>
        <v>0</v>
      </c>
      <c r="T261" s="658" t="str">
        <f>+VLOOKUP($L261,Data_Validation!$A:$D,1,0)</f>
        <v>6121</v>
      </c>
      <c r="U261" s="658" t="str">
        <f>+VLOOKUP($L261,Data_Validation!$A:$D,3,0)</f>
        <v>Véhicules neufs</v>
      </c>
      <c r="V261" s="658" t="str">
        <f>+VLOOKUP($L261,Data_Validation!$A:$D,4,0)</f>
        <v>Salaires propriétaire</v>
      </c>
      <c r="W261" s="658" t="str">
        <f>+VLOOKUP($L261,Data_Validation!$A:$E,5,0)</f>
        <v>$</v>
      </c>
      <c r="X261" s="658">
        <f>+VLOOKUP($L261,Data_Validation!$A:$F,6,0)</f>
        <v>0</v>
      </c>
    </row>
    <row r="262" spans="1:24" ht="15.75" customHeight="1">
      <c r="A262" s="1190" t="s">
        <v>1173</v>
      </c>
      <c r="B262" s="1190" t="s">
        <v>1174</v>
      </c>
      <c r="C262" s="1192">
        <v>55613.18</v>
      </c>
      <c r="D262" s="1192">
        <v>13149.05</v>
      </c>
      <c r="E262" s="1192">
        <v>68762.23</v>
      </c>
      <c r="F262" s="1190" t="s">
        <v>1156</v>
      </c>
      <c r="G262" s="1190" t="s">
        <v>1174</v>
      </c>
      <c r="H262" s="652"/>
      <c r="I262" s="674"/>
      <c r="J262" s="665"/>
      <c r="K262" s="674"/>
      <c r="L262" s="655" t="str">
        <f t="shared" si="176"/>
        <v>6122</v>
      </c>
      <c r="M262" s="656" t="str">
        <f t="shared" si="177"/>
        <v>SAL SUPERVISION / GERANT</v>
      </c>
      <c r="N262" s="657">
        <f>+IF(OR($Q262=Parametres!$G$2,$Q262=Parametres!$G$3),I262,C262)</f>
        <v>55613.18</v>
      </c>
      <c r="O262" s="657">
        <f>+IF(OR($Q262=Parametres!$G$2,$Q262=Parametres!$G$3),J262,D262)</f>
        <v>13149.05</v>
      </c>
      <c r="P262" s="657">
        <f>+IF(OR($Q262=Parametres!$G$2,$Q262=Parametres!$G$3),K262,E262)</f>
        <v>68762.23</v>
      </c>
      <c r="Q262" s="656" t="str">
        <f t="shared" si="178"/>
        <v>7-Dépenses</v>
      </c>
      <c r="R262" s="655" t="str">
        <f t="shared" si="179"/>
        <v>6122</v>
      </c>
      <c r="S262" s="656">
        <f t="shared" si="180"/>
        <v>0</v>
      </c>
      <c r="T262" s="673" t="str">
        <f>+VLOOKUP($L262,Data_Validation!$A:$D,1,0)</f>
        <v>6122</v>
      </c>
      <c r="U262" s="658" t="str">
        <f>+VLOOKUP($L262,Data_Validation!$A:$D,3,0)</f>
        <v>Véhicules neufs</v>
      </c>
      <c r="V262" s="658" t="str">
        <f>+VLOOKUP($L262,Data_Validation!$A:$D,4,0)</f>
        <v>Salaires cadres</v>
      </c>
      <c r="W262" s="658" t="str">
        <f>+VLOOKUP($L262,Data_Validation!$A:$E,5,0)</f>
        <v>$</v>
      </c>
      <c r="X262" s="658">
        <f>+VLOOKUP($L262,Data_Validation!$A:$F,6,0)</f>
        <v>0</v>
      </c>
    </row>
    <row r="263" spans="1:24" ht="15" customHeight="1">
      <c r="A263" s="1190" t="s">
        <v>1175</v>
      </c>
      <c r="B263" s="1190" t="s">
        <v>1176</v>
      </c>
      <c r="C263" s="1192">
        <v>29224.49</v>
      </c>
      <c r="D263" s="1192">
        <v>9365.85</v>
      </c>
      <c r="E263" s="1192">
        <v>38590.339999999997</v>
      </c>
      <c r="F263" s="1190" t="s">
        <v>1156</v>
      </c>
      <c r="G263" s="1190" t="s">
        <v>1176</v>
      </c>
      <c r="H263" s="653"/>
      <c r="I263" s="672"/>
      <c r="J263" s="653"/>
      <c r="K263" s="672"/>
      <c r="L263" s="655" t="str">
        <f t="shared" si="176"/>
        <v>6123</v>
      </c>
      <c r="M263" s="656" t="str">
        <f t="shared" si="177"/>
        <v>SAL. &amp; RENUM. - CLERICAL</v>
      </c>
      <c r="N263" s="657">
        <f>+IF(OR($Q263=Parametres!$G$2,$Q263=Parametres!$G$3),I263,C263)</f>
        <v>29224.49</v>
      </c>
      <c r="O263" s="657">
        <f>+IF(OR($Q263=Parametres!$G$2,$Q263=Parametres!$G$3),J263,D263)</f>
        <v>9365.85</v>
      </c>
      <c r="P263" s="657">
        <f>+IF(OR($Q263=Parametres!$G$2,$Q263=Parametres!$G$3),K263,E263)</f>
        <v>38590.339999999997</v>
      </c>
      <c r="Q263" s="656" t="str">
        <f t="shared" si="178"/>
        <v>7-Dépenses</v>
      </c>
      <c r="R263" s="655" t="str">
        <f t="shared" si="179"/>
        <v>6123</v>
      </c>
      <c r="S263" s="656">
        <f t="shared" si="180"/>
        <v>0</v>
      </c>
      <c r="T263" s="658" t="str">
        <f>+VLOOKUP($L263,Data_Validation!$A:$D,1,0)</f>
        <v>6123</v>
      </c>
      <c r="U263" s="658" t="str">
        <f>+VLOOKUP($L263,Data_Validation!$A:$D,3,0)</f>
        <v>Véhicules neufs</v>
      </c>
      <c r="V263" s="658" t="str">
        <f>+VLOOKUP($L263,Data_Validation!$A:$D,4,0)</f>
        <v>Salaires commis</v>
      </c>
      <c r="W263" s="658" t="str">
        <f>+VLOOKUP($L263,Data_Validation!$A:$E,5,0)</f>
        <v>$</v>
      </c>
      <c r="X263" s="658">
        <f>+VLOOKUP($L263,Data_Validation!$A:$F,6,0)</f>
        <v>0</v>
      </c>
    </row>
    <row r="264" spans="1:24" ht="15" customHeight="1">
      <c r="A264" s="1190" t="s">
        <v>1177</v>
      </c>
      <c r="B264" s="1190" t="s">
        <v>1178</v>
      </c>
      <c r="C264" s="1192">
        <v>10201.200000000001</v>
      </c>
      <c r="D264" s="1192">
        <v>4575.3599999999997</v>
      </c>
      <c r="E264" s="1192">
        <v>14776.56</v>
      </c>
      <c r="F264" s="1190" t="s">
        <v>1156</v>
      </c>
      <c r="G264" s="1190" t="s">
        <v>1178</v>
      </c>
      <c r="H264" s="653"/>
      <c r="I264" s="654"/>
      <c r="J264" s="654"/>
      <c r="K264" s="654"/>
      <c r="L264" s="655" t="str">
        <f t="shared" si="176"/>
        <v>6124</v>
      </c>
      <c r="M264" s="656" t="str">
        <f t="shared" si="177"/>
        <v>SALAIRES &amp; RENUM. - AUTRES</v>
      </c>
      <c r="N264" s="657">
        <f>+IF(OR($Q264=Parametres!$G$2,$Q264=Parametres!$G$3),I264,C264)</f>
        <v>10201.200000000001</v>
      </c>
      <c r="O264" s="661">
        <f>+IF(OR($Q264=Parametres!$G$2,$Q264=Parametres!$G$3),J264,D264)</f>
        <v>4575.3599999999997</v>
      </c>
      <c r="P264" s="657">
        <f>+IF(OR($Q264=Parametres!$G$2,$Q264=Parametres!$G$3),K264,E264)</f>
        <v>14776.56</v>
      </c>
      <c r="Q264" s="656" t="str">
        <f t="shared" si="178"/>
        <v>7-Dépenses</v>
      </c>
      <c r="R264" s="655" t="str">
        <f t="shared" si="179"/>
        <v>6124</v>
      </c>
      <c r="S264" s="656">
        <f t="shared" si="180"/>
        <v>0</v>
      </c>
      <c r="T264" s="658" t="str">
        <f>+VLOOKUP($L264,Data_Validation!$A:$D,1,0)</f>
        <v>6124</v>
      </c>
      <c r="U264" s="658" t="str">
        <f>+VLOOKUP($L264,Data_Validation!$A:$D,3,0)</f>
        <v>Véhicules neufs</v>
      </c>
      <c r="V264" s="658" t="str">
        <f>+VLOOKUP($L264,Data_Validation!$A:$D,4,0)</f>
        <v>Salaires autres</v>
      </c>
      <c r="W264" s="658" t="str">
        <f>+VLOOKUP($L264,Data_Validation!$A:$E,5,0)</f>
        <v>$</v>
      </c>
      <c r="X264" s="658">
        <f>+VLOOKUP($L264,Data_Validation!$A:$F,6,0)</f>
        <v>0</v>
      </c>
    </row>
    <row r="265" spans="1:24" ht="15" customHeight="1">
      <c r="A265" s="1190" t="s">
        <v>1179</v>
      </c>
      <c r="B265" s="1190" t="s">
        <v>1180</v>
      </c>
      <c r="C265" s="1192">
        <v>29785.599999999999</v>
      </c>
      <c r="D265" s="1192">
        <v>11763.15</v>
      </c>
      <c r="E265" s="1192">
        <v>41548.75</v>
      </c>
      <c r="F265" s="1190" t="s">
        <v>1156</v>
      </c>
      <c r="G265" s="1190" t="s">
        <v>1180</v>
      </c>
      <c r="H265" s="653"/>
      <c r="I265" s="653"/>
      <c r="J265" s="653"/>
      <c r="K265" s="653"/>
      <c r="L265" s="655" t="str">
        <f t="shared" si="176"/>
        <v>6129</v>
      </c>
      <c r="M265" s="656" t="str">
        <f t="shared" si="177"/>
        <v>ABS., VACANCE &amp; SAL. JOURS FER</v>
      </c>
      <c r="N265" s="657">
        <f>+IF(OR($Q265=Parametres!$G$2,$Q265=Parametres!$G$3),I265,C265)</f>
        <v>29785.599999999999</v>
      </c>
      <c r="O265" s="661">
        <f>+IF(OR($Q265=Parametres!$G$2,$Q265=Parametres!$G$3),J265,D265)</f>
        <v>11763.15</v>
      </c>
      <c r="P265" s="657">
        <f>+IF(OR($Q265=Parametres!$G$2,$Q265=Parametres!$G$3),K265,E265)</f>
        <v>41548.75</v>
      </c>
      <c r="Q265" s="656" t="str">
        <f t="shared" si="178"/>
        <v>7-Dépenses</v>
      </c>
      <c r="R265" s="655" t="str">
        <f t="shared" si="179"/>
        <v>6129</v>
      </c>
      <c r="S265" s="656">
        <f t="shared" si="180"/>
        <v>0</v>
      </c>
      <c r="T265" s="658" t="str">
        <f>+VLOOKUP($L265,Data_Validation!$A:$D,1,0)</f>
        <v>6129</v>
      </c>
      <c r="U265" s="658" t="str">
        <f>+VLOOKUP($L265,Data_Validation!$A:$D,3,0)</f>
        <v>Véhicules neufs</v>
      </c>
      <c r="V265" s="658" t="str">
        <f>+VLOOKUP($L265,Data_Validation!$A:$D,4,0)</f>
        <v>Salaires en absences</v>
      </c>
      <c r="W265" s="658" t="str">
        <f>+VLOOKUP($L265,Data_Validation!$A:$E,5,0)</f>
        <v>$</v>
      </c>
      <c r="X265" s="658">
        <f>+VLOOKUP($L265,Data_Validation!$A:$F,6,0)</f>
        <v>0</v>
      </c>
    </row>
    <row r="266" spans="1:24" ht="15" customHeight="1">
      <c r="A266" s="1190" t="s">
        <v>1181</v>
      </c>
      <c r="B266" s="1190" t="s">
        <v>1182</v>
      </c>
      <c r="C266" s="1192">
        <v>8690.98</v>
      </c>
      <c r="D266" s="1192">
        <v>3705.07</v>
      </c>
      <c r="E266" s="1192">
        <v>12396.05</v>
      </c>
      <c r="F266" s="1190" t="s">
        <v>1156</v>
      </c>
      <c r="G266" s="1190" t="s">
        <v>1182</v>
      </c>
      <c r="H266" s="653"/>
      <c r="I266" s="672"/>
      <c r="J266" s="653"/>
      <c r="K266" s="672"/>
      <c r="L266" s="655" t="str">
        <f t="shared" si="176"/>
        <v>6131</v>
      </c>
      <c r="M266" s="656" t="str">
        <f t="shared" si="177"/>
        <v>CSST</v>
      </c>
      <c r="N266" s="657">
        <f>+IF(OR($Q266=Parametres!$G$2,$Q266=Parametres!$G$3),I266,C266)</f>
        <v>8690.98</v>
      </c>
      <c r="O266" s="657">
        <f>+IF(OR($Q266=Parametres!$G$2,$Q266=Parametres!$G$3),J266,D266)</f>
        <v>3705.07</v>
      </c>
      <c r="P266" s="657">
        <f>+IF(OR($Q266=Parametres!$G$2,$Q266=Parametres!$G$3),K266,E266)</f>
        <v>12396.05</v>
      </c>
      <c r="Q266" s="656" t="str">
        <f t="shared" si="178"/>
        <v>7-Dépenses</v>
      </c>
      <c r="R266" s="655" t="str">
        <f t="shared" si="179"/>
        <v>6131</v>
      </c>
      <c r="S266" s="656">
        <f t="shared" si="180"/>
        <v>0</v>
      </c>
      <c r="T266" s="658" t="str">
        <f>+VLOOKUP($L266,Data_Validation!$A:$D,1,0)</f>
        <v>6131</v>
      </c>
      <c r="U266" s="658" t="str">
        <f>+VLOOKUP($L266,Data_Validation!$A:$D,3,0)</f>
        <v>Véhicules neufs</v>
      </c>
      <c r="V266" s="658" t="str">
        <f>+VLOOKUP($L266,Data_Validation!$A:$D,4,0)</f>
        <v>Csst</v>
      </c>
      <c r="W266" s="658" t="str">
        <f>+VLOOKUP($L266,Data_Validation!$A:$E,5,0)</f>
        <v>$</v>
      </c>
      <c r="X266" s="658">
        <f>+VLOOKUP($L266,Data_Validation!$A:$F,6,0)</f>
        <v>0</v>
      </c>
    </row>
    <row r="267" spans="1:24" ht="15" customHeight="1">
      <c r="A267" s="1190" t="s">
        <v>1183</v>
      </c>
      <c r="B267" s="1190" t="s">
        <v>1184</v>
      </c>
      <c r="C267" s="1192">
        <v>49770.48</v>
      </c>
      <c r="D267" s="1192">
        <v>18598.07</v>
      </c>
      <c r="E267" s="1192">
        <v>68368.55</v>
      </c>
      <c r="F267" s="1190" t="s">
        <v>1156</v>
      </c>
      <c r="G267" s="1190" t="s">
        <v>1184</v>
      </c>
      <c r="H267" s="653"/>
      <c r="I267" s="672"/>
      <c r="J267" s="653"/>
      <c r="K267" s="672"/>
      <c r="L267" s="655" t="str">
        <f t="shared" si="176"/>
        <v>6132</v>
      </c>
      <c r="M267" s="656" t="str">
        <f t="shared" si="177"/>
        <v>RRQ RAMQ AC</v>
      </c>
      <c r="N267" s="657">
        <f>+IF(OR($Q267=Parametres!$G$2,$Q267=Parametres!$G$3),I267,C267)</f>
        <v>49770.48</v>
      </c>
      <c r="O267" s="657">
        <f>+IF(OR($Q267=Parametres!$G$2,$Q267=Parametres!$G$3),J267,D267)</f>
        <v>18598.07</v>
      </c>
      <c r="P267" s="657">
        <f>+IF(OR($Q267=Parametres!$G$2,$Q267=Parametres!$G$3),K267,E267)</f>
        <v>68368.55</v>
      </c>
      <c r="Q267" s="656" t="str">
        <f t="shared" si="178"/>
        <v>7-Dépenses</v>
      </c>
      <c r="R267" s="655" t="str">
        <f t="shared" si="179"/>
        <v>6132</v>
      </c>
      <c r="S267" s="656">
        <f t="shared" si="180"/>
        <v>0</v>
      </c>
      <c r="T267" s="658" t="str">
        <f>+VLOOKUP($L267,Data_Validation!$A:$D,1,0)</f>
        <v>6132</v>
      </c>
      <c r="U267" s="658" t="str">
        <f>+VLOOKUP($L267,Data_Validation!$A:$D,3,0)</f>
        <v>Véhicules neufs</v>
      </c>
      <c r="V267" s="658" t="str">
        <f>+VLOOKUP($L267,Data_Validation!$A:$D,4,0)</f>
        <v>Déduction à la source</v>
      </c>
      <c r="W267" s="658" t="str">
        <f>+VLOOKUP($L267,Data_Validation!$A:$E,5,0)</f>
        <v>$</v>
      </c>
      <c r="X267" s="658">
        <f>+VLOOKUP($L267,Data_Validation!$A:$F,6,0)</f>
        <v>0</v>
      </c>
    </row>
    <row r="268" spans="1:24" ht="15" customHeight="1">
      <c r="A268" s="1190" t="s">
        <v>1185</v>
      </c>
      <c r="B268" s="1190" t="s">
        <v>1186</v>
      </c>
      <c r="C268" s="1192">
        <v>11390.2</v>
      </c>
      <c r="D268" s="1192">
        <v>4804.51</v>
      </c>
      <c r="E268" s="1192">
        <v>16194.71</v>
      </c>
      <c r="F268" s="1190" t="s">
        <v>1156</v>
      </c>
      <c r="G268" s="1190" t="s">
        <v>1186</v>
      </c>
      <c r="H268" s="653"/>
      <c r="I268" s="672"/>
      <c r="J268" s="653"/>
      <c r="K268" s="672"/>
      <c r="L268" s="655" t="str">
        <f t="shared" si="176"/>
        <v>6133</v>
      </c>
      <c r="M268" s="656" t="str">
        <f t="shared" si="177"/>
        <v>FOND PENSION - NEUF</v>
      </c>
      <c r="N268" s="657">
        <f>+IF(OR($Q268=Parametres!$G$2,$Q268=Parametres!$G$3),I268,C268)</f>
        <v>11390.2</v>
      </c>
      <c r="O268" s="657">
        <f>+IF(OR($Q268=Parametres!$G$2,$Q268=Parametres!$G$3),J268,D268)</f>
        <v>4804.51</v>
      </c>
      <c r="P268" s="657">
        <f>+IF(OR($Q268=Parametres!$G$2,$Q268=Parametres!$G$3),K268,E268)</f>
        <v>16194.71</v>
      </c>
      <c r="Q268" s="656" t="str">
        <f t="shared" si="178"/>
        <v>7-Dépenses</v>
      </c>
      <c r="R268" s="655" t="str">
        <f t="shared" si="179"/>
        <v>6133</v>
      </c>
      <c r="S268" s="656">
        <f t="shared" si="180"/>
        <v>0</v>
      </c>
      <c r="T268" s="658" t="str">
        <f>+VLOOKUP($L268,Data_Validation!$A:$D,1,0)</f>
        <v>6133</v>
      </c>
      <c r="U268" s="658" t="str">
        <f>+VLOOKUP($L268,Data_Validation!$A:$D,3,0)</f>
        <v>Véhicules neufs</v>
      </c>
      <c r="V268" s="658" t="str">
        <f>+VLOOKUP($L268,Data_Validation!$A:$D,4,0)</f>
        <v>Bénéfices marginaux</v>
      </c>
      <c r="W268" s="658" t="str">
        <f>+VLOOKUP($L268,Data_Validation!$A:$E,5,0)</f>
        <v>$</v>
      </c>
      <c r="X268" s="658">
        <f>+VLOOKUP($L268,Data_Validation!$A:$F,6,0)</f>
        <v>0</v>
      </c>
    </row>
    <row r="269" spans="1:24" ht="15" customHeight="1">
      <c r="A269" s="1190" t="s">
        <v>1187</v>
      </c>
      <c r="B269" s="1190" t="s">
        <v>1188</v>
      </c>
      <c r="C269" s="1192">
        <v>8258.18</v>
      </c>
      <c r="D269" s="1192">
        <v>2470.9</v>
      </c>
      <c r="E269" s="1192">
        <v>10729.08</v>
      </c>
      <c r="F269" s="1190" t="s">
        <v>1156</v>
      </c>
      <c r="G269" s="1190" t="s">
        <v>1188</v>
      </c>
      <c r="H269" s="652"/>
      <c r="I269" s="654"/>
      <c r="J269" s="654"/>
      <c r="K269" s="654"/>
      <c r="L269" s="655" t="str">
        <f t="shared" si="176"/>
        <v>6139</v>
      </c>
      <c r="M269" s="656" t="str">
        <f t="shared" si="177"/>
        <v>ASSURANCE GROUPS</v>
      </c>
      <c r="N269" s="657">
        <f>+IF(OR($Q269=Parametres!$G$2,$Q269=Parametres!$G$3),I269,C269)</f>
        <v>8258.18</v>
      </c>
      <c r="O269" s="657">
        <f>+IF(OR($Q269=Parametres!$G$2,$Q269=Parametres!$G$3),J269,D269)</f>
        <v>2470.9</v>
      </c>
      <c r="P269" s="657">
        <f>+IF(OR($Q269=Parametres!$G$2,$Q269=Parametres!$G$3),K269,E269)</f>
        <v>10729.08</v>
      </c>
      <c r="Q269" s="656" t="str">
        <f t="shared" si="178"/>
        <v>7-Dépenses</v>
      </c>
      <c r="R269" s="655" t="str">
        <f t="shared" si="179"/>
        <v>6139</v>
      </c>
      <c r="S269" s="656">
        <f t="shared" si="180"/>
        <v>0</v>
      </c>
      <c r="T269" s="658" t="str">
        <f>+VLOOKUP($L269,Data_Validation!$A:$D,1,0)</f>
        <v>6139</v>
      </c>
      <c r="U269" s="658" t="str">
        <f>+VLOOKUP($L269,Data_Validation!$A:$D,3,0)</f>
        <v>Véhicules neufs</v>
      </c>
      <c r="V269" s="658" t="str">
        <f>+VLOOKUP($L269,Data_Validation!$A:$D,4,0)</f>
        <v>Bénéfices marginaux</v>
      </c>
      <c r="W269" s="658" t="str">
        <f>+VLOOKUP($L269,Data_Validation!$A:$E,5,0)</f>
        <v>$</v>
      </c>
      <c r="X269" s="658">
        <f>+VLOOKUP($L269,Data_Validation!$A:$F,6,0)</f>
        <v>0</v>
      </c>
    </row>
    <row r="270" spans="1:24" ht="15" customHeight="1">
      <c r="A270" s="1190" t="s">
        <v>1189</v>
      </c>
      <c r="B270" s="1190" t="s">
        <v>1190</v>
      </c>
      <c r="C270" s="1192">
        <v>325.12</v>
      </c>
      <c r="D270" s="1192">
        <v>36.28</v>
      </c>
      <c r="E270" s="1192">
        <v>361.4</v>
      </c>
      <c r="F270" s="1190" t="s">
        <v>1156</v>
      </c>
      <c r="G270" s="1190" t="s">
        <v>1190</v>
      </c>
      <c r="H270" s="653"/>
      <c r="I270" s="654"/>
      <c r="J270" s="654"/>
      <c r="K270" s="654"/>
      <c r="L270" s="655" t="str">
        <f t="shared" si="176"/>
        <v>6142</v>
      </c>
      <c r="M270" s="656" t="str">
        <f t="shared" si="177"/>
        <v>FOURNITURES &amp; PETITS OUTILS</v>
      </c>
      <c r="N270" s="657">
        <f>+IF(OR($Q270=Parametres!$G$2,$Q270=Parametres!$G$3),I270,C270)</f>
        <v>325.12</v>
      </c>
      <c r="O270" s="657">
        <f>+IF(OR($Q270=Parametres!$G$2,$Q270=Parametres!$G$3),J270,D270)</f>
        <v>36.28</v>
      </c>
      <c r="P270" s="657">
        <f>+IF(OR($Q270=Parametres!$G$2,$Q270=Parametres!$G$3),K270,E270)</f>
        <v>361.4</v>
      </c>
      <c r="Q270" s="656" t="str">
        <f t="shared" si="178"/>
        <v>7-Dépenses</v>
      </c>
      <c r="R270" s="655" t="str">
        <f t="shared" si="179"/>
        <v>6142</v>
      </c>
      <c r="S270" s="656">
        <f t="shared" si="180"/>
        <v>0</v>
      </c>
      <c r="T270" s="658" t="str">
        <f>+VLOOKUP($L270,Data_Validation!$A:$D,1,0)</f>
        <v>6142</v>
      </c>
      <c r="U270" s="658" t="str">
        <f>+VLOOKUP($L270,Data_Validation!$A:$D,3,0)</f>
        <v>Véhicules neufs</v>
      </c>
      <c r="V270" s="658" t="str">
        <f>+VLOOKUP($L270,Data_Validation!$A:$D,4,0)</f>
        <v>Fournitures autres</v>
      </c>
      <c r="W270" s="658" t="str">
        <f>+VLOOKUP($L270,Data_Validation!$A:$E,5,0)</f>
        <v>$</v>
      </c>
      <c r="X270" s="658">
        <f>+VLOOKUP($L270,Data_Validation!$A:$F,6,0)</f>
        <v>0</v>
      </c>
    </row>
    <row r="271" spans="1:24" ht="15" customHeight="1">
      <c r="A271" s="1190" t="s">
        <v>1193</v>
      </c>
      <c r="B271" s="1190" t="s">
        <v>1194</v>
      </c>
      <c r="C271" s="1192">
        <v>4386.79</v>
      </c>
      <c r="D271" s="1192">
        <v>1147.3499999999999</v>
      </c>
      <c r="E271" s="1192">
        <v>5534.14</v>
      </c>
      <c r="F271" s="1190" t="s">
        <v>1156</v>
      </c>
      <c r="G271" s="1190" t="s">
        <v>1194</v>
      </c>
      <c r="H271" s="653"/>
      <c r="I271" s="672"/>
      <c r="J271" s="653"/>
      <c r="K271" s="672"/>
      <c r="L271" s="655" t="str">
        <f t="shared" si="176"/>
        <v>6144</v>
      </c>
      <c r="M271" s="656" t="str">
        <f t="shared" si="177"/>
        <v>FORMATION</v>
      </c>
      <c r="N271" s="657">
        <f>+IF(OR($Q271=Parametres!$G$2,$Q271=Parametres!$G$3),I271,C271)</f>
        <v>4386.79</v>
      </c>
      <c r="O271" s="657">
        <f>+IF(OR($Q271=Parametres!$G$2,$Q271=Parametres!$G$3),J271,D271)</f>
        <v>1147.3499999999999</v>
      </c>
      <c r="P271" s="657">
        <f>+IF(OR($Q271=Parametres!$G$2,$Q271=Parametres!$G$3),K271,E271)</f>
        <v>5534.14</v>
      </c>
      <c r="Q271" s="656" t="str">
        <f t="shared" si="178"/>
        <v>7-Dépenses</v>
      </c>
      <c r="R271" s="655" t="str">
        <f t="shared" si="179"/>
        <v>6144</v>
      </c>
      <c r="S271" s="656">
        <f t="shared" si="180"/>
        <v>0</v>
      </c>
      <c r="T271" s="658" t="str">
        <f>+VLOOKUP($L271,Data_Validation!$A:$D,1,0)</f>
        <v>6144</v>
      </c>
      <c r="U271" s="658" t="str">
        <f>+VLOOKUP($L271,Data_Validation!$A:$D,3,0)</f>
        <v>Véhicules neufs</v>
      </c>
      <c r="V271" s="658" t="str">
        <f>+VLOOKUP($L271,Data_Validation!$A:$D,4,0)</f>
        <v>Formation</v>
      </c>
      <c r="W271" s="658" t="str">
        <f>+VLOOKUP($L271,Data_Validation!$A:$E,5,0)</f>
        <v>$</v>
      </c>
      <c r="X271" s="658">
        <f>+VLOOKUP($L271,Data_Validation!$A:$F,6,0)</f>
        <v>0</v>
      </c>
    </row>
    <row r="272" spans="1:24" ht="15.75" customHeight="1">
      <c r="A272" s="1190" t="s">
        <v>1195</v>
      </c>
      <c r="B272" s="1190" t="s">
        <v>1196</v>
      </c>
      <c r="C272" s="1192">
        <v>21824.78</v>
      </c>
      <c r="D272" s="1192">
        <v>11626.31</v>
      </c>
      <c r="E272" s="1192">
        <v>33451.089999999997</v>
      </c>
      <c r="F272" s="1190" t="s">
        <v>1156</v>
      </c>
      <c r="G272" s="1190" t="s">
        <v>1196</v>
      </c>
      <c r="H272" s="652"/>
      <c r="I272" s="674"/>
      <c r="J272" s="665"/>
      <c r="K272" s="674"/>
      <c r="L272" s="655" t="str">
        <f t="shared" si="176"/>
        <v>6145</v>
      </c>
      <c r="M272" s="656" t="str">
        <f t="shared" si="177"/>
        <v>VEHICULE DE COMPAGNIE - DEPENS</v>
      </c>
      <c r="N272" s="657">
        <f>+IF(OR($Q272=Parametres!$G$2,$Q272=Parametres!$G$3),I272,C272)</f>
        <v>21824.78</v>
      </c>
      <c r="O272" s="657">
        <f>+IF(OR($Q272=Parametres!$G$2,$Q272=Parametres!$G$3),J272,D272)</f>
        <v>11626.31</v>
      </c>
      <c r="P272" s="657">
        <f>+IF(OR($Q272=Parametres!$G$2,$Q272=Parametres!$G$3),K272,E272)</f>
        <v>33451.089999999997</v>
      </c>
      <c r="Q272" s="656" t="str">
        <f t="shared" si="178"/>
        <v>7-Dépenses</v>
      </c>
      <c r="R272" s="655" t="str">
        <f t="shared" si="179"/>
        <v>6145</v>
      </c>
      <c r="S272" s="656">
        <f t="shared" si="180"/>
        <v>0</v>
      </c>
      <c r="T272" s="658" t="str">
        <f>+VLOOKUP($L272,Data_Validation!$A:$D,1,0)</f>
        <v>6145</v>
      </c>
      <c r="U272" s="658" t="str">
        <f>+VLOOKUP($L272,Data_Validation!$A:$D,3,0)</f>
        <v>Véhicules neufs</v>
      </c>
      <c r="V272" s="658" t="str">
        <f>+VLOOKUP($L272,Data_Validation!$A:$D,4,0)</f>
        <v>Frais véhicules de cie</v>
      </c>
      <c r="W272" s="658" t="str">
        <f>+VLOOKUP($L272,Data_Validation!$A:$E,5,0)</f>
        <v>$</v>
      </c>
      <c r="X272" s="658">
        <f>+VLOOKUP($L272,Data_Validation!$A:$F,6,0)</f>
        <v>0</v>
      </c>
    </row>
    <row r="273" spans="1:24" ht="15" customHeight="1">
      <c r="A273" s="1190" t="s">
        <v>1197</v>
      </c>
      <c r="B273" s="1190" t="s">
        <v>1198</v>
      </c>
      <c r="C273" s="1192">
        <v>659.56</v>
      </c>
      <c r="D273" s="1192">
        <v>10.56</v>
      </c>
      <c r="E273" s="1192">
        <v>670.12</v>
      </c>
      <c r="F273" s="1190" t="s">
        <v>1156</v>
      </c>
      <c r="G273" s="1190" t="s">
        <v>1198</v>
      </c>
      <c r="H273" s="653"/>
      <c r="I273" s="654"/>
      <c r="J273" s="654"/>
      <c r="K273" s="654"/>
      <c r="L273" s="655" t="str">
        <f t="shared" si="176"/>
        <v>6147</v>
      </c>
      <c r="M273" s="656" t="str">
        <f t="shared" si="177"/>
        <v>FRET/EXPRESS/TRANS. PAR CAMION</v>
      </c>
      <c r="N273" s="657">
        <f>+IF(OR($Q273=Parametres!$G$2,$Q273=Parametres!$G$3),I273,C273)</f>
        <v>659.56</v>
      </c>
      <c r="O273" s="661">
        <f>+IF(OR($Q273=Parametres!$G$2,$Q273=Parametres!$G$3),J273,D273)</f>
        <v>10.56</v>
      </c>
      <c r="P273" s="657">
        <f>+IF(OR($Q273=Parametres!$G$2,$Q273=Parametres!$G$3),K273,E273)</f>
        <v>670.12</v>
      </c>
      <c r="Q273" s="656" t="str">
        <f t="shared" si="178"/>
        <v>7-Dépenses</v>
      </c>
      <c r="R273" s="655" t="str">
        <f t="shared" si="179"/>
        <v>6147</v>
      </c>
      <c r="S273" s="656">
        <f t="shared" si="180"/>
        <v>0</v>
      </c>
      <c r="T273" s="658" t="str">
        <f>+VLOOKUP($L273,Data_Validation!$A:$D,1,0)</f>
        <v>6147</v>
      </c>
      <c r="U273" s="658" t="str">
        <f>+VLOOKUP($L273,Data_Validation!$A:$D,3,0)</f>
        <v>Véhicules neufs</v>
      </c>
      <c r="V273" s="658" t="str">
        <f>+VLOOKUP($L273,Data_Validation!$A:$D,4,0)</f>
        <v>Frais postaux</v>
      </c>
      <c r="W273" s="658" t="str">
        <f>+VLOOKUP($L273,Data_Validation!$A:$E,5,0)</f>
        <v>$</v>
      </c>
      <c r="X273" s="658">
        <f>+VLOOKUP($L273,Data_Validation!$A:$F,6,0)</f>
        <v>0</v>
      </c>
    </row>
    <row r="274" spans="1:24" ht="15" customHeight="1">
      <c r="A274" s="1190" t="s">
        <v>1199</v>
      </c>
      <c r="B274" s="1190" t="s">
        <v>1200</v>
      </c>
      <c r="C274" s="1192">
        <v>20822.13</v>
      </c>
      <c r="D274" s="1192">
        <v>7516.3</v>
      </c>
      <c r="E274" s="1192">
        <v>28338.43</v>
      </c>
      <c r="F274" s="1190" t="s">
        <v>1156</v>
      </c>
      <c r="G274" s="1190" t="s">
        <v>1200</v>
      </c>
      <c r="H274" s="653"/>
      <c r="I274" s="672"/>
      <c r="J274" s="653"/>
      <c r="K274" s="672"/>
      <c r="L274" s="655" t="str">
        <f t="shared" si="176"/>
        <v>6151</v>
      </c>
      <c r="M274" s="656" t="str">
        <f t="shared" si="177"/>
        <v>DEP. DU TRAITEMENT DES DONNEES</v>
      </c>
      <c r="N274" s="657">
        <f>+IF(OR($Q274=Parametres!$G$2,$Q274=Parametres!$G$3),I274,C274)</f>
        <v>20822.13</v>
      </c>
      <c r="O274" s="657">
        <f>+IF(OR($Q274=Parametres!$G$2,$Q274=Parametres!$G$3),J274,D274)</f>
        <v>7516.3</v>
      </c>
      <c r="P274" s="657">
        <f>+IF(OR($Q274=Parametres!$G$2,$Q274=Parametres!$G$3),K274,E274)</f>
        <v>28338.43</v>
      </c>
      <c r="Q274" s="656" t="str">
        <f t="shared" si="178"/>
        <v>7-Dépenses</v>
      </c>
      <c r="R274" s="655" t="str">
        <f t="shared" si="179"/>
        <v>6151</v>
      </c>
      <c r="S274" s="656">
        <f t="shared" si="180"/>
        <v>0</v>
      </c>
      <c r="T274" s="658" t="str">
        <f>+VLOOKUP($L274,Data_Validation!$A:$D,1,0)</f>
        <v>6151</v>
      </c>
      <c r="U274" s="658" t="str">
        <f>+VLOOKUP($L274,Data_Validation!$A:$D,3,0)</f>
        <v>Véhicules neufs</v>
      </c>
      <c r="V274" s="658" t="str">
        <f>+VLOOKUP($L274,Data_Validation!$A:$D,4,0)</f>
        <v>Informatique</v>
      </c>
      <c r="W274" s="658" t="str">
        <f>+VLOOKUP($L274,Data_Validation!$A:$E,5,0)</f>
        <v>$</v>
      </c>
      <c r="X274" s="658">
        <f>+VLOOKUP($L274,Data_Validation!$A:$F,6,0)</f>
        <v>0</v>
      </c>
    </row>
    <row r="275" spans="1:24" ht="15" customHeight="1">
      <c r="A275" s="1190" t="s">
        <v>1201</v>
      </c>
      <c r="B275" s="1190" t="s">
        <v>1202</v>
      </c>
      <c r="C275" s="1192">
        <v>2308.79</v>
      </c>
      <c r="D275" s="1192">
        <v>381.04</v>
      </c>
      <c r="E275" s="1192">
        <v>2689.83</v>
      </c>
      <c r="F275" s="1190" t="s">
        <v>1156</v>
      </c>
      <c r="G275" s="1190" t="s">
        <v>1202</v>
      </c>
      <c r="H275" s="653"/>
      <c r="I275" s="654"/>
      <c r="J275" s="654"/>
      <c r="K275" s="654"/>
      <c r="L275" s="655" t="str">
        <f t="shared" si="176"/>
        <v>6152</v>
      </c>
      <c r="M275" s="656" t="str">
        <f t="shared" si="177"/>
        <v>PAPETERIE</v>
      </c>
      <c r="N275" s="657">
        <f>+IF(OR($Q275=Parametres!$G$2,$Q275=Parametres!$G$3),I275,C275)</f>
        <v>2308.79</v>
      </c>
      <c r="O275" s="657">
        <f>+IF(OR($Q275=Parametres!$G$2,$Q275=Parametres!$G$3),J275,D275)</f>
        <v>381.04</v>
      </c>
      <c r="P275" s="657">
        <f>+IF(OR($Q275=Parametres!$G$2,$Q275=Parametres!$G$3),K275,E275)</f>
        <v>2689.83</v>
      </c>
      <c r="Q275" s="656" t="str">
        <f t="shared" si="178"/>
        <v>7-Dépenses</v>
      </c>
      <c r="R275" s="655" t="str">
        <f t="shared" si="179"/>
        <v>6152</v>
      </c>
      <c r="S275" s="656">
        <f t="shared" si="180"/>
        <v>0</v>
      </c>
      <c r="T275" s="658" t="str">
        <f>+VLOOKUP($L275,Data_Validation!$A:$D,1,0)</f>
        <v>6152</v>
      </c>
      <c r="U275" s="658" t="str">
        <f>+VLOOKUP($L275,Data_Validation!$A:$D,3,0)</f>
        <v>Véhicules neufs</v>
      </c>
      <c r="V275" s="658" t="str">
        <f>+VLOOKUP($L275,Data_Validation!$A:$D,4,0)</f>
        <v>Papeterie</v>
      </c>
      <c r="W275" s="658" t="str">
        <f>+VLOOKUP($L275,Data_Validation!$A:$E,5,0)</f>
        <v>$</v>
      </c>
      <c r="X275" s="658">
        <f>+VLOOKUP($L275,Data_Validation!$A:$F,6,0)</f>
        <v>0</v>
      </c>
    </row>
    <row r="276" spans="1:24" ht="15" customHeight="1">
      <c r="A276" s="1190" t="s">
        <v>1203</v>
      </c>
      <c r="B276" s="1190" t="s">
        <v>1204</v>
      </c>
      <c r="C276" s="1192">
        <v>1061.04</v>
      </c>
      <c r="D276" s="1192">
        <v>318.89999999999998</v>
      </c>
      <c r="E276" s="1192">
        <v>1379.94</v>
      </c>
      <c r="F276" s="1190" t="s">
        <v>1156</v>
      </c>
      <c r="G276" s="1190" t="s">
        <v>1204</v>
      </c>
      <c r="H276" s="653"/>
      <c r="I276" s="672"/>
      <c r="J276" s="653"/>
      <c r="K276" s="672"/>
      <c r="L276" s="655" t="str">
        <f t="shared" si="176"/>
        <v>6153</v>
      </c>
      <c r="M276" s="656" t="str">
        <f t="shared" si="177"/>
        <v>TELEPHONE ET TELEX</v>
      </c>
      <c r="N276" s="657">
        <f>+IF(OR($Q276=Parametres!$G$2,$Q276=Parametres!$G$3),I276,C276)</f>
        <v>1061.04</v>
      </c>
      <c r="O276" s="657">
        <f>+IF(OR($Q276=Parametres!$G$2,$Q276=Parametres!$G$3),J276,D276)</f>
        <v>318.89999999999998</v>
      </c>
      <c r="P276" s="657">
        <f>+IF(OR($Q276=Parametres!$G$2,$Q276=Parametres!$G$3),K276,E276)</f>
        <v>1379.94</v>
      </c>
      <c r="Q276" s="656" t="str">
        <f t="shared" si="178"/>
        <v>7-Dépenses</v>
      </c>
      <c r="R276" s="655" t="str">
        <f t="shared" si="179"/>
        <v>6153</v>
      </c>
      <c r="S276" s="656">
        <f t="shared" si="180"/>
        <v>0</v>
      </c>
      <c r="T276" s="658" t="str">
        <f>+VLOOKUP($L276,Data_Validation!$A:$D,1,0)</f>
        <v>6153</v>
      </c>
      <c r="U276" s="658" t="str">
        <f>+VLOOKUP($L276,Data_Validation!$A:$D,3,0)</f>
        <v>Véhicules neufs</v>
      </c>
      <c r="V276" s="658" t="str">
        <f>+VLOOKUP($L276,Data_Validation!$A:$D,4,0)</f>
        <v>Téléphone</v>
      </c>
      <c r="W276" s="658" t="str">
        <f>+VLOOKUP($L276,Data_Validation!$A:$E,5,0)</f>
        <v>$</v>
      </c>
      <c r="X276" s="658">
        <f>+VLOOKUP($L276,Data_Validation!$A:$F,6,0)</f>
        <v>0</v>
      </c>
    </row>
    <row r="277" spans="1:24" ht="15" customHeight="1">
      <c r="A277" s="1190" t="s">
        <v>1205</v>
      </c>
      <c r="B277" s="1190" t="s">
        <v>1206</v>
      </c>
      <c r="C277" s="1192">
        <v>564.87</v>
      </c>
      <c r="D277" s="1192">
        <v>201.95</v>
      </c>
      <c r="E277" s="1192">
        <v>766.82</v>
      </c>
      <c r="F277" s="1190" t="s">
        <v>1156</v>
      </c>
      <c r="G277" s="1190" t="s">
        <v>1206</v>
      </c>
      <c r="H277" s="653"/>
      <c r="I277" s="654"/>
      <c r="J277" s="654"/>
      <c r="K277" s="654"/>
      <c r="L277" s="655" t="str">
        <f t="shared" si="176"/>
        <v>6155</v>
      </c>
      <c r="M277" s="656" t="str">
        <f t="shared" si="177"/>
        <v>DEPENSES DIVERS</v>
      </c>
      <c r="N277" s="657">
        <f>+IF(OR($Q277=Parametres!$G$2,$Q277=Parametres!$G$3),I277,C277)</f>
        <v>564.87</v>
      </c>
      <c r="O277" s="657">
        <f>+IF(OR($Q277=Parametres!$G$2,$Q277=Parametres!$G$3),J277,D277)</f>
        <v>201.95</v>
      </c>
      <c r="P277" s="657">
        <f>+IF(OR($Q277=Parametres!$G$2,$Q277=Parametres!$G$3),K277,E277)</f>
        <v>766.82</v>
      </c>
      <c r="Q277" s="656" t="str">
        <f t="shared" si="178"/>
        <v>7-Dépenses</v>
      </c>
      <c r="R277" s="655" t="str">
        <f t="shared" si="179"/>
        <v>6155</v>
      </c>
      <c r="S277" s="656">
        <f t="shared" si="180"/>
        <v>0</v>
      </c>
      <c r="T277" s="658" t="str">
        <f>+VLOOKUP($L277,Data_Validation!$A:$D,1,0)</f>
        <v>6155</v>
      </c>
      <c r="U277" s="658" t="str">
        <f>+VLOOKUP($L277,Data_Validation!$A:$D,3,0)</f>
        <v>Véhicules neufs</v>
      </c>
      <c r="V277" s="658" t="str">
        <f>+VLOOKUP($L277,Data_Validation!$A:$D,4,0)</f>
        <v>Divers</v>
      </c>
      <c r="W277" s="658" t="str">
        <f>+VLOOKUP($L277,Data_Validation!$A:$E,5,0)</f>
        <v>$</v>
      </c>
      <c r="X277" s="658">
        <f>+VLOOKUP($L277,Data_Validation!$A:$F,6,0)</f>
        <v>0</v>
      </c>
    </row>
    <row r="278" spans="1:24" ht="15" customHeight="1">
      <c r="A278" s="1190" t="s">
        <v>1207</v>
      </c>
      <c r="B278" s="1190" t="s">
        <v>1208</v>
      </c>
      <c r="C278" s="1192">
        <v>2408.2800000000002</v>
      </c>
      <c r="D278" s="1192">
        <v>2705.19</v>
      </c>
      <c r="E278" s="1192">
        <v>5113.47</v>
      </c>
      <c r="F278" s="1190" t="s">
        <v>1156</v>
      </c>
      <c r="G278" s="1190" t="s">
        <v>1208</v>
      </c>
      <c r="H278" s="653"/>
      <c r="I278" s="672"/>
      <c r="J278" s="653"/>
      <c r="K278" s="672"/>
      <c r="L278" s="655" t="str">
        <f t="shared" si="176"/>
        <v>6156</v>
      </c>
      <c r="M278" s="656" t="str">
        <f t="shared" si="177"/>
        <v>FRAIS REPRESENTATION - NEUF</v>
      </c>
      <c r="N278" s="657">
        <f>+IF(OR($Q278=Parametres!$G$2,$Q278=Parametres!$G$3),I278,C278)</f>
        <v>2408.2800000000002</v>
      </c>
      <c r="O278" s="661">
        <f>+IF(OR($Q278=Parametres!$G$2,$Q278=Parametres!$G$3),J278,D278)</f>
        <v>2705.19</v>
      </c>
      <c r="P278" s="657">
        <f>+IF(OR($Q278=Parametres!$G$2,$Q278=Parametres!$G$3),K278,E278)</f>
        <v>5113.47</v>
      </c>
      <c r="Q278" s="656" t="str">
        <f t="shared" si="178"/>
        <v>7-Dépenses</v>
      </c>
      <c r="R278" s="655" t="str">
        <f t="shared" si="179"/>
        <v>6156</v>
      </c>
      <c r="S278" s="656">
        <f t="shared" si="180"/>
        <v>0</v>
      </c>
      <c r="T278" s="658" t="str">
        <f>+VLOOKUP($L278,Data_Validation!$A:$D,1,0)</f>
        <v>6156</v>
      </c>
      <c r="U278" s="658" t="str">
        <f>+VLOOKUP($L278,Data_Validation!$A:$D,3,0)</f>
        <v>Véhicules neufs</v>
      </c>
      <c r="V278" s="658" t="str">
        <f>+VLOOKUP($L278,Data_Validation!$A:$D,4,0)</f>
        <v>Frais de déplacement</v>
      </c>
      <c r="W278" s="658" t="str">
        <f>+VLOOKUP($L278,Data_Validation!$A:$E,5,0)</f>
        <v>$</v>
      </c>
      <c r="X278" s="658">
        <f>+VLOOKUP($L278,Data_Validation!$A:$F,6,0)</f>
        <v>0</v>
      </c>
    </row>
    <row r="279" spans="1:24" ht="15.75" customHeight="1">
      <c r="A279" s="1190" t="s">
        <v>1209</v>
      </c>
      <c r="B279" s="1190" t="s">
        <v>3392</v>
      </c>
      <c r="C279" s="1192">
        <v>8740.11</v>
      </c>
      <c r="D279" s="1192">
        <v>4277.07</v>
      </c>
      <c r="E279" s="1192">
        <v>13017.18</v>
      </c>
      <c r="F279" s="1190" t="s">
        <v>1156</v>
      </c>
      <c r="G279" s="1190" t="s">
        <v>1210</v>
      </c>
      <c r="H279" s="653"/>
      <c r="I279" s="654"/>
      <c r="J279" s="654"/>
      <c r="K279" s="654"/>
      <c r="L279" s="655" t="str">
        <f t="shared" si="176"/>
        <v>6157</v>
      </c>
      <c r="M279" s="656" t="str">
        <f t="shared" si="177"/>
        <v>FRAIS BANCAIRES - NEUF</v>
      </c>
      <c r="N279" s="657">
        <f>+IF(OR($Q279=Parametres!$G$2,$Q279=Parametres!$G$3),I279,C279)</f>
        <v>8740.11</v>
      </c>
      <c r="O279" s="661">
        <f>+IF(OR($Q279=Parametres!$G$2,$Q279=Parametres!$G$3),J279,D279)</f>
        <v>4277.07</v>
      </c>
      <c r="P279" s="657">
        <f>+IF(OR($Q279=Parametres!$G$2,$Q279=Parametres!$G$3),K279,E279)</f>
        <v>13017.18</v>
      </c>
      <c r="Q279" s="656" t="str">
        <f t="shared" si="178"/>
        <v>7-Dépenses</v>
      </c>
      <c r="R279" s="655" t="str">
        <f t="shared" si="179"/>
        <v>615</v>
      </c>
      <c r="S279" s="656">
        <f t="shared" si="180"/>
        <v>0</v>
      </c>
      <c r="T279" s="658" t="str">
        <f>+VLOOKUP($L279,Data_Validation!$A:$D,1,0)</f>
        <v>6157</v>
      </c>
      <c r="U279" s="658" t="str">
        <f>+VLOOKUP($L279,Data_Validation!$A:$D,3,0)</f>
        <v>Véhicules neufs</v>
      </c>
      <c r="V279" s="658" t="str">
        <f>+VLOOKUP($L279,Data_Validation!$A:$D,4,0)</f>
        <v>Frais bancaires</v>
      </c>
      <c r="W279" s="658" t="str">
        <f>+VLOOKUP($L279,Data_Validation!$A:$E,5,0)</f>
        <v>$</v>
      </c>
      <c r="X279" s="658">
        <f>+VLOOKUP($L279,Data_Validation!$A:$F,6,0)</f>
        <v>0</v>
      </c>
    </row>
    <row r="280" spans="1:24" ht="15" customHeight="1">
      <c r="A280" s="1190" t="s">
        <v>1211</v>
      </c>
      <c r="B280" s="1190" t="s">
        <v>1212</v>
      </c>
      <c r="C280" s="1192">
        <v>20935.77</v>
      </c>
      <c r="D280" s="1192">
        <v>6746.26</v>
      </c>
      <c r="E280" s="1192">
        <v>27682.03</v>
      </c>
      <c r="F280" s="1190" t="s">
        <v>1156</v>
      </c>
      <c r="G280" s="1190" t="s">
        <v>1212</v>
      </c>
      <c r="H280" s="653"/>
      <c r="I280" s="654"/>
      <c r="J280" s="654"/>
      <c r="K280" s="654"/>
      <c r="L280" s="655" t="str">
        <f t="shared" si="176"/>
        <v>6159</v>
      </c>
      <c r="M280" s="656" t="str">
        <f t="shared" si="177"/>
        <v>SERVICE EXTERIEUR</v>
      </c>
      <c r="N280" s="657">
        <f>+IF(OR($Q280=Parametres!$G$2,$Q280=Parametres!$G$3),I280,C280)</f>
        <v>20935.77</v>
      </c>
      <c r="O280" s="657">
        <f>+IF(OR($Q280=Parametres!$G$2,$Q280=Parametres!$G$3),J280,D280)</f>
        <v>6746.26</v>
      </c>
      <c r="P280" s="657">
        <f>+IF(OR($Q280=Parametres!$G$2,$Q280=Parametres!$G$3),K280,E280)</f>
        <v>27682.03</v>
      </c>
      <c r="Q280" s="656" t="str">
        <f t="shared" si="178"/>
        <v>7-Dépenses</v>
      </c>
      <c r="R280" s="655" t="str">
        <f t="shared" si="179"/>
        <v>6159</v>
      </c>
      <c r="S280" s="656">
        <f t="shared" si="180"/>
        <v>0</v>
      </c>
      <c r="T280" s="658" t="str">
        <f>+VLOOKUP($L280,Data_Validation!$A:$D,1,0)</f>
        <v>6159</v>
      </c>
      <c r="U280" s="658" t="str">
        <f>+VLOOKUP($L280,Data_Validation!$A:$D,3,0)</f>
        <v>Véhicules neufs</v>
      </c>
      <c r="V280" s="658" t="str">
        <f>+VLOOKUP($L280,Data_Validation!$A:$D,4,0)</f>
        <v>Services extérieurs</v>
      </c>
      <c r="W280" s="658" t="str">
        <f>+VLOOKUP($L280,Data_Validation!$A:$E,5,0)</f>
        <v>$</v>
      </c>
      <c r="X280" s="658">
        <f>+VLOOKUP($L280,Data_Validation!$A:$F,6,0)</f>
        <v>0</v>
      </c>
    </row>
    <row r="281" spans="1:24" ht="15" customHeight="1">
      <c r="A281" s="1190" t="s">
        <v>1213</v>
      </c>
      <c r="B281" s="1190" t="s">
        <v>1214</v>
      </c>
      <c r="C281" s="1192">
        <v>6062.4</v>
      </c>
      <c r="D281" s="1192">
        <v>2020.8</v>
      </c>
      <c r="E281" s="1192">
        <v>8083.2</v>
      </c>
      <c r="F281" s="1190" t="s">
        <v>1156</v>
      </c>
      <c r="G281" s="1190" t="s">
        <v>1214</v>
      </c>
      <c r="H281" s="653"/>
      <c r="I281" s="672"/>
      <c r="J281" s="662"/>
      <c r="K281" s="672"/>
      <c r="L281" s="655" t="str">
        <f t="shared" si="176"/>
        <v>6161</v>
      </c>
      <c r="M281" s="670" t="str">
        <f t="shared" si="177"/>
        <v>DEPRECIATION EQUIP. &amp; FIXTURES</v>
      </c>
      <c r="N281" s="657">
        <f>+IF(OR($Q281=Parametres!$G$2,$Q281=Parametres!$G$3),I281,C281)</f>
        <v>6062.4</v>
      </c>
      <c r="O281" s="661">
        <f>+IF(OR($Q281=Parametres!$G$2,$Q281=Parametres!$G$3),J281,D281)</f>
        <v>2020.8</v>
      </c>
      <c r="P281" s="671">
        <f>+IF(OR($Q281=Parametres!$G$2,$Q281=Parametres!$G$3),K281,E281)</f>
        <v>8083.2</v>
      </c>
      <c r="Q281" s="656" t="str">
        <f t="shared" si="178"/>
        <v>7-Dépenses</v>
      </c>
      <c r="R281" s="655" t="str">
        <f t="shared" si="179"/>
        <v>6161</v>
      </c>
      <c r="S281" s="656">
        <f t="shared" si="180"/>
        <v>0</v>
      </c>
      <c r="T281" s="658" t="str">
        <f>+VLOOKUP($L281,Data_Validation!$A:$D,1,0)</f>
        <v>6161</v>
      </c>
      <c r="U281" s="658" t="str">
        <f>+VLOOKUP($L281,Data_Validation!$A:$D,3,0)</f>
        <v>Véhicules neufs</v>
      </c>
      <c r="V281" s="658" t="str">
        <f>+VLOOKUP($L281,Data_Validation!$A:$D,4,0)</f>
        <v>Amortissement</v>
      </c>
      <c r="W281" s="658" t="str">
        <f>+VLOOKUP($L281,Data_Validation!$A:$E,5,0)</f>
        <v>$</v>
      </c>
      <c r="X281" s="658">
        <f>+VLOOKUP($L281,Data_Validation!$A:$F,6,0)</f>
        <v>0</v>
      </c>
    </row>
    <row r="282" spans="1:24" ht="15" customHeight="1">
      <c r="A282" s="1190" t="s">
        <v>1215</v>
      </c>
      <c r="B282" s="1190" t="s">
        <v>1216</v>
      </c>
      <c r="C282" s="1192">
        <v>4051.93</v>
      </c>
      <c r="D282" s="1192">
        <v>2765.44</v>
      </c>
      <c r="E282" s="1192">
        <v>6817.37</v>
      </c>
      <c r="F282" s="1190" t="s">
        <v>1156</v>
      </c>
      <c r="G282" s="1190" t="s">
        <v>1216</v>
      </c>
      <c r="H282" s="653"/>
      <c r="I282" s="654"/>
      <c r="J282" s="654"/>
      <c r="K282" s="654"/>
      <c r="L282" s="655" t="str">
        <f t="shared" si="176"/>
        <v>6181</v>
      </c>
      <c r="M282" s="656" t="str">
        <f t="shared" si="177"/>
        <v>ELECTRICITE CHAUFFAGE</v>
      </c>
      <c r="N282" s="657">
        <f>+IF(OR($Q282=Parametres!$G$2,$Q282=Parametres!$G$3),I282,C282)</f>
        <v>4051.93</v>
      </c>
      <c r="O282" s="657">
        <f>+IF(OR($Q282=Parametres!$G$2,$Q282=Parametres!$G$3),J282,D282)</f>
        <v>2765.44</v>
      </c>
      <c r="P282" s="657">
        <f>+IF(OR($Q282=Parametres!$G$2,$Q282=Parametres!$G$3),K282,E282)</f>
        <v>6817.37</v>
      </c>
      <c r="Q282" s="656" t="str">
        <f t="shared" si="178"/>
        <v>7-Dépenses</v>
      </c>
      <c r="R282" s="655" t="str">
        <f t="shared" si="179"/>
        <v>6181</v>
      </c>
      <c r="S282" s="656">
        <f t="shared" si="180"/>
        <v>0</v>
      </c>
      <c r="T282" s="658" t="str">
        <f>+VLOOKUP($L282,Data_Validation!$A:$D,1,0)</f>
        <v>6181</v>
      </c>
      <c r="U282" s="658" t="str">
        <f>+VLOOKUP($L282,Data_Validation!$A:$D,3,0)</f>
        <v>Véhicules neufs</v>
      </c>
      <c r="V282" s="658" t="str">
        <f>+VLOOKUP($L282,Data_Validation!$A:$D,4,0)</f>
        <v>Chauffage, éclairage</v>
      </c>
      <c r="W282" s="658" t="str">
        <f>+VLOOKUP($L282,Data_Validation!$A:$E,5,0)</f>
        <v>$</v>
      </c>
      <c r="X282" s="658">
        <f>+VLOOKUP($L282,Data_Validation!$A:$F,6,0)</f>
        <v>0</v>
      </c>
    </row>
    <row r="283" spans="1:24" ht="15.75" customHeight="1">
      <c r="A283" s="1190" t="s">
        <v>1217</v>
      </c>
      <c r="B283" s="1190" t="s">
        <v>1218</v>
      </c>
      <c r="C283" s="1192">
        <v>34560</v>
      </c>
      <c r="D283" s="1192">
        <v>11520</v>
      </c>
      <c r="E283" s="1192">
        <v>46080</v>
      </c>
      <c r="F283" s="1190" t="s">
        <v>1156</v>
      </c>
      <c r="G283" s="1190" t="s">
        <v>1218</v>
      </c>
      <c r="H283" s="652"/>
      <c r="I283" s="665"/>
      <c r="J283" s="665"/>
      <c r="K283" s="665"/>
      <c r="L283" s="655" t="str">
        <f t="shared" si="176"/>
        <v>6182</v>
      </c>
      <c r="M283" s="656" t="str">
        <f t="shared" si="177"/>
        <v>LOYER NEUFS</v>
      </c>
      <c r="N283" s="657">
        <f>+IF(OR($Q283=Parametres!$G$2,$Q283=Parametres!$G$3),I283,C283)</f>
        <v>34560</v>
      </c>
      <c r="O283" s="657">
        <f>+IF(OR($Q283=Parametres!$G$2,$Q283=Parametres!$G$3),J283,D283)</f>
        <v>11520</v>
      </c>
      <c r="P283" s="657">
        <f>+IF(OR($Q283=Parametres!$G$2,$Q283=Parametres!$G$3),K283,E283)</f>
        <v>46080</v>
      </c>
      <c r="Q283" s="656" t="str">
        <f t="shared" si="178"/>
        <v>7-Dépenses</v>
      </c>
      <c r="R283" s="655" t="str">
        <f t="shared" si="179"/>
        <v>6182</v>
      </c>
      <c r="S283" s="656">
        <f t="shared" si="180"/>
        <v>0</v>
      </c>
      <c r="T283" s="658" t="str">
        <f>+VLOOKUP($L283,Data_Validation!$A:$D,1,0)</f>
        <v>6182</v>
      </c>
      <c r="U283" s="658" t="str">
        <f>+VLOOKUP($L283,Data_Validation!$A:$D,3,0)</f>
        <v>Véhicules neufs</v>
      </c>
      <c r="V283" s="658" t="str">
        <f>+VLOOKUP($L283,Data_Validation!$A:$D,4,0)</f>
        <v>Loyer</v>
      </c>
      <c r="W283" s="658" t="str">
        <f>+VLOOKUP($L283,Data_Validation!$A:$E,5,0)</f>
        <v>$</v>
      </c>
      <c r="X283" s="658">
        <f>+VLOOKUP($L283,Data_Validation!$A:$F,6,0)</f>
        <v>0</v>
      </c>
    </row>
    <row r="284" spans="1:24" ht="15" customHeight="1">
      <c r="A284" s="1190" t="s">
        <v>1219</v>
      </c>
      <c r="B284" s="1190" t="s">
        <v>1220</v>
      </c>
      <c r="C284" s="1192">
        <v>3737.37</v>
      </c>
      <c r="D284" s="1192">
        <v>1245.79</v>
      </c>
      <c r="E284" s="1192">
        <v>4983.16</v>
      </c>
      <c r="F284" s="1190" t="s">
        <v>1156</v>
      </c>
      <c r="G284" s="1190" t="s">
        <v>1220</v>
      </c>
      <c r="H284" s="653"/>
      <c r="I284" s="653"/>
      <c r="J284" s="653"/>
      <c r="K284" s="672"/>
      <c r="L284" s="655" t="str">
        <f t="shared" si="176"/>
        <v>6186</v>
      </c>
      <c r="M284" s="656" t="str">
        <f t="shared" si="177"/>
        <v>ASSURANCE BATIMENT</v>
      </c>
      <c r="N284" s="657">
        <f>+IF(OR($Q284=Parametres!$G$2,$Q284=Parametres!$G$3),I284,C284)</f>
        <v>3737.37</v>
      </c>
      <c r="O284" s="661">
        <f>+IF(OR($Q284=Parametres!$G$2,$Q284=Parametres!$G$3),J284,D284)</f>
        <v>1245.79</v>
      </c>
      <c r="P284" s="657">
        <f>+IF(OR($Q284=Parametres!$G$2,$Q284=Parametres!$G$3),K284,E284)</f>
        <v>4983.16</v>
      </c>
      <c r="Q284" s="656" t="str">
        <f t="shared" si="178"/>
        <v>7-Dépenses</v>
      </c>
      <c r="R284" s="655" t="str">
        <f t="shared" si="179"/>
        <v>6186</v>
      </c>
      <c r="S284" s="656">
        <f t="shared" si="180"/>
        <v>0</v>
      </c>
      <c r="T284" s="658" t="str">
        <f>+VLOOKUP($L284,Data_Validation!$A:$D,1,0)</f>
        <v>6186</v>
      </c>
      <c r="U284" s="658" t="str">
        <f>+VLOOKUP($L284,Data_Validation!$A:$D,3,0)</f>
        <v>Véhicules neufs</v>
      </c>
      <c r="V284" s="658" t="str">
        <f>+VLOOKUP($L284,Data_Validation!$A:$D,4,0)</f>
        <v>Assurances</v>
      </c>
      <c r="W284" s="658" t="str">
        <f>+VLOOKUP($L284,Data_Validation!$A:$E,5,0)</f>
        <v>$</v>
      </c>
      <c r="X284" s="658">
        <f>+VLOOKUP($L284,Data_Validation!$A:$F,6,0)</f>
        <v>0</v>
      </c>
    </row>
    <row r="285" spans="1:24" ht="15" customHeight="1">
      <c r="A285" s="1190" t="s">
        <v>1221</v>
      </c>
      <c r="B285" s="1190" t="s">
        <v>1222</v>
      </c>
      <c r="C285" s="1192">
        <v>4969.92</v>
      </c>
      <c r="D285" s="1192">
        <v>1656.64</v>
      </c>
      <c r="E285" s="1192">
        <v>6626.56</v>
      </c>
      <c r="F285" s="1190" t="s">
        <v>1156</v>
      </c>
      <c r="G285" s="1190" t="s">
        <v>1222</v>
      </c>
      <c r="H285" s="653"/>
      <c r="I285" s="654"/>
      <c r="J285" s="654"/>
      <c r="K285" s="654"/>
      <c r="L285" s="655" t="str">
        <f t="shared" si="176"/>
        <v>6187</v>
      </c>
      <c r="M285" s="656" t="str">
        <f t="shared" si="177"/>
        <v>TAXE SUR PROPRIETE</v>
      </c>
      <c r="N285" s="657">
        <f>+IF(OR($Q285=Parametres!$G$2,$Q285=Parametres!$G$3),I285,C285)</f>
        <v>4969.92</v>
      </c>
      <c r="O285" s="657">
        <f>+IF(OR($Q285=Parametres!$G$2,$Q285=Parametres!$G$3),J285,D285)</f>
        <v>1656.64</v>
      </c>
      <c r="P285" s="657">
        <f>+IF(OR($Q285=Parametres!$G$2,$Q285=Parametres!$G$3),K285,E285)</f>
        <v>6626.56</v>
      </c>
      <c r="Q285" s="656" t="str">
        <f t="shared" si="178"/>
        <v>7-Dépenses</v>
      </c>
      <c r="R285" s="655" t="str">
        <f t="shared" si="179"/>
        <v>6187</v>
      </c>
      <c r="S285" s="656">
        <f t="shared" si="180"/>
        <v>0</v>
      </c>
      <c r="T285" s="658" t="str">
        <f>+VLOOKUP($L285,Data_Validation!$A:$D,1,0)</f>
        <v>6187</v>
      </c>
      <c r="U285" s="658" t="str">
        <f>+VLOOKUP($L285,Data_Validation!$A:$D,3,0)</f>
        <v>Véhicules neufs</v>
      </c>
      <c r="V285" s="658" t="str">
        <f>+VLOOKUP($L285,Data_Validation!$A:$D,4,0)</f>
        <v>Taxes foncières</v>
      </c>
      <c r="W285" s="658" t="str">
        <f>+VLOOKUP($L285,Data_Validation!$A:$E,5,0)</f>
        <v>$</v>
      </c>
      <c r="X285" s="658">
        <f>+VLOOKUP($L285,Data_Validation!$A:$F,6,0)</f>
        <v>0</v>
      </c>
    </row>
    <row r="286" spans="1:24" ht="15" customHeight="1">
      <c r="A286" s="1190" t="s">
        <v>1223</v>
      </c>
      <c r="B286" s="1190" t="s">
        <v>1224</v>
      </c>
      <c r="C286" s="1192">
        <v>3307.2</v>
      </c>
      <c r="D286" s="1192">
        <v>1102.4000000000001</v>
      </c>
      <c r="E286" s="1192">
        <v>4409.6000000000004</v>
      </c>
      <c r="F286" s="1190" t="s">
        <v>1156</v>
      </c>
      <c r="G286" s="1190" t="s">
        <v>1224</v>
      </c>
      <c r="H286" s="653"/>
      <c r="I286" s="654"/>
      <c r="J286" s="654"/>
      <c r="K286" s="654"/>
      <c r="L286" s="655" t="str">
        <f t="shared" si="176"/>
        <v>6193</v>
      </c>
      <c r="M286" s="656" t="str">
        <f t="shared" si="177"/>
        <v>TAXES AUTRES PERMIS LICENCE</v>
      </c>
      <c r="N286" s="657">
        <f>+IF(OR($Q286=Parametres!$G$2,$Q286=Parametres!$G$3),I286,C286)</f>
        <v>3307.2</v>
      </c>
      <c r="O286" s="661">
        <f>+IF(OR($Q286=Parametres!$G$2,$Q286=Parametres!$G$3),J286,D286)</f>
        <v>1102.4000000000001</v>
      </c>
      <c r="P286" s="657">
        <f>+IF(OR($Q286=Parametres!$G$2,$Q286=Parametres!$G$3),K286,E286)</f>
        <v>4409.6000000000004</v>
      </c>
      <c r="Q286" s="656" t="str">
        <f t="shared" si="178"/>
        <v>7-Dépenses</v>
      </c>
      <c r="R286" s="655" t="str">
        <f t="shared" si="179"/>
        <v>6193</v>
      </c>
      <c r="S286" s="656">
        <f t="shared" si="180"/>
        <v>0</v>
      </c>
      <c r="T286" s="658" t="str">
        <f>+VLOOKUP($L286,Data_Validation!$A:$D,1,0)</f>
        <v>6193</v>
      </c>
      <c r="U286" s="658" t="str">
        <f>+VLOOKUP($L286,Data_Validation!$A:$D,3,0)</f>
        <v>Véhicules neufs</v>
      </c>
      <c r="V286" s="658" t="str">
        <f>+VLOOKUP($L286,Data_Validation!$A:$D,4,0)</f>
        <v>Taxes d`affaires</v>
      </c>
      <c r="W286" s="658" t="str">
        <f>+VLOOKUP($L286,Data_Validation!$A:$E,5,0)</f>
        <v>$</v>
      </c>
      <c r="X286" s="658">
        <f>+VLOOKUP($L286,Data_Validation!$A:$F,6,0)</f>
        <v>0</v>
      </c>
    </row>
    <row r="287" spans="1:24" ht="15.75" customHeight="1">
      <c r="A287" s="1190" t="s">
        <v>1225</v>
      </c>
      <c r="B287" s="1190" t="s">
        <v>1226</v>
      </c>
      <c r="C287" s="1192">
        <v>6166.41</v>
      </c>
      <c r="D287" s="1192">
        <v>2055.4699999999998</v>
      </c>
      <c r="E287" s="1192">
        <v>8221.8799999999992</v>
      </c>
      <c r="F287" s="1190" t="s">
        <v>1156</v>
      </c>
      <c r="G287" s="1190" t="s">
        <v>1226</v>
      </c>
      <c r="H287" s="652"/>
      <c r="I287" s="654"/>
      <c r="J287" s="654"/>
      <c r="K287" s="654"/>
      <c r="L287" s="655" t="str">
        <f t="shared" si="176"/>
        <v>6194</v>
      </c>
      <c r="M287" s="656" t="str">
        <f t="shared" si="177"/>
        <v>HONORAIRES PROFESSIONNELS</v>
      </c>
      <c r="N287" s="657">
        <f>+IF(OR($Q287=Parametres!$G$2,$Q287=Parametres!$G$3),I287,C287)</f>
        <v>6166.41</v>
      </c>
      <c r="O287" s="657">
        <f>+IF(OR($Q287=Parametres!$G$2,$Q287=Parametres!$G$3),J287,D287)</f>
        <v>2055.4699999999998</v>
      </c>
      <c r="P287" s="657">
        <f>+IF(OR($Q287=Parametres!$G$2,$Q287=Parametres!$G$3),K287,E287)</f>
        <v>8221.8799999999992</v>
      </c>
      <c r="Q287" s="656" t="str">
        <f t="shared" si="178"/>
        <v>7-Dépenses</v>
      </c>
      <c r="R287" s="655" t="str">
        <f t="shared" si="179"/>
        <v>6194</v>
      </c>
      <c r="S287" s="656">
        <f t="shared" si="180"/>
        <v>0</v>
      </c>
      <c r="T287" s="658" t="str">
        <f>+VLOOKUP($L287,Data_Validation!$A:$D,1,0)</f>
        <v>6194</v>
      </c>
      <c r="U287" s="658" t="str">
        <f>+VLOOKUP($L287,Data_Validation!$A:$D,3,0)</f>
        <v>Véhicules neufs</v>
      </c>
      <c r="V287" s="658" t="str">
        <f>+VLOOKUP($L287,Data_Validation!$A:$D,4,0)</f>
        <v>Honoraires</v>
      </c>
      <c r="W287" s="658" t="str">
        <f>+VLOOKUP($L287,Data_Validation!$A:$E,5,0)</f>
        <v>$</v>
      </c>
      <c r="X287" s="658">
        <f>+VLOOKUP($L287,Data_Validation!$A:$F,6,0)</f>
        <v>0</v>
      </c>
    </row>
    <row r="288" spans="1:24" ht="15" customHeight="1">
      <c r="A288" s="1190" t="s">
        <v>1227</v>
      </c>
      <c r="B288" s="1190" t="s">
        <v>2321</v>
      </c>
      <c r="C288" s="1192">
        <v>34997.86</v>
      </c>
      <c r="D288" s="1192">
        <v>12859.07</v>
      </c>
      <c r="E288" s="1192">
        <v>47856.93</v>
      </c>
      <c r="F288" s="1190" t="s">
        <v>1156</v>
      </c>
      <c r="G288" s="1190" t="s">
        <v>1157</v>
      </c>
      <c r="H288" s="652"/>
      <c r="I288" s="665"/>
      <c r="J288" s="665"/>
      <c r="K288" s="665"/>
      <c r="L288" s="655" t="str">
        <f t="shared" si="176"/>
        <v>6201</v>
      </c>
      <c r="M288" s="656" t="str">
        <f t="shared" si="177"/>
        <v>COMMISSION USAGES</v>
      </c>
      <c r="N288" s="657">
        <f>+IF(OR($Q288=Parametres!$G$2,$Q288=Parametres!$G$3),I288,C288)</f>
        <v>34997.86</v>
      </c>
      <c r="O288" s="657">
        <f>+IF(OR($Q288=Parametres!$G$2,$Q288=Parametres!$G$3),J288,D288)</f>
        <v>12859.07</v>
      </c>
      <c r="P288" s="657">
        <f>+IF(OR($Q288=Parametres!$G$2,$Q288=Parametres!$G$3),K288,E288)</f>
        <v>47856.93</v>
      </c>
      <c r="Q288" s="656" t="str">
        <f t="shared" si="178"/>
        <v>7-Dépenses</v>
      </c>
      <c r="R288" s="655" t="str">
        <f t="shared" si="179"/>
        <v>6101</v>
      </c>
      <c r="S288" s="656">
        <f t="shared" si="180"/>
        <v>0</v>
      </c>
      <c r="T288" s="658" t="str">
        <f>+VLOOKUP($L288,Data_Validation!$A:$D,1,0)</f>
        <v>6201</v>
      </c>
      <c r="U288" s="658" t="str">
        <f>+VLOOKUP($L288,Data_Validation!$A:$D,3,0)</f>
        <v>Véhicules usagés</v>
      </c>
      <c r="V288" s="658" t="str">
        <f>+VLOOKUP($L288,Data_Validation!$A:$D,4,0)</f>
        <v>Comm. vendeurs</v>
      </c>
      <c r="W288" s="658" t="str">
        <f>+VLOOKUP($L288,Data_Validation!$A:$E,5,0)</f>
        <v>$</v>
      </c>
      <c r="X288" s="658">
        <f>+VLOOKUP($L288,Data_Validation!$A:$F,6,0)</f>
        <v>0</v>
      </c>
    </row>
    <row r="289" spans="1:24" ht="15" customHeight="1">
      <c r="A289" s="1190" t="s">
        <v>1158</v>
      </c>
      <c r="B289" s="1190" t="s">
        <v>2324</v>
      </c>
      <c r="C289" s="1192">
        <v>21595.3</v>
      </c>
      <c r="D289" s="1192">
        <v>10777.44</v>
      </c>
      <c r="E289" s="1192">
        <v>32372.74</v>
      </c>
      <c r="F289" s="1190" t="s">
        <v>1156</v>
      </c>
      <c r="G289" s="1190" t="s">
        <v>1159</v>
      </c>
      <c r="H289" s="653"/>
      <c r="I289" s="672"/>
      <c r="J289" s="653"/>
      <c r="K289" s="672"/>
      <c r="L289" s="655" t="str">
        <f t="shared" si="176"/>
        <v>6202</v>
      </c>
      <c r="M289" s="656" t="str">
        <f t="shared" si="177"/>
        <v>RENUMERATION F &amp; I</v>
      </c>
      <c r="N289" s="657">
        <f>+IF(OR($Q289=Parametres!$G$2,$Q289=Parametres!$G$3),I289,C289)</f>
        <v>21595.3</v>
      </c>
      <c r="O289" s="657">
        <f>+IF(OR($Q289=Parametres!$G$2,$Q289=Parametres!$G$3),J289,D289)</f>
        <v>10777.44</v>
      </c>
      <c r="P289" s="657">
        <f>+IF(OR($Q289=Parametres!$G$2,$Q289=Parametres!$G$3),K289,E289)</f>
        <v>32372.74</v>
      </c>
      <c r="Q289" s="656" t="str">
        <f t="shared" si="178"/>
        <v>7-Dépenses</v>
      </c>
      <c r="R289" s="655" t="str">
        <f t="shared" si="179"/>
        <v>6102</v>
      </c>
      <c r="S289" s="656">
        <f t="shared" si="180"/>
        <v>0</v>
      </c>
      <c r="T289" s="658" t="str">
        <f>+VLOOKUP($L289,Data_Validation!$A:$D,1,0)</f>
        <v>6202</v>
      </c>
      <c r="U289" s="658" t="str">
        <f>+VLOOKUP($L289,Data_Validation!$A:$D,3,0)</f>
        <v>Véhicules usagés</v>
      </c>
      <c r="V289" s="658" t="str">
        <f>+VLOOKUP($L289,Data_Validation!$A:$D,4,0)</f>
        <v>Comm. F&amp;I</v>
      </c>
      <c r="W289" s="658" t="str">
        <f>+VLOOKUP($L289,Data_Validation!$A:$E,5,0)</f>
        <v>$</v>
      </c>
      <c r="X289" s="658">
        <f>+VLOOKUP($L289,Data_Validation!$A:$F,6,0)</f>
        <v>0</v>
      </c>
    </row>
    <row r="290" spans="1:24" ht="15" customHeight="1">
      <c r="A290" s="1190" t="s">
        <v>1228</v>
      </c>
      <c r="B290" s="1190" t="s">
        <v>2327</v>
      </c>
      <c r="C290" s="1192">
        <v>2555.8200000000002</v>
      </c>
      <c r="D290" s="1192">
        <v>2887.8</v>
      </c>
      <c r="E290" s="1192">
        <v>5443.62</v>
      </c>
      <c r="F290" s="1190" t="s">
        <v>1156</v>
      </c>
      <c r="G290" s="1190" t="s">
        <v>1161</v>
      </c>
      <c r="H290" s="653"/>
      <c r="I290" s="654"/>
      <c r="J290" s="654"/>
      <c r="K290" s="654"/>
      <c r="L290" s="655" t="str">
        <f t="shared" si="176"/>
        <v>6203</v>
      </c>
      <c r="M290" s="656" t="str">
        <f t="shared" si="177"/>
        <v>RELAT. A LA CLIENTELLE &amp; AJUST</v>
      </c>
      <c r="N290" s="657">
        <f>+IF(OR($Q290=Parametres!$G$2,$Q290=Parametres!$G$3),I290,C290)</f>
        <v>2555.8200000000002</v>
      </c>
      <c r="O290" s="657">
        <f>+IF(OR($Q290=Parametres!$G$2,$Q290=Parametres!$G$3),J290,D290)</f>
        <v>2887.8</v>
      </c>
      <c r="P290" s="657">
        <f>+IF(OR($Q290=Parametres!$G$2,$Q290=Parametres!$G$3),K290,E290)</f>
        <v>5443.62</v>
      </c>
      <c r="Q290" s="656" t="str">
        <f t="shared" si="178"/>
        <v>7-Dépenses</v>
      </c>
      <c r="R290" s="655" t="str">
        <f t="shared" si="179"/>
        <v>6103</v>
      </c>
      <c r="S290" s="656">
        <f t="shared" si="180"/>
        <v>0</v>
      </c>
      <c r="T290" s="658" t="str">
        <f>+VLOOKUP($L290,Data_Validation!$A:$D,1,0)</f>
        <v>6203</v>
      </c>
      <c r="U290" s="658" t="str">
        <f>+VLOOKUP($L290,Data_Validation!$A:$D,3,0)</f>
        <v>Véhicules usagés</v>
      </c>
      <c r="V290" s="658" t="str">
        <f>+VLOOKUP($L290,Data_Validation!$A:$D,4,0)</f>
        <v>Service gratuit 1</v>
      </c>
      <c r="W290" s="658" t="str">
        <f>+VLOOKUP($L290,Data_Validation!$A:$E,5,0)</f>
        <v>$</v>
      </c>
      <c r="X290" s="658">
        <f>+VLOOKUP($L290,Data_Validation!$A:$F,6,0)</f>
        <v>0</v>
      </c>
    </row>
    <row r="291" spans="1:24" ht="15.75" customHeight="1">
      <c r="A291" s="1190" t="s">
        <v>1162</v>
      </c>
      <c r="B291" s="1190" t="s">
        <v>2330</v>
      </c>
      <c r="C291" s="1192">
        <v>11159.33</v>
      </c>
      <c r="D291" s="1192">
        <v>4108.42</v>
      </c>
      <c r="E291" s="1192">
        <v>15267.75</v>
      </c>
      <c r="F291" s="1190" t="s">
        <v>1156</v>
      </c>
      <c r="G291" s="1190" t="s">
        <v>1163</v>
      </c>
      <c r="H291" s="653"/>
      <c r="I291" s="653"/>
      <c r="J291" s="653"/>
      <c r="K291" s="672"/>
      <c r="L291" s="655" t="str">
        <f t="shared" si="176"/>
        <v>6206</v>
      </c>
      <c r="M291" s="656" t="str">
        <f t="shared" si="177"/>
        <v>ENTRETIEN DES STOCKS</v>
      </c>
      <c r="N291" s="657">
        <f>+IF(OR($Q291=Parametres!$G$2,$Q291=Parametres!$G$3),I291,C291)</f>
        <v>11159.33</v>
      </c>
      <c r="O291" s="661">
        <f>+IF(OR($Q291=Parametres!$G$2,$Q291=Parametres!$G$3),J291,D291)</f>
        <v>4108.42</v>
      </c>
      <c r="P291" s="657">
        <f>+IF(OR($Q291=Parametres!$G$2,$Q291=Parametres!$G$3),K291,E291)</f>
        <v>15267.75</v>
      </c>
      <c r="Q291" s="656" t="str">
        <f t="shared" si="178"/>
        <v>7-Dépenses</v>
      </c>
      <c r="R291" s="655" t="str">
        <f t="shared" si="179"/>
        <v>6106</v>
      </c>
      <c r="S291" s="656">
        <f t="shared" si="180"/>
        <v>0</v>
      </c>
      <c r="T291" s="658" t="str">
        <f>+VLOOKUP($L291,Data_Validation!$A:$D,1,0)</f>
        <v>6206</v>
      </c>
      <c r="U291" s="658" t="str">
        <f>+VLOOKUP($L291,Data_Validation!$A:$D,3,0)</f>
        <v>Véhicules usagés</v>
      </c>
      <c r="V291" s="658" t="str">
        <f>+VLOOKUP($L291,Data_Validation!$A:$D,4,0)</f>
        <v>Entretien stock</v>
      </c>
      <c r="W291" s="658" t="str">
        <f>+VLOOKUP($L291,Data_Validation!$A:$E,5,0)</f>
        <v>$</v>
      </c>
      <c r="X291" s="658">
        <f>+VLOOKUP($L291,Data_Validation!$A:$F,6,0)</f>
        <v>0</v>
      </c>
    </row>
    <row r="292" spans="1:24" ht="15" customHeight="1">
      <c r="A292" s="1190" t="s">
        <v>1164</v>
      </c>
      <c r="B292" s="1190" t="s">
        <v>2333</v>
      </c>
      <c r="C292" s="1192">
        <v>22857.01</v>
      </c>
      <c r="D292" s="1192">
        <v>8719.49</v>
      </c>
      <c r="E292" s="1192">
        <v>31576.5</v>
      </c>
      <c r="F292" s="1190" t="s">
        <v>1156</v>
      </c>
      <c r="G292" s="1190" t="s">
        <v>1165</v>
      </c>
      <c r="H292" s="653"/>
      <c r="I292" s="654"/>
      <c r="J292" s="654"/>
      <c r="K292" s="654"/>
      <c r="L292" s="655" t="str">
        <f t="shared" si="176"/>
        <v>6207</v>
      </c>
      <c r="M292" s="656" t="str">
        <f t="shared" si="177"/>
        <v>INTERET-PLAN DE FINANCEMENT</v>
      </c>
      <c r="N292" s="657">
        <f>+IF(OR($Q292=Parametres!$G$2,$Q292=Parametres!$G$3),I292,C292)</f>
        <v>22857.01</v>
      </c>
      <c r="O292" s="657">
        <f>+IF(OR($Q292=Parametres!$G$2,$Q292=Parametres!$G$3),J292,D292)</f>
        <v>8719.49</v>
      </c>
      <c r="P292" s="657">
        <f>+IF(OR($Q292=Parametres!$G$2,$Q292=Parametres!$G$3),K292,E292)</f>
        <v>31576.5</v>
      </c>
      <c r="Q292" s="656" t="str">
        <f t="shared" si="178"/>
        <v>7-Dépenses</v>
      </c>
      <c r="R292" s="655" t="str">
        <f t="shared" si="179"/>
        <v>6107</v>
      </c>
      <c r="S292" s="656">
        <f t="shared" si="180"/>
        <v>0</v>
      </c>
      <c r="T292" s="658" t="str">
        <f>+VLOOKUP($L292,Data_Validation!$A:$D,1,0)</f>
        <v>6207</v>
      </c>
      <c r="U292" s="658" t="str">
        <f>+VLOOKUP($L292,Data_Validation!$A:$D,3,0)</f>
        <v>Véhicules usagés</v>
      </c>
      <c r="V292" s="658" t="str">
        <f>+VLOOKUP($L292,Data_Validation!$A:$D,4,0)</f>
        <v>Intérêt de gros</v>
      </c>
      <c r="W292" s="658" t="str">
        <f>+VLOOKUP($L292,Data_Validation!$A:$E,5,0)</f>
        <v>$</v>
      </c>
      <c r="X292" s="658">
        <f>+VLOOKUP($L292,Data_Validation!$A:$F,6,0)</f>
        <v>0</v>
      </c>
    </row>
    <row r="293" spans="1:24" ht="15" customHeight="1">
      <c r="A293" s="1190" t="s">
        <v>1166</v>
      </c>
      <c r="B293" s="1190" t="s">
        <v>2336</v>
      </c>
      <c r="C293" s="1192">
        <v>-95.49</v>
      </c>
      <c r="D293" s="1192">
        <v>1892.94</v>
      </c>
      <c r="E293" s="1192">
        <v>1797.45</v>
      </c>
      <c r="F293" s="1190" t="s">
        <v>1156</v>
      </c>
      <c r="G293" s="1190" t="s">
        <v>1167</v>
      </c>
      <c r="H293" s="653"/>
      <c r="I293" s="653"/>
      <c r="J293" s="653"/>
      <c r="K293" s="653"/>
      <c r="L293" s="655" t="str">
        <f t="shared" si="176"/>
        <v>6208</v>
      </c>
      <c r="M293" s="656" t="str">
        <f t="shared" si="177"/>
        <v>FRAIS DE LIVRAISON</v>
      </c>
      <c r="N293" s="657">
        <f>+IF(OR($Q293=Parametres!$G$2,$Q293=Parametres!$G$3),I293,C293)</f>
        <v>-95.49</v>
      </c>
      <c r="O293" s="657">
        <f>+IF(OR($Q293=Parametres!$G$2,$Q293=Parametres!$G$3),J293,D293)</f>
        <v>1892.94</v>
      </c>
      <c r="P293" s="657">
        <f>+IF(OR($Q293=Parametres!$G$2,$Q293=Parametres!$G$3),K293,E293)</f>
        <v>1797.45</v>
      </c>
      <c r="Q293" s="656" t="str">
        <f t="shared" si="178"/>
        <v>7-Dépenses</v>
      </c>
      <c r="R293" s="655" t="str">
        <f t="shared" si="179"/>
        <v>6108</v>
      </c>
      <c r="S293" s="656">
        <f t="shared" si="180"/>
        <v>0</v>
      </c>
      <c r="T293" s="658" t="str">
        <f>+VLOOKUP($L293,Data_Validation!$A:$D,1,0)</f>
        <v>6208</v>
      </c>
      <c r="U293" s="658" t="str">
        <f>+VLOOKUP($L293,Data_Validation!$A:$D,3,0)</f>
        <v>Véhicules usagés</v>
      </c>
      <c r="V293" s="658" t="str">
        <f>+VLOOKUP($L293,Data_Validation!$A:$D,4,0)</f>
        <v>Frais de livraison</v>
      </c>
      <c r="W293" s="658" t="str">
        <f>+VLOOKUP($L293,Data_Validation!$A:$E,5,0)</f>
        <v>$</v>
      </c>
      <c r="X293" s="658">
        <f>+VLOOKUP($L293,Data_Validation!$A:$F,6,0)</f>
        <v>0</v>
      </c>
    </row>
    <row r="294" spans="1:24" ht="15" customHeight="1">
      <c r="A294" s="1190" t="s">
        <v>1168</v>
      </c>
      <c r="B294" s="1190" t="s">
        <v>2342</v>
      </c>
      <c r="C294" s="1192">
        <v>42444.36</v>
      </c>
      <c r="D294" s="1192">
        <v>13694.23</v>
      </c>
      <c r="E294" s="1192">
        <v>56138.59</v>
      </c>
      <c r="F294" s="1190" t="s">
        <v>1156</v>
      </c>
      <c r="G294" s="1190" t="s">
        <v>1169</v>
      </c>
      <c r="H294" s="653"/>
      <c r="I294" s="653"/>
      <c r="J294" s="653"/>
      <c r="K294" s="653"/>
      <c r="L294" s="655" t="str">
        <f t="shared" si="176"/>
        <v>6214</v>
      </c>
      <c r="M294" s="656" t="str">
        <f t="shared" si="177"/>
        <v>PUBLICITE</v>
      </c>
      <c r="N294" s="657">
        <f>+IF(OR($Q294=Parametres!$G$2,$Q294=Parametres!$G$3),I294,C294)</f>
        <v>42444.36</v>
      </c>
      <c r="O294" s="657">
        <f>+IF(OR($Q294=Parametres!$G$2,$Q294=Parametres!$G$3),J294,D294)</f>
        <v>13694.23</v>
      </c>
      <c r="P294" s="657">
        <f>+IF(OR($Q294=Parametres!$G$2,$Q294=Parametres!$G$3),K294,E294)</f>
        <v>56138.59</v>
      </c>
      <c r="Q294" s="656" t="str">
        <f t="shared" si="178"/>
        <v>7-Dépenses</v>
      </c>
      <c r="R294" s="655" t="str">
        <f t="shared" si="179"/>
        <v>6114</v>
      </c>
      <c r="S294" s="656">
        <f t="shared" si="180"/>
        <v>0</v>
      </c>
      <c r="T294" s="658" t="str">
        <f>+VLOOKUP($L294,Data_Validation!$A:$D,1,0)</f>
        <v>6214</v>
      </c>
      <c r="U294" s="658" t="str">
        <f>+VLOOKUP($L294,Data_Validation!$A:$D,3,0)</f>
        <v>Véhicules usagés</v>
      </c>
      <c r="V294" s="658" t="str">
        <f>+VLOOKUP($L294,Data_Validation!$A:$D,4,0)</f>
        <v>Publicité 1</v>
      </c>
      <c r="W294" s="658" t="str">
        <f>+VLOOKUP($L294,Data_Validation!$A:$E,5,0)</f>
        <v>$</v>
      </c>
      <c r="X294" s="658">
        <f>+VLOOKUP($L294,Data_Validation!$A:$F,6,0)</f>
        <v>0</v>
      </c>
    </row>
    <row r="295" spans="1:24" ht="15" customHeight="1">
      <c r="A295" s="1190" t="s">
        <v>1229</v>
      </c>
      <c r="B295" s="1190" t="s">
        <v>2345</v>
      </c>
      <c r="C295" s="1192">
        <v>-5700</v>
      </c>
      <c r="D295" s="1192">
        <v>-2200</v>
      </c>
      <c r="E295" s="1192">
        <v>-7900</v>
      </c>
      <c r="F295" s="1190" t="s">
        <v>1156</v>
      </c>
      <c r="G295" s="1190" t="s">
        <v>1169</v>
      </c>
      <c r="H295" s="652"/>
      <c r="I295" s="665"/>
      <c r="J295" s="665"/>
      <c r="K295" s="665"/>
      <c r="L295" s="655" t="str">
        <f t="shared" si="176"/>
        <v>6215</v>
      </c>
      <c r="M295" s="656" t="str">
        <f t="shared" si="177"/>
        <v>CREDIT PUBLICITE USAGES</v>
      </c>
      <c r="N295" s="657">
        <f>+IF(OR($Q295=Parametres!$G$2,$Q295=Parametres!$G$3),I295,C295)</f>
        <v>-5700</v>
      </c>
      <c r="O295" s="657">
        <f>+IF(OR($Q295=Parametres!$G$2,$Q295=Parametres!$G$3),J295,D295)</f>
        <v>-2200</v>
      </c>
      <c r="P295" s="657">
        <f>+IF(OR($Q295=Parametres!$G$2,$Q295=Parametres!$G$3),K295,E295)</f>
        <v>-7900</v>
      </c>
      <c r="Q295" s="656" t="str">
        <f t="shared" si="178"/>
        <v>7-Dépenses</v>
      </c>
      <c r="R295" s="655" t="str">
        <f t="shared" si="179"/>
        <v>6114</v>
      </c>
      <c r="S295" s="656">
        <f t="shared" si="180"/>
        <v>0</v>
      </c>
      <c r="T295" s="658" t="str">
        <f>+VLOOKUP($L295,Data_Validation!$A:$D,1,0)</f>
        <v>6215</v>
      </c>
      <c r="U295" s="658" t="str">
        <f>+VLOOKUP($L295,Data_Validation!$A:$D,3,0)</f>
        <v>Véhicules usagés</v>
      </c>
      <c r="V295" s="658" t="str">
        <f>+VLOOKUP($L295,Data_Validation!$A:$D,4,0)</f>
        <v>Publicité 1</v>
      </c>
      <c r="W295" s="658" t="str">
        <f>+VLOOKUP($L295,Data_Validation!$A:$E,5,0)</f>
        <v>$</v>
      </c>
      <c r="X295" s="658">
        <f>+VLOOKUP($L295,Data_Validation!$A:$F,6,0)</f>
        <v>0</v>
      </c>
    </row>
    <row r="296" spans="1:24" ht="15" customHeight="1">
      <c r="A296" s="1190" t="s">
        <v>1171</v>
      </c>
      <c r="B296" s="1190" t="s">
        <v>2351</v>
      </c>
      <c r="C296" s="1192">
        <v>4779.91</v>
      </c>
      <c r="D296" s="1192">
        <v>1488.49</v>
      </c>
      <c r="E296" s="1192">
        <v>6268.4</v>
      </c>
      <c r="F296" s="1190" t="s">
        <v>1156</v>
      </c>
      <c r="G296" s="1190" t="s">
        <v>1172</v>
      </c>
      <c r="H296" s="653"/>
      <c r="I296" s="654"/>
      <c r="J296" s="654"/>
      <c r="K296" s="654"/>
      <c r="L296" s="655" t="str">
        <f t="shared" si="176"/>
        <v>6221</v>
      </c>
      <c r="M296" s="656" t="str">
        <f t="shared" si="177"/>
        <v>SALAIRES - PROPRIETAIRES</v>
      </c>
      <c r="N296" s="657">
        <f>+IF(OR($Q296=Parametres!$G$2,$Q296=Parametres!$G$3),I296,C296)</f>
        <v>4779.91</v>
      </c>
      <c r="O296" s="657">
        <f>+IF(OR($Q296=Parametres!$G$2,$Q296=Parametres!$G$3),J296,D296)</f>
        <v>1488.49</v>
      </c>
      <c r="P296" s="657">
        <f>+IF(OR($Q296=Parametres!$G$2,$Q296=Parametres!$G$3),K296,E296)</f>
        <v>6268.4</v>
      </c>
      <c r="Q296" s="656" t="str">
        <f t="shared" si="178"/>
        <v>7-Dépenses</v>
      </c>
      <c r="R296" s="655" t="str">
        <f t="shared" si="179"/>
        <v>6121</v>
      </c>
      <c r="S296" s="656">
        <f t="shared" si="180"/>
        <v>0</v>
      </c>
      <c r="T296" s="658" t="str">
        <f>+VLOOKUP($L296,Data_Validation!$A:$D,1,0)</f>
        <v>6221</v>
      </c>
      <c r="U296" s="658" t="str">
        <f>+VLOOKUP($L296,Data_Validation!$A:$D,3,0)</f>
        <v>Véhicules usagés</v>
      </c>
      <c r="V296" s="658" t="str">
        <f>+VLOOKUP($L296,Data_Validation!$A:$D,4,0)</f>
        <v>Salaires propriétaire</v>
      </c>
      <c r="W296" s="658" t="str">
        <f>+VLOOKUP($L296,Data_Validation!$A:$E,5,0)</f>
        <v>$</v>
      </c>
      <c r="X296" s="658">
        <f>+VLOOKUP($L296,Data_Validation!$A:$F,6,0)</f>
        <v>0</v>
      </c>
    </row>
    <row r="297" spans="1:24" ht="15.75" customHeight="1">
      <c r="A297" s="1190" t="s">
        <v>1173</v>
      </c>
      <c r="B297" s="1190" t="s">
        <v>2354</v>
      </c>
      <c r="C297" s="1192">
        <v>33710.800000000003</v>
      </c>
      <c r="D297" s="1192">
        <v>9398.39</v>
      </c>
      <c r="E297" s="1192">
        <v>43109.19</v>
      </c>
      <c r="F297" s="1190" t="s">
        <v>1156</v>
      </c>
      <c r="G297" s="1190" t="s">
        <v>1174</v>
      </c>
      <c r="H297" s="652"/>
      <c r="I297" s="665"/>
      <c r="J297" s="665"/>
      <c r="K297" s="665"/>
      <c r="L297" s="655" t="str">
        <f t="shared" si="176"/>
        <v>6222</v>
      </c>
      <c r="M297" s="656" t="str">
        <f t="shared" si="177"/>
        <v>SAL SUPERVISION / GERANT</v>
      </c>
      <c r="N297" s="657">
        <f>+IF(OR($Q297=Parametres!$G$2,$Q297=Parametres!$G$3),I297,C297)</f>
        <v>33710.800000000003</v>
      </c>
      <c r="O297" s="657">
        <f>+IF(OR($Q297=Parametres!$G$2,$Q297=Parametres!$G$3),J297,D297)</f>
        <v>9398.39</v>
      </c>
      <c r="P297" s="657">
        <f>+IF(OR($Q297=Parametres!$G$2,$Q297=Parametres!$G$3),K297,E297)</f>
        <v>43109.19</v>
      </c>
      <c r="Q297" s="656" t="str">
        <f t="shared" si="178"/>
        <v>7-Dépenses</v>
      </c>
      <c r="R297" s="655" t="str">
        <f t="shared" si="179"/>
        <v>6122</v>
      </c>
      <c r="S297" s="656">
        <f t="shared" si="180"/>
        <v>0</v>
      </c>
      <c r="T297" s="658" t="str">
        <f>+VLOOKUP($L297,Data_Validation!$A:$D,1,0)</f>
        <v>6222</v>
      </c>
      <c r="U297" s="658" t="str">
        <f>+VLOOKUP($L297,Data_Validation!$A:$D,3,0)</f>
        <v>Véhicules usagés</v>
      </c>
      <c r="V297" s="658" t="str">
        <f>+VLOOKUP($L297,Data_Validation!$A:$D,4,0)</f>
        <v>Salaires cadres</v>
      </c>
      <c r="W297" s="658" t="str">
        <f>+VLOOKUP($L297,Data_Validation!$A:$E,5,0)</f>
        <v>$</v>
      </c>
      <c r="X297" s="658">
        <f>+VLOOKUP($L297,Data_Validation!$A:$F,6,0)</f>
        <v>0</v>
      </c>
    </row>
    <row r="298" spans="1:24" ht="15" customHeight="1">
      <c r="A298" s="1190" t="s">
        <v>1175</v>
      </c>
      <c r="B298" s="1190" t="s">
        <v>2357</v>
      </c>
      <c r="C298" s="1192">
        <v>5400.62</v>
      </c>
      <c r="D298" s="1192">
        <v>1810.72</v>
      </c>
      <c r="E298" s="1192">
        <v>7211.34</v>
      </c>
      <c r="F298" s="1190" t="s">
        <v>1156</v>
      </c>
      <c r="G298" s="1190" t="s">
        <v>1176</v>
      </c>
      <c r="H298" s="653"/>
      <c r="I298" s="653"/>
      <c r="J298" s="653"/>
      <c r="K298" s="653"/>
      <c r="L298" s="655" t="str">
        <f t="shared" si="176"/>
        <v>6223</v>
      </c>
      <c r="M298" s="656" t="str">
        <f t="shared" si="177"/>
        <v>SAL. &amp; RENUM. - CLERICAL</v>
      </c>
      <c r="N298" s="657">
        <f>+IF(OR($Q298=Parametres!$G$2,$Q298=Parametres!$G$3),I298,C298)</f>
        <v>5400.62</v>
      </c>
      <c r="O298" s="657">
        <f>+IF(OR($Q298=Parametres!$G$2,$Q298=Parametres!$G$3),J298,D298)</f>
        <v>1810.72</v>
      </c>
      <c r="P298" s="657">
        <f>+IF(OR($Q298=Parametres!$G$2,$Q298=Parametres!$G$3),K298,E298)</f>
        <v>7211.34</v>
      </c>
      <c r="Q298" s="656" t="str">
        <f t="shared" si="178"/>
        <v>7-Dépenses</v>
      </c>
      <c r="R298" s="655" t="str">
        <f t="shared" si="179"/>
        <v>6123</v>
      </c>
      <c r="S298" s="656">
        <f t="shared" si="180"/>
        <v>0</v>
      </c>
      <c r="T298" s="658" t="str">
        <f>+VLOOKUP($L298,Data_Validation!$A:$D,1,0)</f>
        <v>6223</v>
      </c>
      <c r="U298" s="658" t="str">
        <f>+VLOOKUP($L298,Data_Validation!$A:$D,3,0)</f>
        <v>Véhicules usagés</v>
      </c>
      <c r="V298" s="658" t="str">
        <f>+VLOOKUP($L298,Data_Validation!$A:$D,4,0)</f>
        <v>Salaires commis</v>
      </c>
      <c r="W298" s="658" t="str">
        <f>+VLOOKUP($L298,Data_Validation!$A:$E,5,0)</f>
        <v>$</v>
      </c>
      <c r="X298" s="658">
        <f>+VLOOKUP($L298,Data_Validation!$A:$F,6,0)</f>
        <v>0</v>
      </c>
    </row>
    <row r="299" spans="1:24" ht="15" customHeight="1">
      <c r="A299" s="1190" t="s">
        <v>1230</v>
      </c>
      <c r="B299" s="1190" t="s">
        <v>2360</v>
      </c>
      <c r="C299" s="1192">
        <v>18195.16</v>
      </c>
      <c r="D299" s="1192">
        <v>7173.33</v>
      </c>
      <c r="E299" s="1192">
        <v>25368.49</v>
      </c>
      <c r="F299" s="1190" t="s">
        <v>1156</v>
      </c>
      <c r="G299" s="1190" t="s">
        <v>1178</v>
      </c>
      <c r="H299" s="653"/>
      <c r="I299" s="653"/>
      <c r="J299" s="653"/>
      <c r="K299" s="653"/>
      <c r="L299" s="655" t="str">
        <f t="shared" si="176"/>
        <v>6224</v>
      </c>
      <c r="M299" s="656" t="str">
        <f t="shared" si="177"/>
        <v>SALAIRE &amp; RENUM. - AUTRES</v>
      </c>
      <c r="N299" s="657">
        <f>+IF(OR($Q299=Parametres!$G$2,$Q299=Parametres!$G$3),I299,C299)</f>
        <v>18195.16</v>
      </c>
      <c r="O299" s="657">
        <f>+IF(OR($Q299=Parametres!$G$2,$Q299=Parametres!$G$3),J299,D299)</f>
        <v>7173.33</v>
      </c>
      <c r="P299" s="657">
        <f>+IF(OR($Q299=Parametres!$G$2,$Q299=Parametres!$G$3),K299,E299)</f>
        <v>25368.49</v>
      </c>
      <c r="Q299" s="656" t="str">
        <f t="shared" si="178"/>
        <v>7-Dépenses</v>
      </c>
      <c r="R299" s="655" t="str">
        <f t="shared" si="179"/>
        <v>6124</v>
      </c>
      <c r="S299" s="656">
        <f t="shared" si="180"/>
        <v>0</v>
      </c>
      <c r="T299" s="658" t="str">
        <f>+VLOOKUP($L299,Data_Validation!$A:$D,1,0)</f>
        <v>6224</v>
      </c>
      <c r="U299" s="658" t="str">
        <f>+VLOOKUP($L299,Data_Validation!$A:$D,3,0)</f>
        <v>Véhicules usagés</v>
      </c>
      <c r="V299" s="658" t="str">
        <f>+VLOOKUP($L299,Data_Validation!$A:$D,4,0)</f>
        <v>Salaires autres</v>
      </c>
      <c r="W299" s="658" t="str">
        <f>+VLOOKUP($L299,Data_Validation!$A:$E,5,0)</f>
        <v>$</v>
      </c>
      <c r="X299" s="658">
        <f>+VLOOKUP($L299,Data_Validation!$A:$F,6,0)</f>
        <v>0</v>
      </c>
    </row>
    <row r="300" spans="1:24" ht="15" customHeight="1">
      <c r="A300" s="1190" t="s">
        <v>1231</v>
      </c>
      <c r="B300" s="1190" t="s">
        <v>2361</v>
      </c>
      <c r="C300" s="1192">
        <v>16892.91</v>
      </c>
      <c r="D300" s="1192">
        <v>6719.86</v>
      </c>
      <c r="E300" s="1192">
        <v>23612.77</v>
      </c>
      <c r="F300" s="1190" t="s">
        <v>1156</v>
      </c>
      <c r="G300" s="1190" t="s">
        <v>1180</v>
      </c>
      <c r="H300" s="653"/>
      <c r="I300" s="653"/>
      <c r="J300" s="653"/>
      <c r="K300" s="672"/>
      <c r="L300" s="655" t="str">
        <f t="shared" si="176"/>
        <v>6229</v>
      </c>
      <c r="M300" s="656" t="str">
        <f t="shared" si="177"/>
        <v>ABS.,VACANCES &amp; SAL. JOURS FER</v>
      </c>
      <c r="N300" s="657">
        <f>+IF(OR($Q300=Parametres!$G$2,$Q300=Parametres!$G$3),I300,C300)</f>
        <v>16892.91</v>
      </c>
      <c r="O300" s="657">
        <f>+IF(OR($Q300=Parametres!$G$2,$Q300=Parametres!$G$3),J300,D300)</f>
        <v>6719.86</v>
      </c>
      <c r="P300" s="657">
        <f>+IF(OR($Q300=Parametres!$G$2,$Q300=Parametres!$G$3),K300,E300)</f>
        <v>23612.77</v>
      </c>
      <c r="Q300" s="656" t="str">
        <f t="shared" si="178"/>
        <v>7-Dépenses</v>
      </c>
      <c r="R300" s="655" t="str">
        <f t="shared" si="179"/>
        <v>6129</v>
      </c>
      <c r="S300" s="656">
        <f t="shared" si="180"/>
        <v>0</v>
      </c>
      <c r="T300" s="658" t="str">
        <f>+VLOOKUP($L300,Data_Validation!$A:$D,1,0)</f>
        <v>6229</v>
      </c>
      <c r="U300" s="658" t="str">
        <f>+VLOOKUP($L300,Data_Validation!$A:$D,3,0)</f>
        <v>Véhicules usagés</v>
      </c>
      <c r="V300" s="658" t="str">
        <f>+VLOOKUP($L300,Data_Validation!$A:$D,4,0)</f>
        <v>Salaires en absences</v>
      </c>
      <c r="W300" s="658" t="str">
        <f>+VLOOKUP($L300,Data_Validation!$A:$E,5,0)</f>
        <v>$</v>
      </c>
      <c r="X300" s="658">
        <f>+VLOOKUP($L300,Data_Validation!$A:$F,6,0)</f>
        <v>0</v>
      </c>
    </row>
    <row r="301" spans="1:24" ht="15.75" customHeight="1">
      <c r="A301" s="1190" t="s">
        <v>1181</v>
      </c>
      <c r="B301" s="1190" t="s">
        <v>2364</v>
      </c>
      <c r="C301" s="1192">
        <v>2383.77</v>
      </c>
      <c r="D301" s="1192">
        <v>1212.53</v>
      </c>
      <c r="E301" s="1192">
        <v>3596.3</v>
      </c>
      <c r="F301" s="1190" t="s">
        <v>1156</v>
      </c>
      <c r="G301" s="1190" t="s">
        <v>1182</v>
      </c>
      <c r="H301" s="653"/>
      <c r="I301" s="654"/>
      <c r="J301" s="654"/>
      <c r="K301" s="654"/>
      <c r="L301" s="655" t="str">
        <f t="shared" si="176"/>
        <v>6231</v>
      </c>
      <c r="M301" s="656" t="str">
        <f t="shared" si="177"/>
        <v>CSST</v>
      </c>
      <c r="N301" s="657">
        <f>+IF(OR($Q301=Parametres!$G$2,$Q301=Parametres!$G$3),I301,C301)</f>
        <v>2383.77</v>
      </c>
      <c r="O301" s="657">
        <f>+IF(OR($Q301=Parametres!$G$2,$Q301=Parametres!$G$3),J301,D301)</f>
        <v>1212.53</v>
      </c>
      <c r="P301" s="657">
        <f>+IF(OR($Q301=Parametres!$G$2,$Q301=Parametres!$G$3),K301,E301)</f>
        <v>3596.3</v>
      </c>
      <c r="Q301" s="656" t="str">
        <f t="shared" si="178"/>
        <v>7-Dépenses</v>
      </c>
      <c r="R301" s="655" t="str">
        <f t="shared" si="179"/>
        <v>6131</v>
      </c>
      <c r="S301" s="656">
        <f t="shared" si="180"/>
        <v>0</v>
      </c>
      <c r="T301" s="658" t="str">
        <f>+VLOOKUP($L301,Data_Validation!$A:$D,1,0)</f>
        <v>6231</v>
      </c>
      <c r="U301" s="658" t="str">
        <f>+VLOOKUP($L301,Data_Validation!$A:$D,3,0)</f>
        <v>Véhicules usagés</v>
      </c>
      <c r="V301" s="658" t="str">
        <f>+VLOOKUP($L301,Data_Validation!$A:$D,4,0)</f>
        <v>Csst</v>
      </c>
      <c r="W301" s="658" t="str">
        <f>+VLOOKUP($L301,Data_Validation!$A:$E,5,0)</f>
        <v>$</v>
      </c>
      <c r="X301" s="658">
        <f>+VLOOKUP($L301,Data_Validation!$A:$F,6,0)</f>
        <v>0</v>
      </c>
    </row>
    <row r="302" spans="1:24" ht="15" customHeight="1">
      <c r="A302" s="1190" t="s">
        <v>1183</v>
      </c>
      <c r="B302" s="1190" t="s">
        <v>2367</v>
      </c>
      <c r="C302" s="1192">
        <v>18510.47</v>
      </c>
      <c r="D302" s="1192">
        <v>6401.3</v>
      </c>
      <c r="E302" s="1192">
        <v>24911.77</v>
      </c>
      <c r="F302" s="1190" t="s">
        <v>1156</v>
      </c>
      <c r="G302" s="1190" t="s">
        <v>1184</v>
      </c>
      <c r="H302" s="652"/>
      <c r="I302" s="665"/>
      <c r="J302" s="665"/>
      <c r="K302" s="665"/>
      <c r="L302" s="655" t="str">
        <f t="shared" si="176"/>
        <v>6232</v>
      </c>
      <c r="M302" s="656" t="str">
        <f t="shared" si="177"/>
        <v>RRQ RAMQ AC</v>
      </c>
      <c r="N302" s="657">
        <f>+IF(OR($Q302=Parametres!$G$2,$Q302=Parametres!$G$3),I302,C302)</f>
        <v>18510.47</v>
      </c>
      <c r="O302" s="657">
        <f>+IF(OR($Q302=Parametres!$G$2,$Q302=Parametres!$G$3),J302,D302)</f>
        <v>6401.3</v>
      </c>
      <c r="P302" s="657">
        <f>+IF(OR($Q302=Parametres!$G$2,$Q302=Parametres!$G$3),K302,E302)</f>
        <v>24911.77</v>
      </c>
      <c r="Q302" s="656" t="str">
        <f t="shared" si="178"/>
        <v>7-Dépenses</v>
      </c>
      <c r="R302" s="655" t="str">
        <f t="shared" si="179"/>
        <v>6132</v>
      </c>
      <c r="S302" s="656">
        <f t="shared" si="180"/>
        <v>0</v>
      </c>
      <c r="T302" s="658" t="str">
        <f>+VLOOKUP($L302,Data_Validation!$A:$D,1,0)</f>
        <v>6232</v>
      </c>
      <c r="U302" s="658" t="str">
        <f>+VLOOKUP($L302,Data_Validation!$A:$D,3,0)</f>
        <v>Véhicules usagés</v>
      </c>
      <c r="V302" s="658" t="str">
        <f>+VLOOKUP($L302,Data_Validation!$A:$D,4,0)</f>
        <v>Déduction à la source</v>
      </c>
      <c r="W302" s="658" t="str">
        <f>+VLOOKUP($L302,Data_Validation!$A:$E,5,0)</f>
        <v>$</v>
      </c>
      <c r="X302" s="658">
        <f>+VLOOKUP($L302,Data_Validation!$A:$F,6,0)</f>
        <v>0</v>
      </c>
    </row>
    <row r="303" spans="1:24" ht="15" customHeight="1">
      <c r="A303" s="1190" t="s">
        <v>1232</v>
      </c>
      <c r="B303" s="1190" t="s">
        <v>3394</v>
      </c>
      <c r="C303" s="1192">
        <v>715.16</v>
      </c>
      <c r="D303" s="1192">
        <v>296.52</v>
      </c>
      <c r="E303" s="1192">
        <v>1011.68</v>
      </c>
      <c r="F303" s="1190" t="s">
        <v>1156</v>
      </c>
      <c r="G303" s="1190" t="s">
        <v>1186</v>
      </c>
      <c r="H303" s="652"/>
      <c r="I303" s="654"/>
      <c r="J303" s="654"/>
      <c r="K303" s="654"/>
      <c r="L303" s="655" t="str">
        <f t="shared" si="176"/>
        <v>6233</v>
      </c>
      <c r="M303" s="656" t="str">
        <f t="shared" si="177"/>
        <v>FOND PENSION - USAGE</v>
      </c>
      <c r="N303" s="657">
        <f>+IF(OR($Q303=Parametres!$G$2,$Q303=Parametres!$G$3),I303,C303)</f>
        <v>715.16</v>
      </c>
      <c r="O303" s="657">
        <f>+IF(OR($Q303=Parametres!$G$2,$Q303=Parametres!$G$3),J303,D303)</f>
        <v>296.52</v>
      </c>
      <c r="P303" s="657">
        <f>+IF(OR($Q303=Parametres!$G$2,$Q303=Parametres!$G$3),K303,E303)</f>
        <v>1011.68</v>
      </c>
      <c r="Q303" s="656" t="str">
        <f t="shared" si="178"/>
        <v>7-Dépenses</v>
      </c>
      <c r="R303" s="655" t="str">
        <f t="shared" si="179"/>
        <v>6133</v>
      </c>
      <c r="S303" s="656">
        <f t="shared" si="180"/>
        <v>0</v>
      </c>
      <c r="T303" s="658" t="str">
        <f>+VLOOKUP($L303,Data_Validation!$A:$D,1,0)</f>
        <v>6233</v>
      </c>
      <c r="U303" s="658" t="str">
        <f>+VLOOKUP($L303,Data_Validation!$A:$D,3,0)</f>
        <v>Véhicules usagés</v>
      </c>
      <c r="V303" s="658" t="str">
        <f>+VLOOKUP($L303,Data_Validation!$A:$D,4,0)</f>
        <v>Bénéfices marginaux</v>
      </c>
      <c r="W303" s="658" t="str">
        <f>+VLOOKUP($L303,Data_Validation!$A:$E,5,0)</f>
        <v>$</v>
      </c>
      <c r="X303" s="658">
        <f>+VLOOKUP($L303,Data_Validation!$A:$F,6,0)</f>
        <v>0</v>
      </c>
    </row>
    <row r="304" spans="1:24" ht="15" customHeight="1">
      <c r="A304" s="1190" t="s">
        <v>1233</v>
      </c>
      <c r="B304" s="1190" t="s">
        <v>2370</v>
      </c>
      <c r="C304" s="1192">
        <v>2478.9299999999998</v>
      </c>
      <c r="D304" s="1192">
        <v>702.81</v>
      </c>
      <c r="E304" s="1192">
        <v>3181.74</v>
      </c>
      <c r="F304" s="1190" t="s">
        <v>1156</v>
      </c>
      <c r="G304" s="1190" t="s">
        <v>1188</v>
      </c>
      <c r="H304" s="652"/>
      <c r="I304" s="654"/>
      <c r="J304" s="654"/>
      <c r="K304" s="654"/>
      <c r="L304" s="655" t="str">
        <f t="shared" si="176"/>
        <v>6239</v>
      </c>
      <c r="M304" s="656" t="str">
        <f t="shared" si="177"/>
        <v>ASSURANCE GROUPE</v>
      </c>
      <c r="N304" s="657">
        <f>+IF(OR($Q304=Parametres!$G$2,$Q304=Parametres!$G$3),I304,C304)</f>
        <v>2478.9299999999998</v>
      </c>
      <c r="O304" s="657">
        <f>+IF(OR($Q304=Parametres!$G$2,$Q304=Parametres!$G$3),J304,D304)</f>
        <v>702.81</v>
      </c>
      <c r="P304" s="657">
        <f>+IF(OR($Q304=Parametres!$G$2,$Q304=Parametres!$G$3),K304,E304)</f>
        <v>3181.74</v>
      </c>
      <c r="Q304" s="656" t="str">
        <f t="shared" si="178"/>
        <v>7-Dépenses</v>
      </c>
      <c r="R304" s="655" t="str">
        <f t="shared" si="179"/>
        <v>6139</v>
      </c>
      <c r="S304" s="656">
        <f t="shared" si="180"/>
        <v>0</v>
      </c>
      <c r="T304" s="658" t="str">
        <f>+VLOOKUP($L304,Data_Validation!$A:$D,1,0)</f>
        <v>6239</v>
      </c>
      <c r="U304" s="658" t="str">
        <f>+VLOOKUP($L304,Data_Validation!$A:$D,3,0)</f>
        <v>Véhicules usagés</v>
      </c>
      <c r="V304" s="658" t="str">
        <f>+VLOOKUP($L304,Data_Validation!$A:$D,4,0)</f>
        <v>Bénéfices marginaux</v>
      </c>
      <c r="W304" s="658" t="str">
        <f>+VLOOKUP($L304,Data_Validation!$A:$E,5,0)</f>
        <v>$</v>
      </c>
      <c r="X304" s="658">
        <f>+VLOOKUP($L304,Data_Validation!$A:$F,6,0)</f>
        <v>0</v>
      </c>
    </row>
    <row r="305" spans="1:24" ht="15.75" customHeight="1">
      <c r="A305" s="1190" t="s">
        <v>1189</v>
      </c>
      <c r="B305" s="1190" t="s">
        <v>2376</v>
      </c>
      <c r="C305" s="1192">
        <v>104.39</v>
      </c>
      <c r="D305" s="1192">
        <v>13.6</v>
      </c>
      <c r="E305" s="1192">
        <v>117.99</v>
      </c>
      <c r="F305" s="1190" t="s">
        <v>1156</v>
      </c>
      <c r="G305" s="1190" t="s">
        <v>1190</v>
      </c>
      <c r="H305" s="652"/>
      <c r="I305" s="665"/>
      <c r="J305" s="665"/>
      <c r="K305" s="665"/>
      <c r="L305" s="655" t="str">
        <f t="shared" si="176"/>
        <v>6242</v>
      </c>
      <c r="M305" s="656" t="str">
        <f t="shared" si="177"/>
        <v>FOURNITURES &amp; PETITS OUTILS</v>
      </c>
      <c r="N305" s="657">
        <f>+IF(OR($Q305=Parametres!$G$2,$Q305=Parametres!$G$3),I305,C305)</f>
        <v>104.39</v>
      </c>
      <c r="O305" s="657">
        <f>+IF(OR($Q305=Parametres!$G$2,$Q305=Parametres!$G$3),J305,D305)</f>
        <v>13.6</v>
      </c>
      <c r="P305" s="657">
        <f>+IF(OR($Q305=Parametres!$G$2,$Q305=Parametres!$G$3),K305,E305)</f>
        <v>117.99</v>
      </c>
      <c r="Q305" s="656" t="str">
        <f t="shared" si="178"/>
        <v>7-Dépenses</v>
      </c>
      <c r="R305" s="655" t="str">
        <f t="shared" si="179"/>
        <v>6142</v>
      </c>
      <c r="S305" s="656">
        <f t="shared" si="180"/>
        <v>0</v>
      </c>
      <c r="T305" s="658" t="str">
        <f>+VLOOKUP($L305,Data_Validation!$A:$D,1,0)</f>
        <v>6242</v>
      </c>
      <c r="U305" s="658" t="str">
        <f>+VLOOKUP($L305,Data_Validation!$A:$D,3,0)</f>
        <v>Véhicules usagés</v>
      </c>
      <c r="V305" s="658" t="str">
        <f>+VLOOKUP($L305,Data_Validation!$A:$D,4,0)</f>
        <v>Fournitures autres</v>
      </c>
      <c r="W305" s="658" t="str">
        <f>+VLOOKUP($L305,Data_Validation!$A:$E,5,0)</f>
        <v>$</v>
      </c>
      <c r="X305" s="658">
        <f>+VLOOKUP($L305,Data_Validation!$A:$F,6,0)</f>
        <v>0</v>
      </c>
    </row>
    <row r="306" spans="1:24" ht="15" customHeight="1">
      <c r="A306" s="1190" t="s">
        <v>1193</v>
      </c>
      <c r="B306" s="1190" t="s">
        <v>2381</v>
      </c>
      <c r="C306" s="1192">
        <v>288.83999999999997</v>
      </c>
      <c r="D306" s="1192">
        <v>38.28</v>
      </c>
      <c r="E306" s="1192">
        <v>327.12</v>
      </c>
      <c r="F306" s="1190" t="s">
        <v>1156</v>
      </c>
      <c r="G306" s="1190" t="s">
        <v>1194</v>
      </c>
      <c r="H306" s="653"/>
      <c r="I306" s="672"/>
      <c r="J306" s="653"/>
      <c r="K306" s="672"/>
      <c r="L306" s="655" t="str">
        <f t="shared" si="176"/>
        <v>6244</v>
      </c>
      <c r="M306" s="656" t="str">
        <f t="shared" si="177"/>
        <v>FORMATION</v>
      </c>
      <c r="N306" s="657">
        <f>+IF(OR($Q306=Parametres!$G$2,$Q306=Parametres!$G$3),I306,C306)</f>
        <v>288.83999999999997</v>
      </c>
      <c r="O306" s="661">
        <f>+IF(OR($Q306=Parametres!$G$2,$Q306=Parametres!$G$3),J306,D306)</f>
        <v>38.28</v>
      </c>
      <c r="P306" s="657">
        <f>+IF(OR($Q306=Parametres!$G$2,$Q306=Parametres!$G$3),K306,E306)</f>
        <v>327.12</v>
      </c>
      <c r="Q306" s="656" t="str">
        <f t="shared" si="178"/>
        <v>7-Dépenses</v>
      </c>
      <c r="R306" s="655" t="str">
        <f t="shared" si="179"/>
        <v>6144</v>
      </c>
      <c r="S306" s="656">
        <f t="shared" si="180"/>
        <v>0</v>
      </c>
      <c r="T306" s="658" t="str">
        <f>+VLOOKUP($L306,Data_Validation!$A:$D,1,0)</f>
        <v>6244</v>
      </c>
      <c r="U306" s="658" t="str">
        <f>+VLOOKUP($L306,Data_Validation!$A:$D,3,0)</f>
        <v>Véhicules usagés</v>
      </c>
      <c r="V306" s="658" t="str">
        <f>+VLOOKUP($L306,Data_Validation!$A:$D,4,0)</f>
        <v>Formation</v>
      </c>
      <c r="W306" s="658" t="str">
        <f>+VLOOKUP($L306,Data_Validation!$A:$E,5,0)</f>
        <v>$</v>
      </c>
      <c r="X306" s="658">
        <f>+VLOOKUP($L306,Data_Validation!$A:$F,6,0)</f>
        <v>0</v>
      </c>
    </row>
    <row r="307" spans="1:24" ht="15" customHeight="1">
      <c r="A307" s="1190" t="s">
        <v>1195</v>
      </c>
      <c r="B307" s="1190" t="s">
        <v>2384</v>
      </c>
      <c r="C307" s="1192">
        <v>1356.37</v>
      </c>
      <c r="D307" s="1192">
        <v>625</v>
      </c>
      <c r="E307" s="1192">
        <v>1981.37</v>
      </c>
      <c r="F307" s="1190" t="s">
        <v>1156</v>
      </c>
      <c r="G307" s="1190" t="s">
        <v>1196</v>
      </c>
      <c r="H307" s="653"/>
      <c r="I307" s="653"/>
      <c r="J307" s="653"/>
      <c r="K307" s="653"/>
      <c r="L307" s="655" t="str">
        <f t="shared" si="176"/>
        <v>6245</v>
      </c>
      <c r="M307" s="656" t="str">
        <f t="shared" si="177"/>
        <v>VEHICULE DE COMPAGNIE - DEPENS</v>
      </c>
      <c r="N307" s="657">
        <f>+IF(OR($Q307=Parametres!$G$2,$Q307=Parametres!$G$3),I307,C307)</f>
        <v>1356.37</v>
      </c>
      <c r="O307" s="661">
        <f>+IF(OR($Q307=Parametres!$G$2,$Q307=Parametres!$G$3),J307,D307)</f>
        <v>625</v>
      </c>
      <c r="P307" s="657">
        <f>+IF(OR($Q307=Parametres!$G$2,$Q307=Parametres!$G$3),K307,E307)</f>
        <v>1981.37</v>
      </c>
      <c r="Q307" s="656" t="str">
        <f t="shared" si="178"/>
        <v>7-Dépenses</v>
      </c>
      <c r="R307" s="655" t="str">
        <f t="shared" si="179"/>
        <v>6145</v>
      </c>
      <c r="S307" s="656">
        <f t="shared" si="180"/>
        <v>0</v>
      </c>
      <c r="T307" s="658" t="str">
        <f>+VLOOKUP($L307,Data_Validation!$A:$D,1,0)</f>
        <v>6245</v>
      </c>
      <c r="U307" s="658" t="str">
        <f>+VLOOKUP($L307,Data_Validation!$A:$D,3,0)</f>
        <v>Véhicules usagés</v>
      </c>
      <c r="V307" s="658" t="str">
        <f>+VLOOKUP($L307,Data_Validation!$A:$D,4,0)</f>
        <v>Frais véhicules de cie</v>
      </c>
      <c r="W307" s="658" t="str">
        <f>+VLOOKUP($L307,Data_Validation!$A:$E,5,0)</f>
        <v>$</v>
      </c>
      <c r="X307" s="658">
        <f>+VLOOKUP($L307,Data_Validation!$A:$F,6,0)</f>
        <v>0</v>
      </c>
    </row>
    <row r="308" spans="1:24" ht="15" customHeight="1">
      <c r="A308" s="1190" t="s">
        <v>1197</v>
      </c>
      <c r="B308" s="1190" t="s">
        <v>2387</v>
      </c>
      <c r="C308" s="1192">
        <v>289.35000000000002</v>
      </c>
      <c r="D308" s="1192">
        <v>3.96</v>
      </c>
      <c r="E308" s="1192">
        <v>293.31</v>
      </c>
      <c r="F308" s="1190" t="s">
        <v>1156</v>
      </c>
      <c r="G308" s="1190" t="s">
        <v>1198</v>
      </c>
      <c r="H308" s="653"/>
      <c r="I308" s="654"/>
      <c r="J308" s="654"/>
      <c r="K308" s="654"/>
      <c r="L308" s="655" t="str">
        <f t="shared" ref="L308:L371" si="181">TEXT(B308,0)</f>
        <v>6247</v>
      </c>
      <c r="M308" s="656" t="str">
        <f t="shared" ref="M308:M371" si="182">+A308</f>
        <v>FRET/EXPRESS/TRANS. PAR CAMION</v>
      </c>
      <c r="N308" s="657">
        <f>+IF(OR($Q308=Parametres!$G$2,$Q308=Parametres!$G$3),I308,C308)</f>
        <v>289.35000000000002</v>
      </c>
      <c r="O308" s="657">
        <f>+IF(OR($Q308=Parametres!$G$2,$Q308=Parametres!$G$3),J308,D308)</f>
        <v>3.96</v>
      </c>
      <c r="P308" s="657">
        <f>+IF(OR($Q308=Parametres!$G$2,$Q308=Parametres!$G$3),K308,E308)</f>
        <v>293.31</v>
      </c>
      <c r="Q308" s="656" t="str">
        <f t="shared" ref="Q308:Q371" si="183">+F308</f>
        <v>7-Dépenses</v>
      </c>
      <c r="R308" s="655" t="str">
        <f t="shared" ref="R308:R371" si="184">+G308</f>
        <v>6147</v>
      </c>
      <c r="S308" s="656">
        <f t="shared" ref="S308:S371" si="185">+H308</f>
        <v>0</v>
      </c>
      <c r="T308" s="658" t="str">
        <f>+VLOOKUP($L308,Data_Validation!$A:$D,1,0)</f>
        <v>6247</v>
      </c>
      <c r="U308" s="658" t="str">
        <f>+VLOOKUP($L308,Data_Validation!$A:$D,3,0)</f>
        <v>Véhicules usagés</v>
      </c>
      <c r="V308" s="658" t="str">
        <f>+VLOOKUP($L308,Data_Validation!$A:$D,4,0)</f>
        <v>Frais postaux</v>
      </c>
      <c r="W308" s="658" t="str">
        <f>+VLOOKUP($L308,Data_Validation!$A:$E,5,0)</f>
        <v>$</v>
      </c>
      <c r="X308" s="658">
        <f>+VLOOKUP($L308,Data_Validation!$A:$F,6,0)</f>
        <v>0</v>
      </c>
    </row>
    <row r="309" spans="1:24" ht="15.75" customHeight="1">
      <c r="A309" s="1190" t="s">
        <v>1199</v>
      </c>
      <c r="B309" s="1190" t="s">
        <v>2390</v>
      </c>
      <c r="C309" s="1192">
        <v>10683.99</v>
      </c>
      <c r="D309" s="1192">
        <v>3778.28</v>
      </c>
      <c r="E309" s="1192">
        <v>14462.27</v>
      </c>
      <c r="F309" s="1190" t="s">
        <v>1156</v>
      </c>
      <c r="G309" s="1190" t="s">
        <v>1200</v>
      </c>
      <c r="H309" s="652"/>
      <c r="I309" s="665"/>
      <c r="J309" s="665"/>
      <c r="K309" s="665"/>
      <c r="L309" s="655" t="str">
        <f t="shared" si="181"/>
        <v>6251</v>
      </c>
      <c r="M309" s="656" t="str">
        <f t="shared" si="182"/>
        <v>DEP. DU TRAITEMENT DES DONNEES</v>
      </c>
      <c r="N309" s="657">
        <f>+IF(OR($Q309=Parametres!$G$2,$Q309=Parametres!$G$3),I309,C309)</f>
        <v>10683.99</v>
      </c>
      <c r="O309" s="657">
        <f>+IF(OR($Q309=Parametres!$G$2,$Q309=Parametres!$G$3),J309,D309)</f>
        <v>3778.28</v>
      </c>
      <c r="P309" s="657">
        <f>+IF(OR($Q309=Parametres!$G$2,$Q309=Parametres!$G$3),K309,E309)</f>
        <v>14462.27</v>
      </c>
      <c r="Q309" s="656" t="str">
        <f t="shared" si="183"/>
        <v>7-Dépenses</v>
      </c>
      <c r="R309" s="655" t="str">
        <f t="shared" si="184"/>
        <v>6151</v>
      </c>
      <c r="S309" s="656">
        <f t="shared" si="185"/>
        <v>0</v>
      </c>
      <c r="T309" s="658" t="str">
        <f>+VLOOKUP($L309,Data_Validation!$A:$D,1,0)</f>
        <v>6251</v>
      </c>
      <c r="U309" s="658" t="str">
        <f>+VLOOKUP($L309,Data_Validation!$A:$D,3,0)</f>
        <v>Véhicules usagés</v>
      </c>
      <c r="V309" s="658" t="str">
        <f>+VLOOKUP($L309,Data_Validation!$A:$D,4,0)</f>
        <v>Informatique</v>
      </c>
      <c r="W309" s="658" t="str">
        <f>+VLOOKUP($L309,Data_Validation!$A:$E,5,0)</f>
        <v>$</v>
      </c>
      <c r="X309" s="658">
        <f>+VLOOKUP($L309,Data_Validation!$A:$F,6,0)</f>
        <v>0</v>
      </c>
    </row>
    <row r="310" spans="1:24" ht="15" customHeight="1">
      <c r="A310" s="1190" t="s">
        <v>1201</v>
      </c>
      <c r="B310" s="1190" t="s">
        <v>2393</v>
      </c>
      <c r="C310" s="1192">
        <v>1094.46</v>
      </c>
      <c r="D310" s="1192">
        <v>142.91</v>
      </c>
      <c r="E310" s="1192">
        <v>1237.3699999999999</v>
      </c>
      <c r="F310" s="1190" t="s">
        <v>1156</v>
      </c>
      <c r="G310" s="1190" t="s">
        <v>1202</v>
      </c>
      <c r="H310" s="652"/>
      <c r="I310" s="665"/>
      <c r="J310" s="665"/>
      <c r="K310" s="665"/>
      <c r="L310" s="655" t="str">
        <f t="shared" si="181"/>
        <v>6252</v>
      </c>
      <c r="M310" s="656" t="str">
        <f t="shared" si="182"/>
        <v>PAPETERIE</v>
      </c>
      <c r="N310" s="657">
        <f>+IF(OR($Q310=Parametres!$G$2,$Q310=Parametres!$G$3),I310,C310)</f>
        <v>1094.46</v>
      </c>
      <c r="O310" s="657">
        <f>+IF(OR($Q310=Parametres!$G$2,$Q310=Parametres!$G$3),J310,D310)</f>
        <v>142.91</v>
      </c>
      <c r="P310" s="657">
        <f>+IF(OR($Q310=Parametres!$G$2,$Q310=Parametres!$G$3),K310,E310)</f>
        <v>1237.3699999999999</v>
      </c>
      <c r="Q310" s="656" t="str">
        <f t="shared" si="183"/>
        <v>7-Dépenses</v>
      </c>
      <c r="R310" s="655" t="str">
        <f t="shared" si="184"/>
        <v>6152</v>
      </c>
      <c r="S310" s="656">
        <f t="shared" si="185"/>
        <v>0</v>
      </c>
      <c r="T310" s="658" t="str">
        <f>+VLOOKUP($L310,Data_Validation!$A:$D,1,0)</f>
        <v>6252</v>
      </c>
      <c r="U310" s="658" t="str">
        <f>+VLOOKUP($L310,Data_Validation!$A:$D,3,0)</f>
        <v>Véhicules usagés</v>
      </c>
      <c r="V310" s="658" t="str">
        <f>+VLOOKUP($L310,Data_Validation!$A:$D,4,0)</f>
        <v>Papeterie</v>
      </c>
      <c r="W310" s="658" t="str">
        <f>+VLOOKUP($L310,Data_Validation!$A:$E,5,0)</f>
        <v>$</v>
      </c>
      <c r="X310" s="658">
        <f>+VLOOKUP($L310,Data_Validation!$A:$F,6,0)</f>
        <v>0</v>
      </c>
    </row>
    <row r="311" spans="1:24" ht="15" customHeight="1">
      <c r="A311" s="1190" t="s">
        <v>1203</v>
      </c>
      <c r="B311" s="1190" t="s">
        <v>2396</v>
      </c>
      <c r="C311" s="1192">
        <v>153.82</v>
      </c>
      <c r="D311" s="1192">
        <v>40.54</v>
      </c>
      <c r="E311" s="1192">
        <v>194.36</v>
      </c>
      <c r="F311" s="1190" t="s">
        <v>1156</v>
      </c>
      <c r="G311" s="1190" t="s">
        <v>1204</v>
      </c>
      <c r="H311" s="652"/>
      <c r="I311" s="665"/>
      <c r="J311" s="665"/>
      <c r="K311" s="665"/>
      <c r="L311" s="655" t="str">
        <f t="shared" si="181"/>
        <v>6253</v>
      </c>
      <c r="M311" s="656" t="str">
        <f t="shared" si="182"/>
        <v>TELEPHONE ET TELEX</v>
      </c>
      <c r="N311" s="657">
        <f>+IF(OR($Q311=Parametres!$G$2,$Q311=Parametres!$G$3),I311,C311)</f>
        <v>153.82</v>
      </c>
      <c r="O311" s="657">
        <f>+IF(OR($Q311=Parametres!$G$2,$Q311=Parametres!$G$3),J311,D311)</f>
        <v>40.54</v>
      </c>
      <c r="P311" s="657">
        <f>+IF(OR($Q311=Parametres!$G$2,$Q311=Parametres!$G$3),K311,E311)</f>
        <v>194.36</v>
      </c>
      <c r="Q311" s="656" t="str">
        <f t="shared" si="183"/>
        <v>7-Dépenses</v>
      </c>
      <c r="R311" s="655" t="str">
        <f t="shared" si="184"/>
        <v>6153</v>
      </c>
      <c r="S311" s="656">
        <f t="shared" si="185"/>
        <v>0</v>
      </c>
      <c r="T311" s="658" t="str">
        <f>+VLOOKUP($L311,Data_Validation!$A:$D,1,0)</f>
        <v>6253</v>
      </c>
      <c r="U311" s="658" t="str">
        <f>+VLOOKUP($L311,Data_Validation!$A:$D,3,0)</f>
        <v>Véhicules usagés</v>
      </c>
      <c r="V311" s="658" t="str">
        <f>+VLOOKUP($L311,Data_Validation!$A:$D,4,0)</f>
        <v>Téléphone</v>
      </c>
      <c r="W311" s="658" t="str">
        <f>+VLOOKUP($L311,Data_Validation!$A:$E,5,0)</f>
        <v>$</v>
      </c>
      <c r="X311" s="658">
        <f>+VLOOKUP($L311,Data_Validation!$A:$F,6,0)</f>
        <v>0</v>
      </c>
    </row>
    <row r="312" spans="1:24" ht="15" customHeight="1">
      <c r="A312" s="1190" t="s">
        <v>1205</v>
      </c>
      <c r="B312" s="1190" t="s">
        <v>2399</v>
      </c>
      <c r="C312" s="1192">
        <v>211.83</v>
      </c>
      <c r="D312" s="1192">
        <v>75.75</v>
      </c>
      <c r="E312" s="1192">
        <v>287.58</v>
      </c>
      <c r="F312" s="1190" t="s">
        <v>1156</v>
      </c>
      <c r="G312" s="1190" t="s">
        <v>1206</v>
      </c>
      <c r="H312" s="653"/>
      <c r="I312" s="653"/>
      <c r="J312" s="653"/>
      <c r="K312" s="653"/>
      <c r="L312" s="655" t="str">
        <f t="shared" si="181"/>
        <v>6255</v>
      </c>
      <c r="M312" s="656" t="str">
        <f t="shared" si="182"/>
        <v>DEPENSES DIVERS</v>
      </c>
      <c r="N312" s="657">
        <f>+IF(OR($Q312=Parametres!$G$2,$Q312=Parametres!$G$3),I312,C312)</f>
        <v>211.83</v>
      </c>
      <c r="O312" s="657">
        <f>+IF(OR($Q312=Parametres!$G$2,$Q312=Parametres!$G$3),J312,D312)</f>
        <v>75.75</v>
      </c>
      <c r="P312" s="657">
        <f>+IF(OR($Q312=Parametres!$G$2,$Q312=Parametres!$G$3),K312,E312)</f>
        <v>287.58</v>
      </c>
      <c r="Q312" s="656" t="str">
        <f t="shared" si="183"/>
        <v>7-Dépenses</v>
      </c>
      <c r="R312" s="655" t="str">
        <f t="shared" si="184"/>
        <v>6155</v>
      </c>
      <c r="S312" s="656">
        <f t="shared" si="185"/>
        <v>0</v>
      </c>
      <c r="T312" s="658" t="str">
        <f>+VLOOKUP($L312,Data_Validation!$A:$D,1,0)</f>
        <v>6255</v>
      </c>
      <c r="U312" s="658" t="str">
        <f>+VLOOKUP($L312,Data_Validation!$A:$D,3,0)</f>
        <v>Véhicules usagés</v>
      </c>
      <c r="V312" s="658" t="str">
        <f>+VLOOKUP($L312,Data_Validation!$A:$D,4,0)</f>
        <v>Divers</v>
      </c>
      <c r="W312" s="658" t="str">
        <f>+VLOOKUP($L312,Data_Validation!$A:$E,5,0)</f>
        <v>$</v>
      </c>
      <c r="X312" s="658">
        <f>+VLOOKUP($L312,Data_Validation!$A:$F,6,0)</f>
        <v>0</v>
      </c>
    </row>
    <row r="313" spans="1:24" ht="15" customHeight="1">
      <c r="A313" s="1190" t="s">
        <v>1234</v>
      </c>
      <c r="B313" s="1190" t="s">
        <v>2402</v>
      </c>
      <c r="C313" s="1192">
        <v>1140.18</v>
      </c>
      <c r="D313" s="1192">
        <v>874.21</v>
      </c>
      <c r="E313" s="1192">
        <v>2014.39</v>
      </c>
      <c r="F313" s="1190" t="s">
        <v>1156</v>
      </c>
      <c r="G313" s="1190" t="s">
        <v>1208</v>
      </c>
      <c r="H313" s="652"/>
      <c r="I313" s="654"/>
      <c r="J313" s="654"/>
      <c r="K313" s="654"/>
      <c r="L313" s="655" t="str">
        <f t="shared" si="181"/>
        <v>6256</v>
      </c>
      <c r="M313" s="656" t="str">
        <f t="shared" si="182"/>
        <v>FRAIS REPRESENTATION - USAGE</v>
      </c>
      <c r="N313" s="657">
        <f>+IF(OR($Q313=Parametres!$G$2,$Q313=Parametres!$G$3),I313,C313)</f>
        <v>1140.18</v>
      </c>
      <c r="O313" s="657">
        <f>+IF(OR($Q313=Parametres!$G$2,$Q313=Parametres!$G$3),J313,D313)</f>
        <v>874.21</v>
      </c>
      <c r="P313" s="657">
        <f>+IF(OR($Q313=Parametres!$G$2,$Q313=Parametres!$G$3),K313,E313)</f>
        <v>2014.39</v>
      </c>
      <c r="Q313" s="656" t="str">
        <f t="shared" si="183"/>
        <v>7-Dépenses</v>
      </c>
      <c r="R313" s="655" t="str">
        <f t="shared" si="184"/>
        <v>6156</v>
      </c>
      <c r="S313" s="656">
        <f t="shared" si="185"/>
        <v>0</v>
      </c>
      <c r="T313" s="658" t="str">
        <f>+VLOOKUP($L313,Data_Validation!$A:$D,1,0)</f>
        <v>6256</v>
      </c>
      <c r="U313" s="658" t="str">
        <f>+VLOOKUP($L313,Data_Validation!$A:$D,3,0)</f>
        <v>Véhicules usagés</v>
      </c>
      <c r="V313" s="658" t="str">
        <f>+VLOOKUP($L313,Data_Validation!$A:$D,4,0)</f>
        <v>Frais de déplacement</v>
      </c>
      <c r="W313" s="658" t="str">
        <f>+VLOOKUP($L313,Data_Validation!$A:$E,5,0)</f>
        <v>$</v>
      </c>
      <c r="X313" s="658">
        <f>+VLOOKUP($L313,Data_Validation!$A:$F,6,0)</f>
        <v>0</v>
      </c>
    </row>
    <row r="314" spans="1:24" ht="15" customHeight="1">
      <c r="A314" s="1190" t="s">
        <v>1235</v>
      </c>
      <c r="B314" s="1190" t="s">
        <v>3395</v>
      </c>
      <c r="C314" s="1192">
        <v>1971.85</v>
      </c>
      <c r="D314" s="1192">
        <v>950.46</v>
      </c>
      <c r="E314" s="1192">
        <v>2922.31</v>
      </c>
      <c r="F314" s="1190" t="s">
        <v>1156</v>
      </c>
      <c r="G314" s="1190" t="s">
        <v>1236</v>
      </c>
      <c r="H314" s="653"/>
      <c r="I314" s="653"/>
      <c r="J314" s="653"/>
      <c r="K314" s="653"/>
      <c r="L314" s="655" t="str">
        <f t="shared" si="181"/>
        <v>6257</v>
      </c>
      <c r="M314" s="656" t="str">
        <f t="shared" si="182"/>
        <v>FRAIS BANCAIRES - USAGE</v>
      </c>
      <c r="N314" s="657">
        <f>+IF(OR($Q314=Parametres!$G$2,$Q314=Parametres!$G$3),I314,C314)</f>
        <v>1971.85</v>
      </c>
      <c r="O314" s="661">
        <f>+IF(OR($Q314=Parametres!$G$2,$Q314=Parametres!$G$3),J314,D314)</f>
        <v>950.46</v>
      </c>
      <c r="P314" s="657">
        <f>+IF(OR($Q314=Parametres!$G$2,$Q314=Parametres!$G$3),K314,E314)</f>
        <v>2922.31</v>
      </c>
      <c r="Q314" s="656" t="str">
        <f t="shared" si="183"/>
        <v>7-Dépenses</v>
      </c>
      <c r="R314" s="655" t="str">
        <f t="shared" si="184"/>
        <v>625</v>
      </c>
      <c r="S314" s="656">
        <f t="shared" si="185"/>
        <v>0</v>
      </c>
      <c r="T314" s="658" t="str">
        <f>+VLOOKUP($L314,Data_Validation!$A:$D,1,0)</f>
        <v>6257</v>
      </c>
      <c r="U314" s="658" t="str">
        <f>+VLOOKUP($L314,Data_Validation!$A:$D,3,0)</f>
        <v>Véhicules usagés</v>
      </c>
      <c r="V314" s="658" t="str">
        <f>+VLOOKUP($L314,Data_Validation!$A:$D,4,0)</f>
        <v>Frais bancaires</v>
      </c>
      <c r="W314" s="658" t="str">
        <f>+VLOOKUP($L314,Data_Validation!$A:$E,5,0)</f>
        <v>$</v>
      </c>
      <c r="X314" s="658">
        <f>+VLOOKUP($L314,Data_Validation!$A:$F,6,0)</f>
        <v>0</v>
      </c>
    </row>
    <row r="315" spans="1:24" ht="15" customHeight="1">
      <c r="A315" s="1190" t="s">
        <v>1211</v>
      </c>
      <c r="B315" s="1190" t="s">
        <v>2405</v>
      </c>
      <c r="C315" s="1192">
        <v>3436.31</v>
      </c>
      <c r="D315" s="1192">
        <v>1058.31</v>
      </c>
      <c r="E315" s="1192">
        <v>4494.62</v>
      </c>
      <c r="F315" s="1190" t="s">
        <v>1156</v>
      </c>
      <c r="G315" s="1190" t="s">
        <v>1212</v>
      </c>
      <c r="H315" s="653"/>
      <c r="I315" s="654"/>
      <c r="J315" s="654"/>
      <c r="K315" s="654"/>
      <c r="L315" s="655" t="str">
        <f t="shared" si="181"/>
        <v>6259</v>
      </c>
      <c r="M315" s="656" t="str">
        <f t="shared" si="182"/>
        <v>SERVICE EXTERIEUR</v>
      </c>
      <c r="N315" s="657">
        <f>+IF(OR($Q315=Parametres!$G$2,$Q315=Parametres!$G$3),I315,C315)</f>
        <v>3436.31</v>
      </c>
      <c r="O315" s="657">
        <f>+IF(OR($Q315=Parametres!$G$2,$Q315=Parametres!$G$3),J315,D315)</f>
        <v>1058.31</v>
      </c>
      <c r="P315" s="657">
        <f>+IF(OR($Q315=Parametres!$G$2,$Q315=Parametres!$G$3),K315,E315)</f>
        <v>4494.62</v>
      </c>
      <c r="Q315" s="656" t="str">
        <f t="shared" si="183"/>
        <v>7-Dépenses</v>
      </c>
      <c r="R315" s="655" t="str">
        <f t="shared" si="184"/>
        <v>6159</v>
      </c>
      <c r="S315" s="656">
        <f t="shared" si="185"/>
        <v>0</v>
      </c>
      <c r="T315" s="658" t="str">
        <f>+VLOOKUP($L315,Data_Validation!$A:$D,1,0)</f>
        <v>6259</v>
      </c>
      <c r="U315" s="658" t="str">
        <f>+VLOOKUP($L315,Data_Validation!$A:$D,3,0)</f>
        <v>Véhicules usagés</v>
      </c>
      <c r="V315" s="658" t="str">
        <f>+VLOOKUP($L315,Data_Validation!$A:$D,4,0)</f>
        <v>Services extérieurs</v>
      </c>
      <c r="W315" s="658" t="str">
        <f>+VLOOKUP($L315,Data_Validation!$A:$E,5,0)</f>
        <v>$</v>
      </c>
      <c r="X315" s="658">
        <f>+VLOOKUP($L315,Data_Validation!$A:$F,6,0)</f>
        <v>0</v>
      </c>
    </row>
    <row r="316" spans="1:24" ht="15" customHeight="1">
      <c r="A316" s="1190" t="s">
        <v>1213</v>
      </c>
      <c r="B316" s="1190" t="s">
        <v>2408</v>
      </c>
      <c r="C316" s="1192">
        <v>2273.4</v>
      </c>
      <c r="D316" s="1192">
        <v>757.8</v>
      </c>
      <c r="E316" s="1192">
        <v>3031.2</v>
      </c>
      <c r="F316" s="1190" t="s">
        <v>1156</v>
      </c>
      <c r="G316" s="1190" t="s">
        <v>1214</v>
      </c>
      <c r="H316" s="653"/>
      <c r="I316" s="653"/>
      <c r="J316" s="653"/>
      <c r="K316" s="653"/>
      <c r="L316" s="655" t="str">
        <f t="shared" si="181"/>
        <v>6261</v>
      </c>
      <c r="M316" s="656" t="str">
        <f t="shared" si="182"/>
        <v>DEPRECIATION EQUIP. &amp; FIXTURES</v>
      </c>
      <c r="N316" s="657">
        <f>+IF(OR($Q316=Parametres!$G$2,$Q316=Parametres!$G$3),I316,C316)</f>
        <v>2273.4</v>
      </c>
      <c r="O316" s="657">
        <f>+IF(OR($Q316=Parametres!$G$2,$Q316=Parametres!$G$3),J316,D316)</f>
        <v>757.8</v>
      </c>
      <c r="P316" s="657">
        <f>+IF(OR($Q316=Parametres!$G$2,$Q316=Parametres!$G$3),K316,E316)</f>
        <v>3031.2</v>
      </c>
      <c r="Q316" s="656" t="str">
        <f t="shared" si="183"/>
        <v>7-Dépenses</v>
      </c>
      <c r="R316" s="655" t="str">
        <f t="shared" si="184"/>
        <v>6161</v>
      </c>
      <c r="S316" s="656">
        <f t="shared" si="185"/>
        <v>0</v>
      </c>
      <c r="T316" s="658" t="str">
        <f>+VLOOKUP($L316,Data_Validation!$A:$D,1,0)</f>
        <v>6261</v>
      </c>
      <c r="U316" s="658" t="str">
        <f>+VLOOKUP($L316,Data_Validation!$A:$D,3,0)</f>
        <v>Véhicules usagés</v>
      </c>
      <c r="V316" s="658" t="str">
        <f>+VLOOKUP($L316,Data_Validation!$A:$D,4,0)</f>
        <v>Amortissement</v>
      </c>
      <c r="W316" s="658" t="str">
        <f>+VLOOKUP($L316,Data_Validation!$A:$E,5,0)</f>
        <v>$</v>
      </c>
      <c r="X316" s="658">
        <f>+VLOOKUP($L316,Data_Validation!$A:$F,6,0)</f>
        <v>0</v>
      </c>
    </row>
    <row r="317" spans="1:24" ht="15" customHeight="1">
      <c r="A317" s="1190" t="s">
        <v>1237</v>
      </c>
      <c r="B317" s="1190" t="s">
        <v>2414</v>
      </c>
      <c r="C317" s="1192">
        <v>1519.47</v>
      </c>
      <c r="D317" s="1192">
        <v>1037.04</v>
      </c>
      <c r="E317" s="1192">
        <v>2556.5100000000002</v>
      </c>
      <c r="F317" s="1190" t="s">
        <v>1156</v>
      </c>
      <c r="G317" s="1190" t="s">
        <v>1216</v>
      </c>
      <c r="H317" s="653"/>
      <c r="I317" s="654"/>
      <c r="J317" s="654"/>
      <c r="K317" s="654"/>
      <c r="L317" s="655" t="str">
        <f t="shared" si="181"/>
        <v>6281</v>
      </c>
      <c r="M317" s="656" t="str">
        <f t="shared" si="182"/>
        <v>CHAUFFAGE,ELECTRICITE,EAU-USAGE</v>
      </c>
      <c r="N317" s="657">
        <f>+IF(OR($Q317=Parametres!$G$2,$Q317=Parametres!$G$3),I317,C317)</f>
        <v>1519.47</v>
      </c>
      <c r="O317" s="661">
        <f>+IF(OR($Q317=Parametres!$G$2,$Q317=Parametres!$G$3),J317,D317)</f>
        <v>1037.04</v>
      </c>
      <c r="P317" s="657">
        <f>+IF(OR($Q317=Parametres!$G$2,$Q317=Parametres!$G$3),K317,E317)</f>
        <v>2556.5100000000002</v>
      </c>
      <c r="Q317" s="656" t="str">
        <f t="shared" si="183"/>
        <v>7-Dépenses</v>
      </c>
      <c r="R317" s="655" t="str">
        <f t="shared" si="184"/>
        <v>6181</v>
      </c>
      <c r="S317" s="656">
        <f t="shared" si="185"/>
        <v>0</v>
      </c>
      <c r="T317" s="658" t="str">
        <f>+VLOOKUP($L317,Data_Validation!$A:$D,1,0)</f>
        <v>6281</v>
      </c>
      <c r="U317" s="658" t="str">
        <f>+VLOOKUP($L317,Data_Validation!$A:$D,3,0)</f>
        <v>Véhicules usagés</v>
      </c>
      <c r="V317" s="658" t="str">
        <f>+VLOOKUP($L317,Data_Validation!$A:$D,4,0)</f>
        <v>Chauffage, éclairage</v>
      </c>
      <c r="W317" s="658" t="str">
        <f>+VLOOKUP($L317,Data_Validation!$A:$E,5,0)</f>
        <v>$</v>
      </c>
      <c r="X317" s="658">
        <f>+VLOOKUP($L317,Data_Validation!$A:$F,6,0)</f>
        <v>0</v>
      </c>
    </row>
    <row r="318" spans="1:24" ht="15.75" customHeight="1">
      <c r="A318" s="1190" t="s">
        <v>1238</v>
      </c>
      <c r="B318" s="1190" t="s">
        <v>2417</v>
      </c>
      <c r="C318" s="1192">
        <v>12960</v>
      </c>
      <c r="D318" s="1192">
        <v>4320</v>
      </c>
      <c r="E318" s="1192">
        <v>17280</v>
      </c>
      <c r="F318" s="1190" t="s">
        <v>1156</v>
      </c>
      <c r="G318" s="1190" t="s">
        <v>1218</v>
      </c>
      <c r="H318" s="653"/>
      <c r="I318" s="653"/>
      <c r="J318" s="653"/>
      <c r="K318" s="653"/>
      <c r="L318" s="655" t="str">
        <f t="shared" si="181"/>
        <v>6282</v>
      </c>
      <c r="M318" s="656" t="str">
        <f t="shared" si="182"/>
        <v>LOYER - USAGE</v>
      </c>
      <c r="N318" s="657">
        <f>+IF(OR($Q318=Parametres!$G$2,$Q318=Parametres!$G$3),I318,C318)</f>
        <v>12960</v>
      </c>
      <c r="O318" s="657">
        <f>+IF(OR($Q318=Parametres!$G$2,$Q318=Parametres!$G$3),J318,D318)</f>
        <v>4320</v>
      </c>
      <c r="P318" s="657">
        <f>+IF(OR($Q318=Parametres!$G$2,$Q318=Parametres!$G$3),K318,E318)</f>
        <v>17280</v>
      </c>
      <c r="Q318" s="656" t="str">
        <f t="shared" si="183"/>
        <v>7-Dépenses</v>
      </c>
      <c r="R318" s="655" t="str">
        <f t="shared" si="184"/>
        <v>6182</v>
      </c>
      <c r="S318" s="656">
        <f t="shared" si="185"/>
        <v>0</v>
      </c>
      <c r="T318" s="658" t="str">
        <f>+VLOOKUP($L318,Data_Validation!$A:$D,1,0)</f>
        <v>6282</v>
      </c>
      <c r="U318" s="658" t="str">
        <f>+VLOOKUP($L318,Data_Validation!$A:$D,3,0)</f>
        <v>Véhicules usagés</v>
      </c>
      <c r="V318" s="658" t="str">
        <f>+VLOOKUP($L318,Data_Validation!$A:$D,4,0)</f>
        <v>Loyer</v>
      </c>
      <c r="W318" s="658" t="str">
        <f>+VLOOKUP($L318,Data_Validation!$A:$E,5,0)</f>
        <v>$</v>
      </c>
      <c r="X318" s="658">
        <f>+VLOOKUP($L318,Data_Validation!$A:$F,6,0)</f>
        <v>0</v>
      </c>
    </row>
    <row r="319" spans="1:24" ht="15" customHeight="1">
      <c r="A319" s="1190" t="s">
        <v>1239</v>
      </c>
      <c r="B319" s="1190" t="s">
        <v>2420</v>
      </c>
      <c r="C319" s="1192">
        <v>1401.51</v>
      </c>
      <c r="D319" s="1192">
        <v>467.17</v>
      </c>
      <c r="E319" s="1192">
        <v>1868.68</v>
      </c>
      <c r="F319" s="1190" t="s">
        <v>1156</v>
      </c>
      <c r="G319" s="1190" t="s">
        <v>1220</v>
      </c>
      <c r="H319" s="653"/>
      <c r="I319" s="654"/>
      <c r="J319" s="654"/>
      <c r="K319" s="654"/>
      <c r="L319" s="655" t="str">
        <f t="shared" si="181"/>
        <v>6286</v>
      </c>
      <c r="M319" s="656" t="str">
        <f t="shared" si="182"/>
        <v>ASSURANCE BATISSE &amp; AMEL.-USAGE</v>
      </c>
      <c r="N319" s="657">
        <f>+IF(OR($Q319=Parametres!$G$2,$Q319=Parametres!$G$3),I319,C319)</f>
        <v>1401.51</v>
      </c>
      <c r="O319" s="661">
        <f>+IF(OR($Q319=Parametres!$G$2,$Q319=Parametres!$G$3),J319,D319)</f>
        <v>467.17</v>
      </c>
      <c r="P319" s="657">
        <f>+IF(OR($Q319=Parametres!$G$2,$Q319=Parametres!$G$3),K319,E319)</f>
        <v>1868.68</v>
      </c>
      <c r="Q319" s="656" t="str">
        <f t="shared" si="183"/>
        <v>7-Dépenses</v>
      </c>
      <c r="R319" s="655" t="str">
        <f t="shared" si="184"/>
        <v>6186</v>
      </c>
      <c r="S319" s="656">
        <f t="shared" si="185"/>
        <v>0</v>
      </c>
      <c r="T319" s="658" t="str">
        <f>+VLOOKUP($L319,Data_Validation!$A:$D,1,0)</f>
        <v>6286</v>
      </c>
      <c r="U319" s="658" t="str">
        <f>+VLOOKUP($L319,Data_Validation!$A:$D,3,0)</f>
        <v>Véhicules usagés</v>
      </c>
      <c r="V319" s="658" t="str">
        <f>+VLOOKUP($L319,Data_Validation!$A:$D,4,0)</f>
        <v>Assurances</v>
      </c>
      <c r="W319" s="658" t="str">
        <f>+VLOOKUP($L319,Data_Validation!$A:$E,5,0)</f>
        <v>$</v>
      </c>
      <c r="X319" s="658">
        <f>+VLOOKUP($L319,Data_Validation!$A:$F,6,0)</f>
        <v>0</v>
      </c>
    </row>
    <row r="320" spans="1:24" ht="15" customHeight="1">
      <c r="A320" s="1190" t="s">
        <v>1240</v>
      </c>
      <c r="B320" s="1190" t="s">
        <v>2423</v>
      </c>
      <c r="C320" s="1192">
        <v>1863.72</v>
      </c>
      <c r="D320" s="1192">
        <v>621.24</v>
      </c>
      <c r="E320" s="1192">
        <v>2484.96</v>
      </c>
      <c r="F320" s="1190" t="s">
        <v>1156</v>
      </c>
      <c r="G320" s="1190" t="s">
        <v>1222</v>
      </c>
      <c r="H320" s="652"/>
      <c r="I320" s="665"/>
      <c r="J320" s="665"/>
      <c r="K320" s="665"/>
      <c r="L320" s="655" t="str">
        <f t="shared" si="181"/>
        <v>6287</v>
      </c>
      <c r="M320" s="656" t="str">
        <f t="shared" si="182"/>
        <v>TAXES FONCIERES - USAGE</v>
      </c>
      <c r="N320" s="657">
        <f>+IF(OR($Q320=Parametres!$G$2,$Q320=Parametres!$G$3),I320,C320)</f>
        <v>1863.72</v>
      </c>
      <c r="O320" s="657">
        <f>+IF(OR($Q320=Parametres!$G$2,$Q320=Parametres!$G$3),J320,D320)</f>
        <v>621.24</v>
      </c>
      <c r="P320" s="657">
        <f>+IF(OR($Q320=Parametres!$G$2,$Q320=Parametres!$G$3),K320,E320)</f>
        <v>2484.96</v>
      </c>
      <c r="Q320" s="656" t="str">
        <f t="shared" si="183"/>
        <v>7-Dépenses</v>
      </c>
      <c r="R320" s="655" t="str">
        <f t="shared" si="184"/>
        <v>6187</v>
      </c>
      <c r="S320" s="656">
        <f t="shared" si="185"/>
        <v>0</v>
      </c>
      <c r="T320" s="658" t="str">
        <f>+VLOOKUP($L320,Data_Validation!$A:$D,1,0)</f>
        <v>6287</v>
      </c>
      <c r="U320" s="658" t="str">
        <f>+VLOOKUP($L320,Data_Validation!$A:$D,3,0)</f>
        <v>Véhicules usagés</v>
      </c>
      <c r="V320" s="658" t="str">
        <f>+VLOOKUP($L320,Data_Validation!$A:$D,4,0)</f>
        <v>Taxes foncières</v>
      </c>
      <c r="W320" s="658" t="str">
        <f>+VLOOKUP($L320,Data_Validation!$A:$E,5,0)</f>
        <v>$</v>
      </c>
      <c r="X320" s="658">
        <f>+VLOOKUP($L320,Data_Validation!$A:$F,6,0)</f>
        <v>0</v>
      </c>
    </row>
    <row r="321" spans="1:24" ht="15" customHeight="1">
      <c r="A321" s="1190" t="s">
        <v>1241</v>
      </c>
      <c r="B321" s="1190" t="s">
        <v>2426</v>
      </c>
      <c r="C321" s="1192">
        <v>1240.2</v>
      </c>
      <c r="D321" s="1192">
        <v>413.4</v>
      </c>
      <c r="E321" s="1192">
        <v>1653.6</v>
      </c>
      <c r="F321" s="1190" t="s">
        <v>1156</v>
      </c>
      <c r="G321" s="1190" t="s">
        <v>1224</v>
      </c>
      <c r="H321" s="652"/>
      <c r="I321" s="665"/>
      <c r="J321" s="665"/>
      <c r="K321" s="665"/>
      <c r="L321" s="655" t="str">
        <f t="shared" si="181"/>
        <v>6293</v>
      </c>
      <c r="M321" s="656" t="str">
        <f t="shared" si="182"/>
        <v>AUTRE TAXES - USAGES</v>
      </c>
      <c r="N321" s="657">
        <f>+IF(OR($Q321=Parametres!$G$2,$Q321=Parametres!$G$3),I321,C321)</f>
        <v>1240.2</v>
      </c>
      <c r="O321" s="657">
        <f>+IF(OR($Q321=Parametres!$G$2,$Q321=Parametres!$G$3),J321,D321)</f>
        <v>413.4</v>
      </c>
      <c r="P321" s="657">
        <f>+IF(OR($Q321=Parametres!$G$2,$Q321=Parametres!$G$3),K321,E321)</f>
        <v>1653.6</v>
      </c>
      <c r="Q321" s="656" t="str">
        <f t="shared" si="183"/>
        <v>7-Dépenses</v>
      </c>
      <c r="R321" s="655" t="str">
        <f t="shared" si="184"/>
        <v>6193</v>
      </c>
      <c r="S321" s="656">
        <f t="shared" si="185"/>
        <v>0</v>
      </c>
      <c r="T321" s="658" t="str">
        <f>+VLOOKUP($L321,Data_Validation!$A:$D,1,0)</f>
        <v>6293</v>
      </c>
      <c r="U321" s="658" t="str">
        <f>+VLOOKUP($L321,Data_Validation!$A:$D,3,0)</f>
        <v>Véhicules usagés</v>
      </c>
      <c r="V321" s="658" t="str">
        <f>+VLOOKUP($L321,Data_Validation!$A:$D,4,0)</f>
        <v>Taxes d`affaires</v>
      </c>
      <c r="W321" s="658" t="str">
        <f>+VLOOKUP($L321,Data_Validation!$A:$E,5,0)</f>
        <v>$</v>
      </c>
      <c r="X321" s="658">
        <f>+VLOOKUP($L321,Data_Validation!$A:$F,6,0)</f>
        <v>0</v>
      </c>
    </row>
    <row r="322" spans="1:24" ht="15.75" customHeight="1">
      <c r="A322" s="1190" t="s">
        <v>1242</v>
      </c>
      <c r="B322" s="1190" t="s">
        <v>2429</v>
      </c>
      <c r="C322" s="1192">
        <v>2312.4</v>
      </c>
      <c r="D322" s="1192">
        <v>770.8</v>
      </c>
      <c r="E322" s="1192">
        <v>3083.2</v>
      </c>
      <c r="F322" s="1190" t="s">
        <v>1156</v>
      </c>
      <c r="G322" s="1190" t="s">
        <v>1226</v>
      </c>
      <c r="H322" s="653"/>
      <c r="I322" s="653"/>
      <c r="J322" s="653"/>
      <c r="K322" s="653"/>
      <c r="L322" s="655" t="str">
        <f t="shared" si="181"/>
        <v>6294</v>
      </c>
      <c r="M322" s="656" t="str">
        <f t="shared" si="182"/>
        <v>FRAIS PROFESSIONNEL-USAGE</v>
      </c>
      <c r="N322" s="657">
        <f>+IF(OR($Q322=Parametres!$G$2,$Q322=Parametres!$G$3),I322,C322)</f>
        <v>2312.4</v>
      </c>
      <c r="O322" s="661">
        <f>+IF(OR($Q322=Parametres!$G$2,$Q322=Parametres!$G$3),J322,D322)</f>
        <v>770.8</v>
      </c>
      <c r="P322" s="657">
        <f>+IF(OR($Q322=Parametres!$G$2,$Q322=Parametres!$G$3),K322,E322)</f>
        <v>3083.2</v>
      </c>
      <c r="Q322" s="656" t="str">
        <f t="shared" si="183"/>
        <v>7-Dépenses</v>
      </c>
      <c r="R322" s="655" t="str">
        <f t="shared" si="184"/>
        <v>6194</v>
      </c>
      <c r="S322" s="656">
        <f t="shared" si="185"/>
        <v>0</v>
      </c>
      <c r="T322" s="658" t="str">
        <f>+VLOOKUP($L322,Data_Validation!$A:$D,1,0)</f>
        <v>6294</v>
      </c>
      <c r="U322" s="658" t="str">
        <f>+VLOOKUP($L322,Data_Validation!$A:$D,3,0)</f>
        <v>Véhicules usagés</v>
      </c>
      <c r="V322" s="658" t="str">
        <f>+VLOOKUP($L322,Data_Validation!$A:$D,4,0)</f>
        <v>Honoraires</v>
      </c>
      <c r="W322" s="658" t="str">
        <f>+VLOOKUP($L322,Data_Validation!$A:$E,5,0)</f>
        <v>$</v>
      </c>
      <c r="X322" s="658">
        <f>+VLOOKUP($L322,Data_Validation!$A:$F,6,0)</f>
        <v>0</v>
      </c>
    </row>
    <row r="323" spans="1:24" ht="15" customHeight="1">
      <c r="A323" s="1190" t="s">
        <v>1243</v>
      </c>
      <c r="B323" s="1190" t="s">
        <v>2432</v>
      </c>
      <c r="C323" s="1192">
        <v>4729.79</v>
      </c>
      <c r="D323" s="1192">
        <v>2103.0500000000002</v>
      </c>
      <c r="E323" s="1192">
        <v>6832.84</v>
      </c>
      <c r="F323" s="1190" t="s">
        <v>1156</v>
      </c>
      <c r="G323" s="1190" t="s">
        <v>1244</v>
      </c>
      <c r="H323" s="653"/>
      <c r="I323" s="654"/>
      <c r="J323" s="654"/>
      <c r="K323" s="654"/>
      <c r="L323" s="655" t="str">
        <f t="shared" si="181"/>
        <v>6403</v>
      </c>
      <c r="M323" s="656" t="str">
        <f t="shared" si="182"/>
        <v>RELAT. A LA CLIENTELE &amp; AJUST</v>
      </c>
      <c r="N323" s="657">
        <f>+IF(OR($Q323=Parametres!$G$2,$Q323=Parametres!$G$3),I323,C323)</f>
        <v>4729.79</v>
      </c>
      <c r="O323" s="661">
        <f>+IF(OR($Q323=Parametres!$G$2,$Q323=Parametres!$G$3),J323,D323)</f>
        <v>2103.0500000000002</v>
      </c>
      <c r="P323" s="657">
        <f>+IF(OR($Q323=Parametres!$G$2,$Q323=Parametres!$G$3),K323,E323)</f>
        <v>6832.84</v>
      </c>
      <c r="Q323" s="656" t="str">
        <f t="shared" si="183"/>
        <v>7-Dépenses</v>
      </c>
      <c r="R323" s="655" t="str">
        <f t="shared" si="184"/>
        <v>6112</v>
      </c>
      <c r="S323" s="656">
        <f t="shared" si="185"/>
        <v>0</v>
      </c>
      <c r="T323" s="658" t="str">
        <f>+VLOOKUP($L323,Data_Validation!$A:$D,1,0)</f>
        <v>6403</v>
      </c>
      <c r="U323" s="658" t="str">
        <f>+VLOOKUP($L323,Data_Validation!$A:$D,3,0)</f>
        <v>Service</v>
      </c>
      <c r="V323" s="658" t="str">
        <f>+VLOOKUP($L323,Data_Validation!$A:$D,4,0)</f>
        <v>Service gratuit 2</v>
      </c>
      <c r="W323" s="658" t="str">
        <f>+VLOOKUP($L323,Data_Validation!$A:$E,5,0)</f>
        <v>$</v>
      </c>
      <c r="X323" s="658">
        <f>+VLOOKUP($L323,Data_Validation!$A:$F,6,0)</f>
        <v>0</v>
      </c>
    </row>
    <row r="324" spans="1:24" ht="15" customHeight="1">
      <c r="A324" s="1190" t="s">
        <v>1245</v>
      </c>
      <c r="B324" s="1190" t="s">
        <v>2435</v>
      </c>
      <c r="C324" s="1192">
        <v>509.18</v>
      </c>
      <c r="D324" s="1192">
        <v>-62.42</v>
      </c>
      <c r="E324" s="1192">
        <v>446.76</v>
      </c>
      <c r="F324" s="1190" t="s">
        <v>1156</v>
      </c>
      <c r="G324" s="1190" t="s">
        <v>1244</v>
      </c>
      <c r="H324" s="653"/>
      <c r="I324" s="672"/>
      <c r="J324" s="653"/>
      <c r="K324" s="672"/>
      <c r="L324" s="655" t="str">
        <f t="shared" si="181"/>
        <v>6412</v>
      </c>
      <c r="M324" s="656" t="str">
        <f t="shared" si="182"/>
        <v>AUTORISATION &amp; GAR./VEH. USA</v>
      </c>
      <c r="N324" s="657">
        <f>+IF(OR($Q324=Parametres!$G$2,$Q324=Parametres!$G$3),I324,C324)</f>
        <v>509.18</v>
      </c>
      <c r="O324" s="657">
        <f>+IF(OR($Q324=Parametres!$G$2,$Q324=Parametres!$G$3),J324,D324)</f>
        <v>-62.42</v>
      </c>
      <c r="P324" s="657">
        <f>+IF(OR($Q324=Parametres!$G$2,$Q324=Parametres!$G$3),K324,E324)</f>
        <v>446.76</v>
      </c>
      <c r="Q324" s="656" t="str">
        <f t="shared" si="183"/>
        <v>7-Dépenses</v>
      </c>
      <c r="R324" s="655" t="str">
        <f t="shared" si="184"/>
        <v>6112</v>
      </c>
      <c r="S324" s="656">
        <f t="shared" si="185"/>
        <v>0</v>
      </c>
      <c r="T324" s="658" t="str">
        <f>+VLOOKUP($L324,Data_Validation!$A:$D,1,0)</f>
        <v>6412</v>
      </c>
      <c r="U324" s="658" t="str">
        <f>+VLOOKUP($L324,Data_Validation!$A:$D,3,0)</f>
        <v>Service</v>
      </c>
      <c r="V324" s="658" t="str">
        <f>+VLOOKUP($L324,Data_Validation!$A:$D,4,0)</f>
        <v>Service gratuit 2</v>
      </c>
      <c r="W324" s="658" t="str">
        <f>+VLOOKUP($L324,Data_Validation!$A:$E,5,0)</f>
        <v>$</v>
      </c>
      <c r="X324" s="658">
        <f>+VLOOKUP($L324,Data_Validation!$A:$F,6,0)</f>
        <v>0</v>
      </c>
    </row>
    <row r="325" spans="1:24" ht="15" customHeight="1">
      <c r="A325" s="1190" t="s">
        <v>1168</v>
      </c>
      <c r="B325" s="1190" t="s">
        <v>2438</v>
      </c>
      <c r="C325" s="1192">
        <v>36773.160000000003</v>
      </c>
      <c r="D325" s="1192">
        <v>11076.5</v>
      </c>
      <c r="E325" s="1192">
        <v>47849.66</v>
      </c>
      <c r="F325" s="1190" t="s">
        <v>1156</v>
      </c>
      <c r="G325" s="1190" t="s">
        <v>1169</v>
      </c>
      <c r="H325" s="653"/>
      <c r="I325" s="672"/>
      <c r="J325" s="653"/>
      <c r="K325" s="672"/>
      <c r="L325" s="655" t="str">
        <f t="shared" si="181"/>
        <v>6414</v>
      </c>
      <c r="M325" s="656" t="str">
        <f t="shared" si="182"/>
        <v>PUBLICITE</v>
      </c>
      <c r="N325" s="657">
        <f>+IF(OR($Q325=Parametres!$G$2,$Q325=Parametres!$G$3),I325,C325)</f>
        <v>36773.160000000003</v>
      </c>
      <c r="O325" s="661">
        <f>+IF(OR($Q325=Parametres!$G$2,$Q325=Parametres!$G$3),J325,D325)</f>
        <v>11076.5</v>
      </c>
      <c r="P325" s="657">
        <f>+IF(OR($Q325=Parametres!$G$2,$Q325=Parametres!$G$3),K325,E325)</f>
        <v>47849.66</v>
      </c>
      <c r="Q325" s="656" t="str">
        <f t="shared" si="183"/>
        <v>7-Dépenses</v>
      </c>
      <c r="R325" s="655" t="str">
        <f t="shared" si="184"/>
        <v>6114</v>
      </c>
      <c r="S325" s="656">
        <f t="shared" si="185"/>
        <v>0</v>
      </c>
      <c r="T325" s="658" t="str">
        <f>+VLOOKUP($L325,Data_Validation!$A:$D,1,0)</f>
        <v>6414</v>
      </c>
      <c r="U325" s="658" t="str">
        <f>+VLOOKUP($L325,Data_Validation!$A:$D,3,0)</f>
        <v>Service</v>
      </c>
      <c r="V325" s="658" t="str">
        <f>+VLOOKUP($L325,Data_Validation!$A:$D,4,0)</f>
        <v>Publicité 2</v>
      </c>
      <c r="W325" s="658" t="str">
        <f>+VLOOKUP($L325,Data_Validation!$A:$E,5,0)</f>
        <v>$</v>
      </c>
      <c r="X325" s="658">
        <f>+VLOOKUP($L325,Data_Validation!$A:$F,6,0)</f>
        <v>0</v>
      </c>
    </row>
    <row r="326" spans="1:24" ht="15" customHeight="1">
      <c r="A326" s="1190" t="s">
        <v>1171</v>
      </c>
      <c r="B326" s="1190" t="s">
        <v>2441</v>
      </c>
      <c r="C326" s="1192">
        <v>10754.77</v>
      </c>
      <c r="D326" s="1192">
        <v>3349.11</v>
      </c>
      <c r="E326" s="1192">
        <v>14103.88</v>
      </c>
      <c r="F326" s="1190" t="s">
        <v>1156</v>
      </c>
      <c r="G326" s="1190" t="s">
        <v>1172</v>
      </c>
      <c r="H326" s="653"/>
      <c r="I326" s="654"/>
      <c r="J326" s="654"/>
      <c r="K326" s="654"/>
      <c r="L326" s="655" t="str">
        <f t="shared" si="181"/>
        <v>6421</v>
      </c>
      <c r="M326" s="656" t="str">
        <f t="shared" si="182"/>
        <v>SALAIRES - PROPRIETAIRES</v>
      </c>
      <c r="N326" s="657">
        <f>+IF(OR($Q326=Parametres!$G$2,$Q326=Parametres!$G$3),I326,C326)</f>
        <v>10754.77</v>
      </c>
      <c r="O326" s="661">
        <f>+IF(OR($Q326=Parametres!$G$2,$Q326=Parametres!$G$3),J326,D326)</f>
        <v>3349.11</v>
      </c>
      <c r="P326" s="657">
        <f>+IF(OR($Q326=Parametres!$G$2,$Q326=Parametres!$G$3),K326,E326)</f>
        <v>14103.88</v>
      </c>
      <c r="Q326" s="656" t="str">
        <f t="shared" si="183"/>
        <v>7-Dépenses</v>
      </c>
      <c r="R326" s="655" t="str">
        <f t="shared" si="184"/>
        <v>6121</v>
      </c>
      <c r="S326" s="656">
        <f t="shared" si="185"/>
        <v>0</v>
      </c>
      <c r="T326" s="658" t="str">
        <f>+VLOOKUP($L326,Data_Validation!$A:$D,1,0)</f>
        <v>6421</v>
      </c>
      <c r="U326" s="658" t="str">
        <f>+VLOOKUP($L326,Data_Validation!$A:$D,3,0)</f>
        <v>Service</v>
      </c>
      <c r="V326" s="658" t="str">
        <f>+VLOOKUP($L326,Data_Validation!$A:$D,4,0)</f>
        <v>Salaires propriétaire</v>
      </c>
      <c r="W326" s="658" t="str">
        <f>+VLOOKUP($L326,Data_Validation!$A:$E,5,0)</f>
        <v>$</v>
      </c>
      <c r="X326" s="658">
        <f>+VLOOKUP($L326,Data_Validation!$A:$F,6,0)</f>
        <v>0</v>
      </c>
    </row>
    <row r="327" spans="1:24" ht="15.75" customHeight="1">
      <c r="A327" s="1190" t="s">
        <v>1173</v>
      </c>
      <c r="B327" s="1190" t="s">
        <v>2444</v>
      </c>
      <c r="C327" s="1192">
        <v>45996.49</v>
      </c>
      <c r="D327" s="1192">
        <v>9367.5400000000009</v>
      </c>
      <c r="E327" s="1192">
        <v>55364.03</v>
      </c>
      <c r="F327" s="1190" t="s">
        <v>1156</v>
      </c>
      <c r="G327" s="1190" t="s">
        <v>1174</v>
      </c>
      <c r="H327" s="652"/>
      <c r="I327" s="654"/>
      <c r="J327" s="654"/>
      <c r="K327" s="654"/>
      <c r="L327" s="655" t="str">
        <f t="shared" si="181"/>
        <v>6422</v>
      </c>
      <c r="M327" s="656" t="str">
        <f t="shared" si="182"/>
        <v>SAL SUPERVISION / GERANT</v>
      </c>
      <c r="N327" s="657">
        <f>+IF(OR($Q327=Parametres!$G$2,$Q327=Parametres!$G$3),I327,C327)</f>
        <v>45996.49</v>
      </c>
      <c r="O327" s="657">
        <f>+IF(OR($Q327=Parametres!$G$2,$Q327=Parametres!$G$3),J327,D327)</f>
        <v>9367.5400000000009</v>
      </c>
      <c r="P327" s="657">
        <f>+IF(OR($Q327=Parametres!$G$2,$Q327=Parametres!$G$3),K327,E327)</f>
        <v>55364.03</v>
      </c>
      <c r="Q327" s="656" t="str">
        <f t="shared" si="183"/>
        <v>7-Dépenses</v>
      </c>
      <c r="R327" s="655" t="str">
        <f t="shared" si="184"/>
        <v>6122</v>
      </c>
      <c r="S327" s="656">
        <f t="shared" si="185"/>
        <v>0</v>
      </c>
      <c r="T327" s="658" t="str">
        <f>+VLOOKUP($L327,Data_Validation!$A:$D,1,0)</f>
        <v>6422</v>
      </c>
      <c r="U327" s="658" t="str">
        <f>+VLOOKUP($L327,Data_Validation!$A:$D,3,0)</f>
        <v>Service</v>
      </c>
      <c r="V327" s="658" t="str">
        <f>+VLOOKUP($L327,Data_Validation!$A:$D,4,0)</f>
        <v>Salaires cadres</v>
      </c>
      <c r="W327" s="658" t="str">
        <f>+VLOOKUP($L327,Data_Validation!$A:$E,5,0)</f>
        <v>$</v>
      </c>
      <c r="X327" s="658">
        <f>+VLOOKUP($L327,Data_Validation!$A:$F,6,0)</f>
        <v>0</v>
      </c>
    </row>
    <row r="328" spans="1:24" ht="15" customHeight="1">
      <c r="A328" s="1190" t="s">
        <v>1246</v>
      </c>
      <c r="B328" s="1190" t="s">
        <v>2447</v>
      </c>
      <c r="C328" s="1192">
        <v>22205.1</v>
      </c>
      <c r="D328" s="1192">
        <v>8321.08</v>
      </c>
      <c r="E328" s="1192">
        <v>30526.18</v>
      </c>
      <c r="F328" s="1190" t="s">
        <v>1156</v>
      </c>
      <c r="G328" s="1190" t="s">
        <v>1176</v>
      </c>
      <c r="H328" s="652"/>
      <c r="I328" s="654"/>
      <c r="J328" s="654"/>
      <c r="K328" s="654"/>
      <c r="L328" s="655" t="str">
        <f t="shared" si="181"/>
        <v>6423</v>
      </c>
      <c r="M328" s="656" t="str">
        <f t="shared" si="182"/>
        <v>SAL. &amp; RENUM. CLERICAL</v>
      </c>
      <c r="N328" s="657">
        <f>+IF(OR($Q328=Parametres!$G$2,$Q328=Parametres!$G$3),I328,C328)</f>
        <v>22205.1</v>
      </c>
      <c r="O328" s="657">
        <f>+IF(OR($Q328=Parametres!$G$2,$Q328=Parametres!$G$3),J328,D328)</f>
        <v>8321.08</v>
      </c>
      <c r="P328" s="657">
        <f>+IF(OR($Q328=Parametres!$G$2,$Q328=Parametres!$G$3),K328,E328)</f>
        <v>30526.18</v>
      </c>
      <c r="Q328" s="656" t="str">
        <f t="shared" si="183"/>
        <v>7-Dépenses</v>
      </c>
      <c r="R328" s="655" t="str">
        <f t="shared" si="184"/>
        <v>6123</v>
      </c>
      <c r="S328" s="656">
        <f t="shared" si="185"/>
        <v>0</v>
      </c>
      <c r="T328" s="658" t="str">
        <f>+VLOOKUP($L328,Data_Validation!$A:$D,1,0)</f>
        <v>6423</v>
      </c>
      <c r="U328" s="658" t="str">
        <f>+VLOOKUP($L328,Data_Validation!$A:$D,3,0)</f>
        <v>Service</v>
      </c>
      <c r="V328" s="658" t="str">
        <f>+VLOOKUP($L328,Data_Validation!$A:$D,4,0)</f>
        <v>Salaires commis</v>
      </c>
      <c r="W328" s="658" t="str">
        <f>+VLOOKUP($L328,Data_Validation!$A:$E,5,0)</f>
        <v>$</v>
      </c>
      <c r="X328" s="658">
        <f>+VLOOKUP($L328,Data_Validation!$A:$F,6,0)</f>
        <v>0</v>
      </c>
    </row>
    <row r="329" spans="1:24" ht="15" customHeight="1">
      <c r="A329" s="1190" t="s">
        <v>1177</v>
      </c>
      <c r="B329" s="1190" t="s">
        <v>2450</v>
      </c>
      <c r="C329" s="1192">
        <v>41409.78</v>
      </c>
      <c r="D329" s="1192">
        <v>20320.27</v>
      </c>
      <c r="E329" s="1192">
        <v>61730.05</v>
      </c>
      <c r="F329" s="1190" t="s">
        <v>1156</v>
      </c>
      <c r="G329" s="1190" t="s">
        <v>1178</v>
      </c>
      <c r="H329" s="653"/>
      <c r="I329" s="653"/>
      <c r="J329" s="653"/>
      <c r="K329" s="653"/>
      <c r="L329" s="655" t="str">
        <f t="shared" si="181"/>
        <v>6424</v>
      </c>
      <c r="M329" s="656" t="str">
        <f t="shared" si="182"/>
        <v>SALAIRES &amp; RENUM. - AUTRES</v>
      </c>
      <c r="N329" s="657">
        <f>+IF(OR($Q329=Parametres!$G$2,$Q329=Parametres!$G$3),I329,C329)</f>
        <v>41409.78</v>
      </c>
      <c r="O329" s="657">
        <f>+IF(OR($Q329=Parametres!$G$2,$Q329=Parametres!$G$3),J329,D329)</f>
        <v>20320.27</v>
      </c>
      <c r="P329" s="657">
        <f>+IF(OR($Q329=Parametres!$G$2,$Q329=Parametres!$G$3),K329,E329)</f>
        <v>61730.05</v>
      </c>
      <c r="Q329" s="656" t="str">
        <f t="shared" si="183"/>
        <v>7-Dépenses</v>
      </c>
      <c r="R329" s="655" t="str">
        <f t="shared" si="184"/>
        <v>6124</v>
      </c>
      <c r="S329" s="656">
        <f t="shared" si="185"/>
        <v>0</v>
      </c>
      <c r="T329" s="658" t="str">
        <f>+VLOOKUP($L329,Data_Validation!$A:$D,1,0)</f>
        <v>6424</v>
      </c>
      <c r="U329" s="658" t="str">
        <f>+VLOOKUP($L329,Data_Validation!$A:$D,3,0)</f>
        <v>Service</v>
      </c>
      <c r="V329" s="658" t="str">
        <f>+VLOOKUP($L329,Data_Validation!$A:$D,4,0)</f>
        <v>Salaires autres</v>
      </c>
      <c r="W329" s="658" t="str">
        <f>+VLOOKUP($L329,Data_Validation!$A:$E,5,0)</f>
        <v>$</v>
      </c>
      <c r="X329" s="658">
        <f>+VLOOKUP($L329,Data_Validation!$A:$F,6,0)</f>
        <v>0</v>
      </c>
    </row>
    <row r="330" spans="1:24" ht="15" customHeight="1">
      <c r="A330" s="1190" t="s">
        <v>1247</v>
      </c>
      <c r="B330" s="1190" t="s">
        <v>2453</v>
      </c>
      <c r="C330" s="1192">
        <v>64142.080000000002</v>
      </c>
      <c r="D330" s="1192">
        <v>43948.92</v>
      </c>
      <c r="E330" s="1192">
        <v>108091</v>
      </c>
      <c r="F330" s="1190" t="s">
        <v>1156</v>
      </c>
      <c r="G330" s="1190" t="s">
        <v>1248</v>
      </c>
      <c r="H330" s="652"/>
      <c r="I330" s="665"/>
      <c r="J330" s="665"/>
      <c r="K330" s="665"/>
      <c r="L330" s="655" t="str">
        <f t="shared" si="181"/>
        <v>6425</v>
      </c>
      <c r="M330" s="656" t="str">
        <f t="shared" si="182"/>
        <v>SALAIRE SPECIALISTES</v>
      </c>
      <c r="N330" s="657">
        <f>+IF(OR($Q330=Parametres!$G$2,$Q330=Parametres!$G$3),I330,C330)</f>
        <v>64142.080000000002</v>
      </c>
      <c r="O330" s="657">
        <f>+IF(OR($Q330=Parametres!$G$2,$Q330=Parametres!$G$3),J330,D330)</f>
        <v>43948.92</v>
      </c>
      <c r="P330" s="657">
        <f>+IF(OR($Q330=Parametres!$G$2,$Q330=Parametres!$G$3),K330,E330)</f>
        <v>108091</v>
      </c>
      <c r="Q330" s="656" t="str">
        <f t="shared" si="183"/>
        <v>7-Dépenses</v>
      </c>
      <c r="R330" s="655" t="str">
        <f t="shared" si="184"/>
        <v>6125</v>
      </c>
      <c r="S330" s="656">
        <f t="shared" si="185"/>
        <v>0</v>
      </c>
      <c r="T330" s="658" t="str">
        <f>+VLOOKUP($L330,Data_Validation!$A:$D,1,0)</f>
        <v>6425</v>
      </c>
      <c r="U330" s="658" t="str">
        <f>+VLOOKUP($L330,Data_Validation!$A:$D,3,0)</f>
        <v>Service</v>
      </c>
      <c r="V330" s="658" t="str">
        <f>+VLOOKUP($L330,Data_Validation!$A:$D,4,0)</f>
        <v>Salaires spécialistes</v>
      </c>
      <c r="W330" s="658" t="str">
        <f>+VLOOKUP($L330,Data_Validation!$A:$E,5,0)</f>
        <v>$</v>
      </c>
      <c r="X330" s="658">
        <f>+VLOOKUP($L330,Data_Validation!$A:$F,6,0)</f>
        <v>0</v>
      </c>
    </row>
    <row r="331" spans="1:24" ht="15" customHeight="1">
      <c r="A331" s="1190" t="s">
        <v>1249</v>
      </c>
      <c r="B331" s="1190" t="s">
        <v>2456</v>
      </c>
      <c r="C331" s="1192">
        <v>43274.87</v>
      </c>
      <c r="D331" s="1192">
        <v>20422.400000000001</v>
      </c>
      <c r="E331" s="1192">
        <v>63697.27</v>
      </c>
      <c r="F331" s="1190" t="s">
        <v>1156</v>
      </c>
      <c r="G331" s="1190" t="s">
        <v>1180</v>
      </c>
      <c r="H331" s="652"/>
      <c r="I331" s="665"/>
      <c r="J331" s="665"/>
      <c r="K331" s="665"/>
      <c r="L331" s="655" t="str">
        <f t="shared" si="181"/>
        <v>6429</v>
      </c>
      <c r="M331" s="656" t="str">
        <f t="shared" si="182"/>
        <v>SAL.,VACANCE, &amp; SAL. JOURS FER</v>
      </c>
      <c r="N331" s="657">
        <f>+IF(OR($Q331=Parametres!$G$2,$Q331=Parametres!$G$3),I331,C331)</f>
        <v>43274.87</v>
      </c>
      <c r="O331" s="657">
        <f>+IF(OR($Q331=Parametres!$G$2,$Q331=Parametres!$G$3),J331,D331)</f>
        <v>20422.400000000001</v>
      </c>
      <c r="P331" s="657">
        <f>+IF(OR($Q331=Parametres!$G$2,$Q331=Parametres!$G$3),K331,E331)</f>
        <v>63697.27</v>
      </c>
      <c r="Q331" s="656" t="str">
        <f t="shared" si="183"/>
        <v>7-Dépenses</v>
      </c>
      <c r="R331" s="655" t="str">
        <f t="shared" si="184"/>
        <v>6129</v>
      </c>
      <c r="S331" s="656">
        <f t="shared" si="185"/>
        <v>0</v>
      </c>
      <c r="T331" s="658" t="str">
        <f>+VLOOKUP($L331,Data_Validation!$A:$D,1,0)</f>
        <v>6429</v>
      </c>
      <c r="U331" s="658" t="str">
        <f>+VLOOKUP($L331,Data_Validation!$A:$D,3,0)</f>
        <v>Service</v>
      </c>
      <c r="V331" s="658" t="str">
        <f>+VLOOKUP($L331,Data_Validation!$A:$D,4,0)</f>
        <v>Salaires en absences</v>
      </c>
      <c r="W331" s="658" t="str">
        <f>+VLOOKUP($L331,Data_Validation!$A:$E,5,0)</f>
        <v>$</v>
      </c>
      <c r="X331" s="658">
        <f>+VLOOKUP($L331,Data_Validation!$A:$F,6,0)</f>
        <v>0</v>
      </c>
    </row>
    <row r="332" spans="1:24" ht="15" customHeight="1">
      <c r="A332" s="1190" t="s">
        <v>1181</v>
      </c>
      <c r="B332" s="1190" t="s">
        <v>2459</v>
      </c>
      <c r="C332" s="1192">
        <v>11565.12</v>
      </c>
      <c r="D332" s="1192">
        <v>4370.88</v>
      </c>
      <c r="E332" s="1192">
        <v>15936</v>
      </c>
      <c r="F332" s="1190" t="s">
        <v>1156</v>
      </c>
      <c r="G332" s="1190" t="s">
        <v>1182</v>
      </c>
      <c r="H332" s="652"/>
      <c r="I332" s="665"/>
      <c r="J332" s="665"/>
      <c r="K332" s="665"/>
      <c r="L332" s="655" t="str">
        <f t="shared" si="181"/>
        <v>6431</v>
      </c>
      <c r="M332" s="656" t="str">
        <f t="shared" si="182"/>
        <v>CSST</v>
      </c>
      <c r="N332" s="657">
        <f>+IF(OR($Q332=Parametres!$G$2,$Q332=Parametres!$G$3),I332,C332)</f>
        <v>11565.12</v>
      </c>
      <c r="O332" s="657">
        <f>+IF(OR($Q332=Parametres!$G$2,$Q332=Parametres!$G$3),J332,D332)</f>
        <v>4370.88</v>
      </c>
      <c r="P332" s="657">
        <f>+IF(OR($Q332=Parametres!$G$2,$Q332=Parametres!$G$3),K332,E332)</f>
        <v>15936</v>
      </c>
      <c r="Q332" s="656" t="str">
        <f t="shared" si="183"/>
        <v>7-Dépenses</v>
      </c>
      <c r="R332" s="655" t="str">
        <f t="shared" si="184"/>
        <v>6131</v>
      </c>
      <c r="S332" s="656">
        <f t="shared" si="185"/>
        <v>0</v>
      </c>
      <c r="T332" s="658" t="str">
        <f>+VLOOKUP($L332,Data_Validation!$A:$D,1,0)</f>
        <v>6431</v>
      </c>
      <c r="U332" s="658" t="str">
        <f>+VLOOKUP($L332,Data_Validation!$A:$D,3,0)</f>
        <v>Service</v>
      </c>
      <c r="V332" s="658" t="str">
        <f>+VLOOKUP($L332,Data_Validation!$A:$D,4,0)</f>
        <v>Csst</v>
      </c>
      <c r="W332" s="658" t="str">
        <f>+VLOOKUP($L332,Data_Validation!$A:$E,5,0)</f>
        <v>$</v>
      </c>
      <c r="X332" s="658">
        <f>+VLOOKUP($L332,Data_Validation!$A:$F,6,0)</f>
        <v>0</v>
      </c>
    </row>
    <row r="333" spans="1:24" ht="15.75" customHeight="1">
      <c r="A333" s="1190" t="s">
        <v>1183</v>
      </c>
      <c r="B333" s="1190" t="s">
        <v>2462</v>
      </c>
      <c r="C333" s="1192">
        <v>65040.94</v>
      </c>
      <c r="D333" s="1192">
        <v>22408.44</v>
      </c>
      <c r="E333" s="1192">
        <v>87449.38</v>
      </c>
      <c r="F333" s="1190" t="s">
        <v>1156</v>
      </c>
      <c r="G333" s="1190" t="s">
        <v>1184</v>
      </c>
      <c r="H333" s="652"/>
      <c r="I333" s="654"/>
      <c r="J333" s="654"/>
      <c r="K333" s="654"/>
      <c r="L333" s="655" t="str">
        <f t="shared" si="181"/>
        <v>6432</v>
      </c>
      <c r="M333" s="656" t="str">
        <f t="shared" si="182"/>
        <v>RRQ RAMQ AC</v>
      </c>
      <c r="N333" s="657">
        <f>+IF(OR($Q333=Parametres!$G$2,$Q333=Parametres!$G$3),I333,C333)</f>
        <v>65040.94</v>
      </c>
      <c r="O333" s="657">
        <f>+IF(OR($Q333=Parametres!$G$2,$Q333=Parametres!$G$3),J333,D333)</f>
        <v>22408.44</v>
      </c>
      <c r="P333" s="657">
        <f>+IF(OR($Q333=Parametres!$G$2,$Q333=Parametres!$G$3),K333,E333)</f>
        <v>87449.38</v>
      </c>
      <c r="Q333" s="656" t="str">
        <f t="shared" si="183"/>
        <v>7-Dépenses</v>
      </c>
      <c r="R333" s="655" t="str">
        <f t="shared" si="184"/>
        <v>6132</v>
      </c>
      <c r="S333" s="656">
        <f t="shared" si="185"/>
        <v>0</v>
      </c>
      <c r="T333" s="658" t="str">
        <f>+VLOOKUP($L333,Data_Validation!$A:$D,1,0)</f>
        <v>6432</v>
      </c>
      <c r="U333" s="658" t="str">
        <f>+VLOOKUP($L333,Data_Validation!$A:$D,3,0)</f>
        <v>Service</v>
      </c>
      <c r="V333" s="658" t="str">
        <f>+VLOOKUP($L333,Data_Validation!$A:$D,4,0)</f>
        <v>Déduction à la source</v>
      </c>
      <c r="W333" s="658" t="str">
        <f>+VLOOKUP($L333,Data_Validation!$A:$E,5,0)</f>
        <v>$</v>
      </c>
      <c r="X333" s="658">
        <f>+VLOOKUP($L333,Data_Validation!$A:$F,6,0)</f>
        <v>0</v>
      </c>
    </row>
    <row r="334" spans="1:24" ht="15.75" customHeight="1">
      <c r="A334" s="1190" t="s">
        <v>1250</v>
      </c>
      <c r="B334" s="1190" t="s">
        <v>2465</v>
      </c>
      <c r="C334" s="1192">
        <v>18863.439999999999</v>
      </c>
      <c r="D334" s="1192">
        <v>6264.82</v>
      </c>
      <c r="E334" s="1192">
        <v>25128.26</v>
      </c>
      <c r="F334" s="1190" t="s">
        <v>1156</v>
      </c>
      <c r="G334" s="1190" t="s">
        <v>1186</v>
      </c>
      <c r="H334" s="652"/>
      <c r="I334" s="665"/>
      <c r="J334" s="665"/>
      <c r="K334" s="665"/>
      <c r="L334" s="655" t="str">
        <f t="shared" si="181"/>
        <v>6433</v>
      </c>
      <c r="M334" s="656" t="str">
        <f t="shared" si="182"/>
        <v>FOND PENSION - SERVICE</v>
      </c>
      <c r="N334" s="657">
        <f>+IF(OR($Q334=Parametres!$G$2,$Q334=Parametres!$G$3),I334,C334)</f>
        <v>18863.439999999999</v>
      </c>
      <c r="O334" s="657">
        <f>+IF(OR($Q334=Parametres!$G$2,$Q334=Parametres!$G$3),J334,D334)</f>
        <v>6264.82</v>
      </c>
      <c r="P334" s="657">
        <f>+IF(OR($Q334=Parametres!$G$2,$Q334=Parametres!$G$3),K334,E334)</f>
        <v>25128.26</v>
      </c>
      <c r="Q334" s="656" t="str">
        <f t="shared" si="183"/>
        <v>7-Dépenses</v>
      </c>
      <c r="R334" s="655" t="str">
        <f t="shared" si="184"/>
        <v>6133</v>
      </c>
      <c r="S334" s="656">
        <f t="shared" si="185"/>
        <v>0</v>
      </c>
      <c r="T334" s="658" t="str">
        <f>+VLOOKUP($L334,Data_Validation!$A:$D,1,0)</f>
        <v>6433</v>
      </c>
      <c r="U334" s="658" t="str">
        <f>+VLOOKUP($L334,Data_Validation!$A:$D,3,0)</f>
        <v>Service</v>
      </c>
      <c r="V334" s="658" t="str">
        <f>+VLOOKUP($L334,Data_Validation!$A:$D,4,0)</f>
        <v>Bénéfices marginaux</v>
      </c>
      <c r="W334" s="658" t="str">
        <f>+VLOOKUP($L334,Data_Validation!$A:$E,5,0)</f>
        <v>$</v>
      </c>
      <c r="X334" s="658">
        <f>+VLOOKUP($L334,Data_Validation!$A:$F,6,0)</f>
        <v>0</v>
      </c>
    </row>
    <row r="335" spans="1:24" ht="15" customHeight="1">
      <c r="A335" s="1190" t="s">
        <v>1233</v>
      </c>
      <c r="B335" s="1190" t="s">
        <v>2468</v>
      </c>
      <c r="C335" s="1192">
        <v>15578.02</v>
      </c>
      <c r="D335" s="1192">
        <v>4979.95</v>
      </c>
      <c r="E335" s="1192">
        <v>20557.97</v>
      </c>
      <c r="F335" s="1190" t="s">
        <v>1156</v>
      </c>
      <c r="G335" s="1190" t="s">
        <v>1188</v>
      </c>
      <c r="H335" s="652"/>
      <c r="I335" s="654"/>
      <c r="J335" s="654"/>
      <c r="K335" s="654"/>
      <c r="L335" s="655" t="str">
        <f t="shared" si="181"/>
        <v>6439</v>
      </c>
      <c r="M335" s="656" t="str">
        <f t="shared" si="182"/>
        <v>ASSURANCE GROUPE</v>
      </c>
      <c r="N335" s="657">
        <f>+IF(OR($Q335=Parametres!$G$2,$Q335=Parametres!$G$3),I335,C335)</f>
        <v>15578.02</v>
      </c>
      <c r="O335" s="657">
        <f>+IF(OR($Q335=Parametres!$G$2,$Q335=Parametres!$G$3),J335,D335)</f>
        <v>4979.95</v>
      </c>
      <c r="P335" s="657">
        <f>+IF(OR($Q335=Parametres!$G$2,$Q335=Parametres!$G$3),K335,E335)</f>
        <v>20557.97</v>
      </c>
      <c r="Q335" s="656" t="str">
        <f t="shared" si="183"/>
        <v>7-Dépenses</v>
      </c>
      <c r="R335" s="655" t="str">
        <f t="shared" si="184"/>
        <v>6139</v>
      </c>
      <c r="S335" s="656">
        <f t="shared" si="185"/>
        <v>0</v>
      </c>
      <c r="T335" s="658" t="str">
        <f>+VLOOKUP($L335,Data_Validation!$A:$D,1,0)</f>
        <v>6439</v>
      </c>
      <c r="U335" s="658" t="str">
        <f>+VLOOKUP($L335,Data_Validation!$A:$D,3,0)</f>
        <v>Service</v>
      </c>
      <c r="V335" s="658" t="str">
        <f>+VLOOKUP($L335,Data_Validation!$A:$D,4,0)</f>
        <v>Bénéfices marginaux</v>
      </c>
      <c r="W335" s="658" t="str">
        <f>+VLOOKUP($L335,Data_Validation!$A:$E,5,0)</f>
        <v>$</v>
      </c>
      <c r="X335" s="658">
        <f>+VLOOKUP($L335,Data_Validation!$A:$F,6,0)</f>
        <v>0</v>
      </c>
    </row>
    <row r="336" spans="1:24" ht="15" customHeight="1">
      <c r="A336" s="1190" t="s">
        <v>1251</v>
      </c>
      <c r="B336" s="1190" t="s">
        <v>2474</v>
      </c>
      <c r="C336" s="1192">
        <v>612.98</v>
      </c>
      <c r="D336" s="1192">
        <v>68.900000000000006</v>
      </c>
      <c r="E336" s="1192">
        <v>681.88</v>
      </c>
      <c r="F336" s="1190" t="s">
        <v>1156</v>
      </c>
      <c r="G336" s="1190" t="s">
        <v>1244</v>
      </c>
      <c r="H336" s="652"/>
      <c r="I336" s="654"/>
      <c r="J336" s="654"/>
      <c r="K336" s="654"/>
      <c r="L336" s="655" t="str">
        <f t="shared" si="181"/>
        <v>6441</v>
      </c>
      <c r="M336" s="656" t="str">
        <f t="shared" si="182"/>
        <v>RETOURS</v>
      </c>
      <c r="N336" s="657">
        <f>+IF(OR($Q336=Parametres!$G$2,$Q336=Parametres!$G$3),I336,C336)</f>
        <v>612.98</v>
      </c>
      <c r="O336" s="657">
        <f>+IF(OR($Q336=Parametres!$G$2,$Q336=Parametres!$G$3),J336,D336)</f>
        <v>68.900000000000006</v>
      </c>
      <c r="P336" s="657">
        <f>+IF(OR($Q336=Parametres!$G$2,$Q336=Parametres!$G$3),K336,E336)</f>
        <v>681.88</v>
      </c>
      <c r="Q336" s="656" t="str">
        <f t="shared" si="183"/>
        <v>7-Dépenses</v>
      </c>
      <c r="R336" s="655" t="str">
        <f t="shared" si="184"/>
        <v>6112</v>
      </c>
      <c r="S336" s="656">
        <f t="shared" si="185"/>
        <v>0</v>
      </c>
      <c r="T336" s="658" t="str">
        <f>+VLOOKUP($L336,Data_Validation!$A:$D,1,0)</f>
        <v>6441</v>
      </c>
      <c r="U336" s="658" t="str">
        <f>+VLOOKUP($L336,Data_Validation!$A:$D,3,0)</f>
        <v>Service</v>
      </c>
      <c r="V336" s="658" t="str">
        <f>+VLOOKUP($L336,Data_Validation!$A:$D,4,0)</f>
        <v>Service gratuit 2</v>
      </c>
      <c r="W336" s="658" t="str">
        <f>+VLOOKUP($L336,Data_Validation!$A:$E,5,0)</f>
        <v>$</v>
      </c>
      <c r="X336" s="658">
        <f>+VLOOKUP($L336,Data_Validation!$A:$F,6,0)</f>
        <v>0</v>
      </c>
    </row>
    <row r="337" spans="1:24" ht="15" customHeight="1">
      <c r="A337" s="1190" t="s">
        <v>1189</v>
      </c>
      <c r="B337" s="1190" t="s">
        <v>2477</v>
      </c>
      <c r="C337" s="1192">
        <v>16212.32</v>
      </c>
      <c r="D337" s="1192">
        <v>4529.47</v>
      </c>
      <c r="E337" s="1192">
        <v>20741.79</v>
      </c>
      <c r="F337" s="1190" t="s">
        <v>1156</v>
      </c>
      <c r="G337" s="1190" t="s">
        <v>1190</v>
      </c>
      <c r="H337" s="1160"/>
      <c r="I337" s="1160"/>
      <c r="J337" s="1160"/>
      <c r="K337" s="1160"/>
      <c r="L337" s="655" t="str">
        <f t="shared" si="181"/>
        <v>6442</v>
      </c>
      <c r="M337" s="656" t="str">
        <f t="shared" si="182"/>
        <v>FOURNITURES &amp; PETITS OUTILS</v>
      </c>
      <c r="N337" s="657">
        <f>+IF(OR($Q337=Parametres!$G$2,$Q337=Parametres!$G$3),I337,C337)</f>
        <v>16212.32</v>
      </c>
      <c r="O337" s="657">
        <f>+IF(OR($Q337=Parametres!$G$2,$Q337=Parametres!$G$3),J337,D337)</f>
        <v>4529.47</v>
      </c>
      <c r="P337" s="657">
        <f>+IF(OR($Q337=Parametres!$G$2,$Q337=Parametres!$G$3),K337,E337)</f>
        <v>20741.79</v>
      </c>
      <c r="Q337" s="656" t="str">
        <f t="shared" si="183"/>
        <v>7-Dépenses</v>
      </c>
      <c r="R337" s="655" t="str">
        <f t="shared" si="184"/>
        <v>6142</v>
      </c>
      <c r="S337" s="656">
        <f t="shared" si="185"/>
        <v>0</v>
      </c>
      <c r="T337" s="658" t="str">
        <f>+VLOOKUP($L337,Data_Validation!$A:$D,1,0)</f>
        <v>6442</v>
      </c>
      <c r="U337" s="658" t="str">
        <f>+VLOOKUP($L337,Data_Validation!$A:$D,3,0)</f>
        <v>Service</v>
      </c>
      <c r="V337" s="658" t="str">
        <f>+VLOOKUP($L337,Data_Validation!$A:$D,4,0)</f>
        <v>Fournitures autres</v>
      </c>
      <c r="W337" s="658" t="str">
        <f>+VLOOKUP($L337,Data_Validation!$A:$E,5,0)</f>
        <v>$</v>
      </c>
      <c r="X337" s="658">
        <f>+VLOOKUP($L337,Data_Validation!$A:$F,6,0)</f>
        <v>0</v>
      </c>
    </row>
    <row r="338" spans="1:24" ht="15.75" customHeight="1">
      <c r="A338" s="1190" t="s">
        <v>1191</v>
      </c>
      <c r="B338" s="1190" t="s">
        <v>2480</v>
      </c>
      <c r="C338" s="1192">
        <v>2972.5</v>
      </c>
      <c r="D338" s="1192">
        <v>893.35</v>
      </c>
      <c r="E338" s="1192">
        <v>3865.85</v>
      </c>
      <c r="F338" s="1190" t="s">
        <v>1156</v>
      </c>
      <c r="G338" s="1190" t="s">
        <v>1192</v>
      </c>
      <c r="H338" s="1160"/>
      <c r="I338" s="1160"/>
      <c r="J338" s="1160"/>
      <c r="K338" s="1160"/>
      <c r="L338" s="655" t="str">
        <f t="shared" si="181"/>
        <v>6443</v>
      </c>
      <c r="M338" s="656" t="str">
        <f t="shared" si="182"/>
        <v>UNIFORMES &amp; LESSIVE</v>
      </c>
      <c r="N338" s="657">
        <f>+IF(OR($Q338=Parametres!$G$2,$Q338=Parametres!$G$3),I338,C338)</f>
        <v>2972.5</v>
      </c>
      <c r="O338" s="661">
        <f>+IF(OR($Q338=Parametres!$G$2,$Q338=Parametres!$G$3),J338,D338)</f>
        <v>893.35</v>
      </c>
      <c r="P338" s="657">
        <f>+IF(OR($Q338=Parametres!$G$2,$Q338=Parametres!$G$3),K338,E338)</f>
        <v>3865.85</v>
      </c>
      <c r="Q338" s="656" t="str">
        <f t="shared" si="183"/>
        <v>7-Dépenses</v>
      </c>
      <c r="R338" s="655" t="str">
        <f t="shared" si="184"/>
        <v>6143</v>
      </c>
      <c r="S338" s="656">
        <f t="shared" si="185"/>
        <v>0</v>
      </c>
      <c r="T338" s="658" t="str">
        <f>+VLOOKUP($L338,Data_Validation!$A:$D,1,0)</f>
        <v>6443</v>
      </c>
      <c r="U338" s="658" t="str">
        <f>+VLOOKUP($L338,Data_Validation!$A:$D,3,0)</f>
        <v>Service</v>
      </c>
      <c r="V338" s="658" t="str">
        <f>+VLOOKUP($L338,Data_Validation!$A:$D,4,0)</f>
        <v>Uniformes</v>
      </c>
      <c r="W338" s="658" t="str">
        <f>+VLOOKUP($L338,Data_Validation!$A:$E,5,0)</f>
        <v>$</v>
      </c>
      <c r="X338" s="658">
        <f>+VLOOKUP($L338,Data_Validation!$A:$F,6,0)</f>
        <v>0</v>
      </c>
    </row>
    <row r="339" spans="1:24" ht="15" customHeight="1">
      <c r="A339" s="1190" t="s">
        <v>1193</v>
      </c>
      <c r="B339" s="1190" t="s">
        <v>2483</v>
      </c>
      <c r="C339" s="1192">
        <v>10313.34</v>
      </c>
      <c r="D339" s="1192">
        <v>1114.8599999999999</v>
      </c>
      <c r="E339" s="1192">
        <v>11428.2</v>
      </c>
      <c r="F339" s="1190" t="s">
        <v>1156</v>
      </c>
      <c r="G339" s="1190" t="s">
        <v>1194</v>
      </c>
      <c r="H339" s="1160"/>
      <c r="I339" s="1160"/>
      <c r="J339" s="1160"/>
      <c r="K339" s="1160"/>
      <c r="L339" s="655" t="str">
        <f t="shared" si="181"/>
        <v>6444</v>
      </c>
      <c r="M339" s="656" t="str">
        <f t="shared" si="182"/>
        <v>FORMATION</v>
      </c>
      <c r="N339" s="657">
        <f>+IF(OR($Q339=Parametres!$G$2,$Q339=Parametres!$G$3),I339,C339)</f>
        <v>10313.34</v>
      </c>
      <c r="O339" s="657">
        <f>+IF(OR($Q339=Parametres!$G$2,$Q339=Parametres!$G$3),J339,D339)</f>
        <v>1114.8599999999999</v>
      </c>
      <c r="P339" s="657">
        <f>+IF(OR($Q339=Parametres!$G$2,$Q339=Parametres!$G$3),K339,E339)</f>
        <v>11428.2</v>
      </c>
      <c r="Q339" s="656" t="str">
        <f t="shared" si="183"/>
        <v>7-Dépenses</v>
      </c>
      <c r="R339" s="655" t="str">
        <f t="shared" si="184"/>
        <v>6144</v>
      </c>
      <c r="S339" s="656">
        <f t="shared" si="185"/>
        <v>0</v>
      </c>
      <c r="T339" s="658" t="str">
        <f>+VLOOKUP($L339,Data_Validation!$A:$D,1,0)</f>
        <v>6444</v>
      </c>
      <c r="U339" s="658" t="str">
        <f>+VLOOKUP($L339,Data_Validation!$A:$D,3,0)</f>
        <v>Service</v>
      </c>
      <c r="V339" s="658" t="str">
        <f>+VLOOKUP($L339,Data_Validation!$A:$D,4,0)</f>
        <v>Formation</v>
      </c>
      <c r="W339" s="658" t="str">
        <f>+VLOOKUP($L339,Data_Validation!$A:$E,5,0)</f>
        <v>$</v>
      </c>
      <c r="X339" s="658">
        <f>+VLOOKUP($L339,Data_Validation!$A:$F,6,0)</f>
        <v>0</v>
      </c>
    </row>
    <row r="340" spans="1:24" ht="15" customHeight="1">
      <c r="A340" s="1190" t="s">
        <v>1252</v>
      </c>
      <c r="B340" s="1190" t="s">
        <v>2486</v>
      </c>
      <c r="C340" s="1192">
        <v>28756.11</v>
      </c>
      <c r="D340" s="1192">
        <v>13105.98</v>
      </c>
      <c r="E340" s="1192">
        <v>41862.089999999997</v>
      </c>
      <c r="F340" s="1190" t="s">
        <v>1156</v>
      </c>
      <c r="G340" s="1190" t="s">
        <v>1196</v>
      </c>
      <c r="H340" s="1160"/>
      <c r="I340" s="1160"/>
      <c r="J340" s="1160"/>
      <c r="K340" s="1160"/>
      <c r="L340" s="655" t="str">
        <f t="shared" si="181"/>
        <v>6445</v>
      </c>
      <c r="M340" s="656" t="str">
        <f t="shared" si="182"/>
        <v>LOCATION COURTOISIE</v>
      </c>
      <c r="N340" s="657">
        <f>+IF(OR($Q340=Parametres!$G$2,$Q340=Parametres!$G$3),I340,C340)</f>
        <v>28756.11</v>
      </c>
      <c r="O340" s="661">
        <f>+IF(OR($Q340=Parametres!$G$2,$Q340=Parametres!$G$3),J340,D340)</f>
        <v>13105.98</v>
      </c>
      <c r="P340" s="657">
        <f>+IF(OR($Q340=Parametres!$G$2,$Q340=Parametres!$G$3),K340,E340)</f>
        <v>41862.089999999997</v>
      </c>
      <c r="Q340" s="656" t="str">
        <f t="shared" si="183"/>
        <v>7-Dépenses</v>
      </c>
      <c r="R340" s="655" t="str">
        <f t="shared" si="184"/>
        <v>6145</v>
      </c>
      <c r="S340" s="656">
        <f t="shared" si="185"/>
        <v>0</v>
      </c>
      <c r="T340" s="658" t="str">
        <f>+VLOOKUP($L340,Data_Validation!$A:$D,1,0)</f>
        <v>6445</v>
      </c>
      <c r="U340" s="658" t="str">
        <f>+VLOOKUP($L340,Data_Validation!$A:$D,3,0)</f>
        <v>Service</v>
      </c>
      <c r="V340" s="658" t="str">
        <f>+VLOOKUP($L340,Data_Validation!$A:$D,4,0)</f>
        <v>Frais véhicules de cie</v>
      </c>
      <c r="W340" s="658" t="str">
        <f>+VLOOKUP($L340,Data_Validation!$A:$E,5,0)</f>
        <v>$</v>
      </c>
      <c r="X340" s="658">
        <f>+VLOOKUP($L340,Data_Validation!$A:$F,6,0)</f>
        <v>0</v>
      </c>
    </row>
    <row r="341" spans="1:24" ht="15" customHeight="1">
      <c r="A341" s="1190" t="s">
        <v>1197</v>
      </c>
      <c r="B341" s="1190" t="s">
        <v>2489</v>
      </c>
      <c r="C341" s="1192">
        <v>575.54</v>
      </c>
      <c r="D341" s="1192">
        <v>7.92</v>
      </c>
      <c r="E341" s="1192">
        <v>583.46</v>
      </c>
      <c r="F341" s="1190" t="s">
        <v>1156</v>
      </c>
      <c r="G341" s="1190" t="s">
        <v>1198</v>
      </c>
      <c r="H341" s="1160"/>
      <c r="I341" s="1160"/>
      <c r="J341" s="1160"/>
      <c r="K341" s="1160"/>
      <c r="L341" s="655" t="str">
        <f t="shared" si="181"/>
        <v>6447</v>
      </c>
      <c r="M341" s="656" t="str">
        <f t="shared" si="182"/>
        <v>FRET/EXPRESS/TRANS. PAR CAMION</v>
      </c>
      <c r="N341" s="657">
        <f>+IF(OR($Q341=Parametres!$G$2,$Q341=Parametres!$G$3),I341,C341)</f>
        <v>575.54</v>
      </c>
      <c r="O341" s="661">
        <f>+IF(OR($Q341=Parametres!$G$2,$Q341=Parametres!$G$3),J341,D341)</f>
        <v>7.92</v>
      </c>
      <c r="P341" s="657">
        <f>+IF(OR($Q341=Parametres!$G$2,$Q341=Parametres!$G$3),K341,E341)</f>
        <v>583.46</v>
      </c>
      <c r="Q341" s="656" t="str">
        <f t="shared" si="183"/>
        <v>7-Dépenses</v>
      </c>
      <c r="R341" s="655" t="str">
        <f t="shared" si="184"/>
        <v>6147</v>
      </c>
      <c r="S341" s="656">
        <f t="shared" si="185"/>
        <v>0</v>
      </c>
      <c r="T341" s="658" t="str">
        <f>+VLOOKUP($L341,Data_Validation!$A:$D,1,0)</f>
        <v>6447</v>
      </c>
      <c r="U341" s="658" t="str">
        <f>+VLOOKUP($L341,Data_Validation!$A:$D,3,0)</f>
        <v>Service</v>
      </c>
      <c r="V341" s="658" t="str">
        <f>+VLOOKUP($L341,Data_Validation!$A:$D,4,0)</f>
        <v>Frais postaux</v>
      </c>
      <c r="W341" s="658" t="str">
        <f>+VLOOKUP($L341,Data_Validation!$A:$E,5,0)</f>
        <v>$</v>
      </c>
      <c r="X341" s="658">
        <f>+VLOOKUP($L341,Data_Validation!$A:$F,6,0)</f>
        <v>0</v>
      </c>
    </row>
    <row r="342" spans="1:24" ht="15" customHeight="1">
      <c r="A342" s="1190" t="s">
        <v>1199</v>
      </c>
      <c r="B342" s="1190" t="s">
        <v>2492</v>
      </c>
      <c r="C342" s="1192">
        <v>14687.41</v>
      </c>
      <c r="D342" s="1192">
        <v>4927.17</v>
      </c>
      <c r="E342" s="1192">
        <v>19614.580000000002</v>
      </c>
      <c r="F342" s="1190" t="s">
        <v>1156</v>
      </c>
      <c r="G342" s="1190" t="s">
        <v>1200</v>
      </c>
      <c r="H342" s="1160"/>
      <c r="I342" s="1160"/>
      <c r="J342" s="1160"/>
      <c r="K342" s="1160"/>
      <c r="L342" s="655" t="str">
        <f t="shared" si="181"/>
        <v>6451</v>
      </c>
      <c r="M342" s="656" t="str">
        <f t="shared" si="182"/>
        <v>DEP. DU TRAITEMENT DES DONNEES</v>
      </c>
      <c r="N342" s="657">
        <f>+IF(OR($Q342=Parametres!$G$2,$Q342=Parametres!$G$3),I342,C342)</f>
        <v>14687.41</v>
      </c>
      <c r="O342" s="657">
        <f>+IF(OR($Q342=Parametres!$G$2,$Q342=Parametres!$G$3),J342,D342)</f>
        <v>4927.17</v>
      </c>
      <c r="P342" s="657">
        <f>+IF(OR($Q342=Parametres!$G$2,$Q342=Parametres!$G$3),K342,E342)</f>
        <v>19614.580000000002</v>
      </c>
      <c r="Q342" s="656" t="str">
        <f t="shared" si="183"/>
        <v>7-Dépenses</v>
      </c>
      <c r="R342" s="655" t="str">
        <f t="shared" si="184"/>
        <v>6151</v>
      </c>
      <c r="S342" s="656">
        <f t="shared" si="185"/>
        <v>0</v>
      </c>
      <c r="T342" s="658" t="str">
        <f>+VLOOKUP($L342,Data_Validation!$A:$D,1,0)</f>
        <v>6451</v>
      </c>
      <c r="U342" s="658" t="str">
        <f>+VLOOKUP($L342,Data_Validation!$A:$D,3,0)</f>
        <v>Service</v>
      </c>
      <c r="V342" s="658" t="str">
        <f>+VLOOKUP($L342,Data_Validation!$A:$D,4,0)</f>
        <v>Informatique</v>
      </c>
      <c r="W342" s="658" t="str">
        <f>+VLOOKUP($L342,Data_Validation!$A:$E,5,0)</f>
        <v>$</v>
      </c>
      <c r="X342" s="658">
        <f>+VLOOKUP($L342,Data_Validation!$A:$F,6,0)</f>
        <v>0</v>
      </c>
    </row>
    <row r="343" spans="1:24" ht="15.75" customHeight="1">
      <c r="A343" s="1190" t="s">
        <v>1201</v>
      </c>
      <c r="B343" s="1190" t="s">
        <v>2495</v>
      </c>
      <c r="C343" s="1192">
        <v>1504.67</v>
      </c>
      <c r="D343" s="1192">
        <v>479.88</v>
      </c>
      <c r="E343" s="1192">
        <v>1984.55</v>
      </c>
      <c r="F343" s="1190" t="s">
        <v>1156</v>
      </c>
      <c r="G343" s="1190" t="s">
        <v>1202</v>
      </c>
      <c r="H343" s="1160"/>
      <c r="I343" s="1160"/>
      <c r="J343" s="1160"/>
      <c r="K343" s="1160"/>
      <c r="L343" s="655" t="str">
        <f t="shared" si="181"/>
        <v>6452</v>
      </c>
      <c r="M343" s="656" t="str">
        <f t="shared" si="182"/>
        <v>PAPETERIE</v>
      </c>
      <c r="N343" s="657">
        <f>+IF(OR($Q343=Parametres!$G$2,$Q343=Parametres!$G$3),I343,C343)</f>
        <v>1504.67</v>
      </c>
      <c r="O343" s="657">
        <f>+IF(OR($Q343=Parametres!$G$2,$Q343=Parametres!$G$3),J343,D343)</f>
        <v>479.88</v>
      </c>
      <c r="P343" s="657">
        <f>+IF(OR($Q343=Parametres!$G$2,$Q343=Parametres!$G$3),K343,E343)</f>
        <v>1984.55</v>
      </c>
      <c r="Q343" s="656" t="str">
        <f t="shared" si="183"/>
        <v>7-Dépenses</v>
      </c>
      <c r="R343" s="655" t="str">
        <f t="shared" si="184"/>
        <v>6152</v>
      </c>
      <c r="S343" s="656">
        <f t="shared" si="185"/>
        <v>0</v>
      </c>
      <c r="T343" s="658" t="str">
        <f>+VLOOKUP($L343,Data_Validation!$A:$D,1,0)</f>
        <v>6452</v>
      </c>
      <c r="U343" s="658" t="str">
        <f>+VLOOKUP($L343,Data_Validation!$A:$D,3,0)</f>
        <v>Service</v>
      </c>
      <c r="V343" s="658" t="str">
        <f>+VLOOKUP($L343,Data_Validation!$A:$D,4,0)</f>
        <v>Papeterie</v>
      </c>
      <c r="W343" s="658" t="str">
        <f>+VLOOKUP($L343,Data_Validation!$A:$E,5,0)</f>
        <v>$</v>
      </c>
      <c r="X343" s="658">
        <f>+VLOOKUP($L343,Data_Validation!$A:$F,6,0)</f>
        <v>0</v>
      </c>
    </row>
    <row r="344" spans="1:24" ht="15" customHeight="1">
      <c r="A344" s="1190" t="s">
        <v>1203</v>
      </c>
      <c r="B344" s="1190" t="s">
        <v>2498</v>
      </c>
      <c r="C344" s="1192">
        <v>335.33</v>
      </c>
      <c r="D344" s="1192">
        <v>330.28</v>
      </c>
      <c r="E344" s="1192">
        <v>665.61</v>
      </c>
      <c r="F344" s="1190" t="s">
        <v>1156</v>
      </c>
      <c r="G344" s="1190" t="s">
        <v>1204</v>
      </c>
      <c r="H344" s="1160"/>
      <c r="I344" s="1160"/>
      <c r="J344" s="1160"/>
      <c r="K344" s="1160"/>
      <c r="L344" s="655" t="str">
        <f t="shared" si="181"/>
        <v>6453</v>
      </c>
      <c r="M344" s="656" t="str">
        <f t="shared" si="182"/>
        <v>TELEPHONE ET TELEX</v>
      </c>
      <c r="N344" s="657">
        <f>+IF(OR($Q344=Parametres!$G$2,$Q344=Parametres!$G$3),I344,C344)</f>
        <v>335.33</v>
      </c>
      <c r="O344" s="661">
        <f>+IF(OR($Q344=Parametres!$G$2,$Q344=Parametres!$G$3),J344,D344)</f>
        <v>330.28</v>
      </c>
      <c r="P344" s="657">
        <f>+IF(OR($Q344=Parametres!$G$2,$Q344=Parametres!$G$3),K344,E344)</f>
        <v>665.61</v>
      </c>
      <c r="Q344" s="656" t="str">
        <f t="shared" si="183"/>
        <v>7-Dépenses</v>
      </c>
      <c r="R344" s="655" t="str">
        <f t="shared" si="184"/>
        <v>6153</v>
      </c>
      <c r="S344" s="656">
        <f t="shared" si="185"/>
        <v>0</v>
      </c>
      <c r="T344" s="658" t="str">
        <f>+VLOOKUP($L344,Data_Validation!$A:$D,1,0)</f>
        <v>6453</v>
      </c>
      <c r="U344" s="658" t="str">
        <f>+VLOOKUP($L344,Data_Validation!$A:$D,3,0)</f>
        <v>Service</v>
      </c>
      <c r="V344" s="658" t="str">
        <f>+VLOOKUP($L344,Data_Validation!$A:$D,4,0)</f>
        <v>Téléphone</v>
      </c>
      <c r="W344" s="658" t="str">
        <f>+VLOOKUP($L344,Data_Validation!$A:$E,5,0)</f>
        <v>$</v>
      </c>
      <c r="X344" s="658">
        <f>+VLOOKUP($L344,Data_Validation!$A:$F,6,0)</f>
        <v>0</v>
      </c>
    </row>
    <row r="345" spans="1:24" ht="15" customHeight="1">
      <c r="A345" s="1190" t="s">
        <v>1205</v>
      </c>
      <c r="B345" s="1190" t="s">
        <v>2501</v>
      </c>
      <c r="C345" s="1192">
        <v>423.67</v>
      </c>
      <c r="D345" s="1192">
        <v>151.44999999999999</v>
      </c>
      <c r="E345" s="1192">
        <v>575.12</v>
      </c>
      <c r="F345" s="1190" t="s">
        <v>1156</v>
      </c>
      <c r="G345" s="1190" t="s">
        <v>1206</v>
      </c>
      <c r="H345" s="1160"/>
      <c r="I345" s="1160"/>
      <c r="J345" s="1160"/>
      <c r="K345" s="1160"/>
      <c r="L345" s="655" t="str">
        <f t="shared" si="181"/>
        <v>6455</v>
      </c>
      <c r="M345" s="656" t="str">
        <f t="shared" si="182"/>
        <v>DEPENSES DIVERS</v>
      </c>
      <c r="N345" s="657">
        <f>+IF(OR($Q345=Parametres!$G$2,$Q345=Parametres!$G$3),I345,C345)</f>
        <v>423.67</v>
      </c>
      <c r="O345" s="657">
        <f>+IF(OR($Q345=Parametres!$G$2,$Q345=Parametres!$G$3),J345,D345)</f>
        <v>151.44999999999999</v>
      </c>
      <c r="P345" s="657">
        <f>+IF(OR($Q345=Parametres!$G$2,$Q345=Parametres!$G$3),K345,E345)</f>
        <v>575.12</v>
      </c>
      <c r="Q345" s="656" t="str">
        <f t="shared" si="183"/>
        <v>7-Dépenses</v>
      </c>
      <c r="R345" s="655" t="str">
        <f t="shared" si="184"/>
        <v>6155</v>
      </c>
      <c r="S345" s="656">
        <f t="shared" si="185"/>
        <v>0</v>
      </c>
      <c r="T345" s="658" t="str">
        <f>+VLOOKUP($L345,Data_Validation!$A:$D,1,0)</f>
        <v>6455</v>
      </c>
      <c r="U345" s="658" t="str">
        <f>+VLOOKUP($L345,Data_Validation!$A:$D,3,0)</f>
        <v>Service</v>
      </c>
      <c r="V345" s="658" t="str">
        <f>+VLOOKUP($L345,Data_Validation!$A:$D,4,0)</f>
        <v>Divers</v>
      </c>
      <c r="W345" s="658" t="str">
        <f>+VLOOKUP($L345,Data_Validation!$A:$E,5,0)</f>
        <v>$</v>
      </c>
      <c r="X345" s="658">
        <f>+VLOOKUP($L345,Data_Validation!$A:$F,6,0)</f>
        <v>0</v>
      </c>
    </row>
    <row r="346" spans="1:24" ht="15" customHeight="1">
      <c r="A346" s="1190" t="s">
        <v>1253</v>
      </c>
      <c r="B346" s="1190" t="s">
        <v>2504</v>
      </c>
      <c r="C346" s="1192">
        <v>2006.41</v>
      </c>
      <c r="D346" s="1192">
        <v>1797.78</v>
      </c>
      <c r="E346" s="1192">
        <v>3804.19</v>
      </c>
      <c r="F346" s="1190" t="s">
        <v>1156</v>
      </c>
      <c r="G346" s="1190" t="s">
        <v>1208</v>
      </c>
      <c r="H346" s="1160"/>
      <c r="I346" s="1160"/>
      <c r="J346" s="1160"/>
      <c r="K346" s="1160"/>
      <c r="L346" s="655" t="str">
        <f t="shared" si="181"/>
        <v>6456</v>
      </c>
      <c r="M346" s="656" t="str">
        <f t="shared" si="182"/>
        <v>FRAIS REPRESENTATION - SERVICE</v>
      </c>
      <c r="N346" s="657">
        <f>+IF(OR($Q346=Parametres!$G$2,$Q346=Parametres!$G$3),I346,C346)</f>
        <v>2006.41</v>
      </c>
      <c r="O346" s="657">
        <f>+IF(OR($Q346=Parametres!$G$2,$Q346=Parametres!$G$3),J346,D346)</f>
        <v>1797.78</v>
      </c>
      <c r="P346" s="657">
        <f>+IF(OR($Q346=Parametres!$G$2,$Q346=Parametres!$G$3),K346,E346)</f>
        <v>3804.19</v>
      </c>
      <c r="Q346" s="656" t="str">
        <f t="shared" si="183"/>
        <v>7-Dépenses</v>
      </c>
      <c r="R346" s="655" t="str">
        <f t="shared" si="184"/>
        <v>6156</v>
      </c>
      <c r="S346" s="656">
        <f t="shared" si="185"/>
        <v>0</v>
      </c>
      <c r="T346" s="658" t="str">
        <f>+VLOOKUP($L346,Data_Validation!$A:$D,1,0)</f>
        <v>6456</v>
      </c>
      <c r="U346" s="658" t="str">
        <f>+VLOOKUP($L346,Data_Validation!$A:$D,3,0)</f>
        <v>Service</v>
      </c>
      <c r="V346" s="658" t="str">
        <f>+VLOOKUP($L346,Data_Validation!$A:$D,4,0)</f>
        <v>Frais de déplacement</v>
      </c>
      <c r="W346" s="658" t="str">
        <f>+VLOOKUP($L346,Data_Validation!$A:$E,5,0)</f>
        <v>$</v>
      </c>
      <c r="X346" s="658">
        <f>+VLOOKUP($L346,Data_Validation!$A:$F,6,0)</f>
        <v>0</v>
      </c>
    </row>
    <row r="347" spans="1:24" ht="15.75" customHeight="1">
      <c r="A347" s="1190" t="s">
        <v>1254</v>
      </c>
      <c r="B347" s="1190" t="s">
        <v>3398</v>
      </c>
      <c r="C347" s="1192">
        <v>4370.0600000000004</v>
      </c>
      <c r="D347" s="1192">
        <v>2138.54</v>
      </c>
      <c r="E347" s="1192">
        <v>6508.6</v>
      </c>
      <c r="F347" s="1190" t="s">
        <v>1156</v>
      </c>
      <c r="G347" s="1190" t="s">
        <v>1255</v>
      </c>
      <c r="H347" s="1160"/>
      <c r="I347" s="1159"/>
      <c r="J347" s="1159"/>
      <c r="K347" s="1159"/>
      <c r="L347" s="655" t="str">
        <f t="shared" si="181"/>
        <v>6457</v>
      </c>
      <c r="M347" s="656" t="str">
        <f t="shared" si="182"/>
        <v>FRAIS BANCAIRES - SERVICE</v>
      </c>
      <c r="N347" s="657">
        <f>+IF(OR($Q347=Parametres!$G$2,$Q347=Parametres!$G$3),I347,C347)</f>
        <v>4370.0600000000004</v>
      </c>
      <c r="O347" s="657">
        <f>+IF(OR($Q347=Parametres!$G$2,$Q347=Parametres!$G$3),J347,D347)</f>
        <v>2138.54</v>
      </c>
      <c r="P347" s="657">
        <f>+IF(OR($Q347=Parametres!$G$2,$Q347=Parametres!$G$3),K347,E347)</f>
        <v>6508.6</v>
      </c>
      <c r="Q347" s="656" t="str">
        <f t="shared" si="183"/>
        <v>7-Dépenses</v>
      </c>
      <c r="R347" s="655" t="str">
        <f t="shared" si="184"/>
        <v>645</v>
      </c>
      <c r="S347" s="656">
        <f t="shared" si="185"/>
        <v>0</v>
      </c>
      <c r="T347" s="658" t="str">
        <f>+VLOOKUP($L347,Data_Validation!$A:$D,1,0)</f>
        <v>6457</v>
      </c>
      <c r="U347" s="658" t="str">
        <f>+VLOOKUP($L347,Data_Validation!$A:$D,3,0)</f>
        <v>Service</v>
      </c>
      <c r="V347" s="658" t="str">
        <f>+VLOOKUP($L347,Data_Validation!$A:$D,4,0)</f>
        <v>Frais bancaires</v>
      </c>
      <c r="W347" s="658" t="str">
        <f>+VLOOKUP($L347,Data_Validation!$A:$E,5,0)</f>
        <v>$</v>
      </c>
      <c r="X347" s="658">
        <f>+VLOOKUP($L347,Data_Validation!$A:$F,6,0)</f>
        <v>0</v>
      </c>
    </row>
    <row r="348" spans="1:24" ht="15" customHeight="1">
      <c r="A348" s="1190" t="s">
        <v>1211</v>
      </c>
      <c r="B348" s="1190" t="s">
        <v>2507</v>
      </c>
      <c r="C348" s="1192">
        <v>30412.16</v>
      </c>
      <c r="D348" s="1192">
        <v>11142.48</v>
      </c>
      <c r="E348" s="1192">
        <v>41554.639999999999</v>
      </c>
      <c r="F348" s="1190" t="s">
        <v>1156</v>
      </c>
      <c r="G348" s="1190" t="s">
        <v>1212</v>
      </c>
      <c r="H348" s="1160"/>
      <c r="I348" s="1159"/>
      <c r="J348" s="1159"/>
      <c r="K348" s="1159"/>
      <c r="L348" s="655" t="str">
        <f t="shared" si="181"/>
        <v>6459</v>
      </c>
      <c r="M348" s="656" t="str">
        <f t="shared" si="182"/>
        <v>SERVICE EXTERIEUR</v>
      </c>
      <c r="N348" s="657">
        <f>+IF(OR($Q348=Parametres!$G$2,$Q348=Parametres!$G$3),I348,C348)</f>
        <v>30412.16</v>
      </c>
      <c r="O348" s="661">
        <f>+IF(OR($Q348=Parametres!$G$2,$Q348=Parametres!$G$3),J348,D348)</f>
        <v>11142.48</v>
      </c>
      <c r="P348" s="657">
        <f>+IF(OR($Q348=Parametres!$G$2,$Q348=Parametres!$G$3),K348,E348)</f>
        <v>41554.639999999999</v>
      </c>
      <c r="Q348" s="656" t="str">
        <f t="shared" si="183"/>
        <v>7-Dépenses</v>
      </c>
      <c r="R348" s="655" t="str">
        <f t="shared" si="184"/>
        <v>6159</v>
      </c>
      <c r="S348" s="656">
        <f t="shared" si="185"/>
        <v>0</v>
      </c>
      <c r="T348" s="658" t="str">
        <f>+VLOOKUP($L348,Data_Validation!$A:$D,1,0)</f>
        <v>6459</v>
      </c>
      <c r="U348" s="658" t="str">
        <f>+VLOOKUP($L348,Data_Validation!$A:$D,3,0)</f>
        <v>Service</v>
      </c>
      <c r="V348" s="658" t="str">
        <f>+VLOOKUP($L348,Data_Validation!$A:$D,4,0)</f>
        <v>Services extérieurs</v>
      </c>
      <c r="W348" s="658" t="str">
        <f>+VLOOKUP($L348,Data_Validation!$A:$E,5,0)</f>
        <v>$</v>
      </c>
      <c r="X348" s="658">
        <f>+VLOOKUP($L348,Data_Validation!$A:$F,6,0)</f>
        <v>0</v>
      </c>
    </row>
    <row r="349" spans="1:24" ht="15" customHeight="1">
      <c r="A349" s="1190" t="s">
        <v>1213</v>
      </c>
      <c r="B349" s="1190" t="s">
        <v>2510</v>
      </c>
      <c r="C349" s="1192">
        <v>4546.8</v>
      </c>
      <c r="D349" s="1192">
        <v>1515.6</v>
      </c>
      <c r="E349" s="1192">
        <v>6062.4</v>
      </c>
      <c r="F349" s="1190" t="s">
        <v>1156</v>
      </c>
      <c r="G349" s="1190" t="s">
        <v>1214</v>
      </c>
      <c r="H349" s="1160"/>
      <c r="I349" s="1159"/>
      <c r="J349" s="1159"/>
      <c r="K349" s="1159"/>
      <c r="L349" s="655" t="str">
        <f t="shared" si="181"/>
        <v>6461</v>
      </c>
      <c r="M349" s="656" t="str">
        <f t="shared" si="182"/>
        <v>DEPRECIATION EQUIP. &amp; FIXTURES</v>
      </c>
      <c r="N349" s="657">
        <f>+IF(OR($Q349=Parametres!$G$2,$Q349=Parametres!$G$3),I349,C349)</f>
        <v>4546.8</v>
      </c>
      <c r="O349" s="657">
        <f>+IF(OR($Q349=Parametres!$G$2,$Q349=Parametres!$G$3),J349,D349)</f>
        <v>1515.6</v>
      </c>
      <c r="P349" s="657">
        <f>+IF(OR($Q349=Parametres!$G$2,$Q349=Parametres!$G$3),K349,E349)</f>
        <v>6062.4</v>
      </c>
      <c r="Q349" s="656" t="str">
        <f t="shared" si="183"/>
        <v>7-Dépenses</v>
      </c>
      <c r="R349" s="655" t="str">
        <f t="shared" si="184"/>
        <v>6161</v>
      </c>
      <c r="S349" s="656">
        <f t="shared" si="185"/>
        <v>0</v>
      </c>
      <c r="T349" s="658" t="str">
        <f>+VLOOKUP($L349,Data_Validation!$A:$D,1,0)</f>
        <v>6461</v>
      </c>
      <c r="U349" s="658" t="str">
        <f>+VLOOKUP($L349,Data_Validation!$A:$D,3,0)</f>
        <v>Service</v>
      </c>
      <c r="V349" s="658" t="str">
        <f>+VLOOKUP($L349,Data_Validation!$A:$D,4,0)</f>
        <v>Amortissement</v>
      </c>
      <c r="W349" s="658" t="str">
        <f>+VLOOKUP($L349,Data_Validation!$A:$E,5,0)</f>
        <v>$</v>
      </c>
      <c r="X349" s="658">
        <f>+VLOOKUP($L349,Data_Validation!$A:$F,6,0)</f>
        <v>0</v>
      </c>
    </row>
    <row r="350" spans="1:24" ht="15" customHeight="1">
      <c r="A350" s="1190" t="s">
        <v>1391</v>
      </c>
      <c r="B350" s="1190" t="s">
        <v>2513</v>
      </c>
      <c r="C350" s="1192">
        <v>2900.93</v>
      </c>
      <c r="D350" s="1192">
        <v>830.07</v>
      </c>
      <c r="E350" s="1192">
        <v>3731</v>
      </c>
      <c r="F350" s="1190" t="s">
        <v>1156</v>
      </c>
      <c r="G350" s="1190" t="s">
        <v>2306</v>
      </c>
      <c r="H350" s="1160"/>
      <c r="I350" s="1159"/>
      <c r="J350" s="1159"/>
      <c r="K350" s="1159"/>
      <c r="L350" s="655" t="str">
        <f t="shared" si="181"/>
        <v>6462</v>
      </c>
      <c r="M350" s="656" t="str">
        <f t="shared" si="182"/>
        <v>LOCATION D'EQUIPEMENTS</v>
      </c>
      <c r="N350" s="657">
        <f>+IF(OR($Q350=Parametres!$G$2,$Q350=Parametres!$G$3),I350,C350)</f>
        <v>2900.93</v>
      </c>
      <c r="O350" s="661">
        <f>+IF(OR($Q350=Parametres!$G$2,$Q350=Parametres!$G$3),J350,D350)</f>
        <v>830.07</v>
      </c>
      <c r="P350" s="657">
        <f>+IF(OR($Q350=Parametres!$G$2,$Q350=Parametres!$G$3),K350,E350)</f>
        <v>3731</v>
      </c>
      <c r="Q350" s="656" t="str">
        <f t="shared" si="183"/>
        <v>7-Dépenses</v>
      </c>
      <c r="R350" s="655" t="str">
        <f t="shared" si="184"/>
        <v>6162</v>
      </c>
      <c r="S350" s="656">
        <f t="shared" si="185"/>
        <v>0</v>
      </c>
      <c r="T350" s="658" t="str">
        <f>+VLOOKUP($L350,Data_Validation!$A:$D,1,0)</f>
        <v>6462</v>
      </c>
      <c r="U350" s="658" t="str">
        <f>+VLOOKUP($L350,Data_Validation!$A:$D,3,0)</f>
        <v>Service</v>
      </c>
      <c r="V350" s="658" t="str">
        <f>+VLOOKUP($L350,Data_Validation!$A:$D,4,0)</f>
        <v>Location équipement</v>
      </c>
      <c r="W350" s="658" t="str">
        <f>+VLOOKUP($L350,Data_Validation!$A:$E,5,0)</f>
        <v>$</v>
      </c>
      <c r="X350" s="658">
        <f>+VLOOKUP($L350,Data_Validation!$A:$F,6,0)</f>
        <v>0</v>
      </c>
    </row>
    <row r="351" spans="1:24" ht="15" customHeight="1">
      <c r="A351" s="1190" t="s">
        <v>1256</v>
      </c>
      <c r="B351" s="1190" t="s">
        <v>2516</v>
      </c>
      <c r="C351" s="1192">
        <v>1492.1</v>
      </c>
      <c r="D351" s="1192">
        <v>254.6</v>
      </c>
      <c r="E351" s="1192">
        <v>1746.7</v>
      </c>
      <c r="F351" s="1190" t="s">
        <v>1156</v>
      </c>
      <c r="G351" s="1190" t="s">
        <v>1257</v>
      </c>
      <c r="H351" s="1160"/>
      <c r="I351" s="1159"/>
      <c r="J351" s="1159"/>
      <c r="K351" s="1159"/>
      <c r="L351" s="655" t="str">
        <f t="shared" si="181"/>
        <v>6463</v>
      </c>
      <c r="M351" s="656" t="str">
        <f t="shared" si="182"/>
        <v>REPARATION &amp; ENT. - EQUIP.</v>
      </c>
      <c r="N351" s="657">
        <f>+IF(OR($Q351=Parametres!$G$2,$Q351=Parametres!$G$3),I351,C351)</f>
        <v>1492.1</v>
      </c>
      <c r="O351" s="657">
        <f>+IF(OR($Q351=Parametres!$G$2,$Q351=Parametres!$G$3),J351,D351)</f>
        <v>254.6</v>
      </c>
      <c r="P351" s="657">
        <f>+IF(OR($Q351=Parametres!$G$2,$Q351=Parametres!$G$3),K351,E351)</f>
        <v>1746.7</v>
      </c>
      <c r="Q351" s="656" t="str">
        <f t="shared" si="183"/>
        <v>7-Dépenses</v>
      </c>
      <c r="R351" s="655" t="str">
        <f t="shared" si="184"/>
        <v>6163</v>
      </c>
      <c r="S351" s="656">
        <f t="shared" si="185"/>
        <v>0</v>
      </c>
      <c r="T351" s="658" t="str">
        <f>+VLOOKUP($L351,Data_Validation!$A:$D,1,0)</f>
        <v>6463</v>
      </c>
      <c r="U351" s="658" t="str">
        <f>+VLOOKUP($L351,Data_Validation!$A:$D,3,0)</f>
        <v>Service</v>
      </c>
      <c r="V351" s="658" t="str">
        <f>+VLOOKUP($L351,Data_Validation!$A:$D,4,0)</f>
        <v>Réparation équipement</v>
      </c>
      <c r="W351" s="658" t="str">
        <f>+VLOOKUP($L351,Data_Validation!$A:$E,5,0)</f>
        <v>$</v>
      </c>
      <c r="X351" s="658">
        <f>+VLOOKUP($L351,Data_Validation!$A:$F,6,0)</f>
        <v>0</v>
      </c>
    </row>
    <row r="352" spans="1:24" ht="15.75" customHeight="1">
      <c r="A352" s="1190" t="s">
        <v>1258</v>
      </c>
      <c r="B352" s="1190" t="s">
        <v>2519</v>
      </c>
      <c r="C352" s="1192">
        <v>3038.95</v>
      </c>
      <c r="D352" s="1192">
        <v>2074.08</v>
      </c>
      <c r="E352" s="1192">
        <v>5113.03</v>
      </c>
      <c r="F352" s="1190" t="s">
        <v>1156</v>
      </c>
      <c r="G352" s="1190" t="s">
        <v>1216</v>
      </c>
      <c r="H352" s="1160"/>
      <c r="I352" s="1159"/>
      <c r="J352" s="1159"/>
      <c r="K352" s="1159"/>
      <c r="L352" s="655" t="str">
        <f t="shared" si="181"/>
        <v>6481</v>
      </c>
      <c r="M352" s="656" t="str">
        <f t="shared" si="182"/>
        <v>CHAUFFAGE,ELECTRICITE,EAU-SERVICE</v>
      </c>
      <c r="N352" s="657">
        <f>+IF(OR($Q352=Parametres!$G$2,$Q352=Parametres!$G$3),I352,C352)</f>
        <v>3038.95</v>
      </c>
      <c r="O352" s="661">
        <f>+IF(OR($Q352=Parametres!$G$2,$Q352=Parametres!$G$3),J352,D352)</f>
        <v>2074.08</v>
      </c>
      <c r="P352" s="657">
        <f>+IF(OR($Q352=Parametres!$G$2,$Q352=Parametres!$G$3),K352,E352)</f>
        <v>5113.03</v>
      </c>
      <c r="Q352" s="656" t="str">
        <f t="shared" si="183"/>
        <v>7-Dépenses</v>
      </c>
      <c r="R352" s="655" t="str">
        <f t="shared" si="184"/>
        <v>6181</v>
      </c>
      <c r="S352" s="656">
        <f t="shared" si="185"/>
        <v>0</v>
      </c>
      <c r="T352" s="658" t="str">
        <f>+VLOOKUP($L352,Data_Validation!$A:$D,1,0)</f>
        <v>6481</v>
      </c>
      <c r="U352" s="658" t="str">
        <f>+VLOOKUP($L352,Data_Validation!$A:$D,3,0)</f>
        <v>Service</v>
      </c>
      <c r="V352" s="658" t="str">
        <f>+VLOOKUP($L352,Data_Validation!$A:$D,4,0)</f>
        <v>Chauffage, éclairage</v>
      </c>
      <c r="W352" s="658" t="str">
        <f>+VLOOKUP($L352,Data_Validation!$A:$E,5,0)</f>
        <v>$</v>
      </c>
      <c r="X352" s="658">
        <f>+VLOOKUP($L352,Data_Validation!$A:$F,6,0)</f>
        <v>0</v>
      </c>
    </row>
    <row r="353" spans="1:24" ht="15" customHeight="1">
      <c r="A353" s="1190" t="s">
        <v>1259</v>
      </c>
      <c r="B353" s="1190" t="s">
        <v>2522</v>
      </c>
      <c r="C353" s="1192">
        <v>25920</v>
      </c>
      <c r="D353" s="1192">
        <v>8640</v>
      </c>
      <c r="E353" s="1192">
        <v>34560</v>
      </c>
      <c r="F353" s="1190" t="s">
        <v>1156</v>
      </c>
      <c r="G353" s="1190" t="s">
        <v>1218</v>
      </c>
      <c r="H353" s="1160"/>
      <c r="I353" s="1159"/>
      <c r="J353" s="1159"/>
      <c r="K353" s="1159"/>
      <c r="L353" s="655" t="str">
        <f t="shared" si="181"/>
        <v>6482</v>
      </c>
      <c r="M353" s="656" t="str">
        <f t="shared" si="182"/>
        <v>LOYER - SERVICE</v>
      </c>
      <c r="N353" s="657">
        <f>+IF(OR($Q353=Parametres!$G$2,$Q353=Parametres!$G$3),I353,C353)</f>
        <v>25920</v>
      </c>
      <c r="O353" s="657">
        <f>+IF(OR($Q353=Parametres!$G$2,$Q353=Parametres!$G$3),J353,D353)</f>
        <v>8640</v>
      </c>
      <c r="P353" s="657">
        <f>+IF(OR($Q353=Parametres!$G$2,$Q353=Parametres!$G$3),K353,E353)</f>
        <v>34560</v>
      </c>
      <c r="Q353" s="656" t="str">
        <f t="shared" si="183"/>
        <v>7-Dépenses</v>
      </c>
      <c r="R353" s="655" t="str">
        <f t="shared" si="184"/>
        <v>6182</v>
      </c>
      <c r="S353" s="656">
        <f t="shared" si="185"/>
        <v>0</v>
      </c>
      <c r="T353" s="658" t="str">
        <f>+VLOOKUP($L353,Data_Validation!$A:$D,1,0)</f>
        <v>6482</v>
      </c>
      <c r="U353" s="658" t="str">
        <f>+VLOOKUP($L353,Data_Validation!$A:$D,3,0)</f>
        <v>Service</v>
      </c>
      <c r="V353" s="658" t="str">
        <f>+VLOOKUP($L353,Data_Validation!$A:$D,4,0)</f>
        <v>Loyer</v>
      </c>
      <c r="W353" s="658" t="str">
        <f>+VLOOKUP($L353,Data_Validation!$A:$E,5,0)</f>
        <v>$</v>
      </c>
      <c r="X353" s="658">
        <f>+VLOOKUP($L353,Data_Validation!$A:$F,6,0)</f>
        <v>0</v>
      </c>
    </row>
    <row r="354" spans="1:24" ht="15" customHeight="1">
      <c r="A354" s="1190" t="s">
        <v>1260</v>
      </c>
      <c r="B354" s="1190" t="s">
        <v>2525</v>
      </c>
      <c r="C354" s="1192">
        <v>2803.02</v>
      </c>
      <c r="D354" s="1192">
        <v>934.34</v>
      </c>
      <c r="E354" s="1192">
        <v>3737.36</v>
      </c>
      <c r="F354" s="1190" t="s">
        <v>1156</v>
      </c>
      <c r="G354" s="1190" t="s">
        <v>1220</v>
      </c>
      <c r="H354" s="1160"/>
      <c r="I354" s="1159"/>
      <c r="J354" s="1159"/>
      <c r="K354" s="1159"/>
      <c r="L354" s="655" t="str">
        <f t="shared" si="181"/>
        <v>6486</v>
      </c>
      <c r="M354" s="656" t="str">
        <f t="shared" si="182"/>
        <v>ASSURANCE BATISSE &amp; AMEL.-SERVICE</v>
      </c>
      <c r="N354" s="657">
        <f>+IF(OR($Q354=Parametres!$G$2,$Q354=Parametres!$G$3),I354,C354)</f>
        <v>2803.02</v>
      </c>
      <c r="O354" s="657">
        <f>+IF(OR($Q354=Parametres!$G$2,$Q354=Parametres!$G$3),J354,D354)</f>
        <v>934.34</v>
      </c>
      <c r="P354" s="657">
        <f>+IF(OR($Q354=Parametres!$G$2,$Q354=Parametres!$G$3),K354,E354)</f>
        <v>3737.36</v>
      </c>
      <c r="Q354" s="656" t="str">
        <f t="shared" si="183"/>
        <v>7-Dépenses</v>
      </c>
      <c r="R354" s="655" t="str">
        <f t="shared" si="184"/>
        <v>6186</v>
      </c>
      <c r="S354" s="656">
        <f t="shared" si="185"/>
        <v>0</v>
      </c>
      <c r="T354" s="658" t="str">
        <f>+VLOOKUP($L354,Data_Validation!$A:$D,1,0)</f>
        <v>6486</v>
      </c>
      <c r="U354" s="658" t="str">
        <f>+VLOOKUP($L354,Data_Validation!$A:$D,3,0)</f>
        <v>Service</v>
      </c>
      <c r="V354" s="658" t="str">
        <f>+VLOOKUP($L354,Data_Validation!$A:$D,4,0)</f>
        <v>Assurances</v>
      </c>
      <c r="W354" s="658" t="str">
        <f>+VLOOKUP($L354,Data_Validation!$A:$E,5,0)</f>
        <v>$</v>
      </c>
      <c r="X354" s="658">
        <f>+VLOOKUP($L354,Data_Validation!$A:$F,6,0)</f>
        <v>0</v>
      </c>
    </row>
    <row r="355" spans="1:24" ht="15" customHeight="1">
      <c r="A355" s="1190" t="s">
        <v>1261</v>
      </c>
      <c r="B355" s="1190" t="s">
        <v>2528</v>
      </c>
      <c r="C355" s="1192">
        <v>3727.44</v>
      </c>
      <c r="D355" s="1192">
        <v>1242.48</v>
      </c>
      <c r="E355" s="1192">
        <v>4969.92</v>
      </c>
      <c r="F355" s="1190" t="s">
        <v>1156</v>
      </c>
      <c r="G355" s="1190" t="s">
        <v>1222</v>
      </c>
      <c r="H355" s="1160"/>
      <c r="I355" s="1159"/>
      <c r="J355" s="1159"/>
      <c r="K355" s="1159"/>
      <c r="L355" s="655" t="str">
        <f t="shared" si="181"/>
        <v>6487</v>
      </c>
      <c r="M355" s="656" t="str">
        <f t="shared" si="182"/>
        <v>TAXES FONCIERES - SERVICE</v>
      </c>
      <c r="N355" s="657">
        <f>+IF(OR($Q355=Parametres!$G$2,$Q355=Parametres!$G$3),I355,C355)</f>
        <v>3727.44</v>
      </c>
      <c r="O355" s="657">
        <f>+IF(OR($Q355=Parametres!$G$2,$Q355=Parametres!$G$3),J355,D355)</f>
        <v>1242.48</v>
      </c>
      <c r="P355" s="657">
        <f>+IF(OR($Q355=Parametres!$G$2,$Q355=Parametres!$G$3),K355,E355)</f>
        <v>4969.92</v>
      </c>
      <c r="Q355" s="656" t="str">
        <f t="shared" si="183"/>
        <v>7-Dépenses</v>
      </c>
      <c r="R355" s="655" t="str">
        <f t="shared" si="184"/>
        <v>6187</v>
      </c>
      <c r="S355" s="656">
        <f t="shared" si="185"/>
        <v>0</v>
      </c>
      <c r="T355" s="658" t="str">
        <f>+VLOOKUP($L355,Data_Validation!$A:$D,1,0)</f>
        <v>6487</v>
      </c>
      <c r="U355" s="658" t="str">
        <f>+VLOOKUP($L355,Data_Validation!$A:$D,3,0)</f>
        <v>Service</v>
      </c>
      <c r="V355" s="658" t="str">
        <f>+VLOOKUP($L355,Data_Validation!$A:$D,4,0)</f>
        <v>Taxes foncières</v>
      </c>
      <c r="W355" s="658" t="str">
        <f>+VLOOKUP($L355,Data_Validation!$A:$E,5,0)</f>
        <v>$</v>
      </c>
      <c r="X355" s="658">
        <f>+VLOOKUP($L355,Data_Validation!$A:$F,6,0)</f>
        <v>0</v>
      </c>
    </row>
    <row r="356" spans="1:24" ht="15" customHeight="1">
      <c r="A356" s="1190" t="s">
        <v>1262</v>
      </c>
      <c r="B356" s="1190" t="s">
        <v>2531</v>
      </c>
      <c r="C356" s="1192">
        <v>2480.4</v>
      </c>
      <c r="D356" s="1192">
        <v>826.8</v>
      </c>
      <c r="E356" s="1192">
        <v>3307.2</v>
      </c>
      <c r="F356" s="1190" t="s">
        <v>1156</v>
      </c>
      <c r="G356" s="1190" t="s">
        <v>1224</v>
      </c>
      <c r="H356" s="1160"/>
      <c r="I356" s="1159"/>
      <c r="J356" s="1159"/>
      <c r="K356" s="1159"/>
      <c r="L356" s="655" t="str">
        <f t="shared" si="181"/>
        <v>6493</v>
      </c>
      <c r="M356" s="656" t="str">
        <f t="shared" si="182"/>
        <v>AUTRE TAXES-SERVICE</v>
      </c>
      <c r="N356" s="657">
        <f>+IF(OR($Q356=Parametres!$G$2,$Q356=Parametres!$G$3),I356,C356)</f>
        <v>2480.4</v>
      </c>
      <c r="O356" s="657">
        <f>+IF(OR($Q356=Parametres!$G$2,$Q356=Parametres!$G$3),J356,D356)</f>
        <v>826.8</v>
      </c>
      <c r="P356" s="657">
        <f>+IF(OR($Q356=Parametres!$G$2,$Q356=Parametres!$G$3),K356,E356)</f>
        <v>3307.2</v>
      </c>
      <c r="Q356" s="656" t="str">
        <f t="shared" si="183"/>
        <v>7-Dépenses</v>
      </c>
      <c r="R356" s="655" t="str">
        <f t="shared" si="184"/>
        <v>6193</v>
      </c>
      <c r="S356" s="656">
        <f t="shared" si="185"/>
        <v>0</v>
      </c>
      <c r="T356" s="658" t="str">
        <f>+VLOOKUP($L356,Data_Validation!$A:$D,1,0)</f>
        <v>6493</v>
      </c>
      <c r="U356" s="658" t="str">
        <f>+VLOOKUP($L356,Data_Validation!$A:$D,3,0)</f>
        <v>Service</v>
      </c>
      <c r="V356" s="658" t="str">
        <f>+VLOOKUP($L356,Data_Validation!$A:$D,4,0)</f>
        <v>Taxes d`affaires</v>
      </c>
      <c r="W356" s="658" t="str">
        <f>+VLOOKUP($L356,Data_Validation!$A:$E,5,0)</f>
        <v>$</v>
      </c>
      <c r="X356" s="658">
        <f>+VLOOKUP($L356,Data_Validation!$A:$F,6,0)</f>
        <v>0</v>
      </c>
    </row>
    <row r="357" spans="1:24" ht="15" customHeight="1">
      <c r="A357" s="1190" t="s">
        <v>1263</v>
      </c>
      <c r="B357" s="1190" t="s">
        <v>2534</v>
      </c>
      <c r="C357" s="1192">
        <v>4624.8</v>
      </c>
      <c r="D357" s="1192">
        <v>1541.6</v>
      </c>
      <c r="E357" s="1192">
        <v>6166.4</v>
      </c>
      <c r="F357" s="1190" t="s">
        <v>1156</v>
      </c>
      <c r="G357" s="1190" t="s">
        <v>1226</v>
      </c>
      <c r="H357" s="1160"/>
      <c r="I357" s="1159"/>
      <c r="J357" s="1159"/>
      <c r="K357" s="1159"/>
      <c r="L357" s="655" t="str">
        <f t="shared" si="181"/>
        <v>6494</v>
      </c>
      <c r="M357" s="656" t="str">
        <f t="shared" si="182"/>
        <v>FRAIS PROFESSIONNEL-SERVICE</v>
      </c>
      <c r="N357" s="657">
        <f>+IF(OR($Q357=Parametres!$G$2,$Q357=Parametres!$G$3),I357,C357)</f>
        <v>4624.8</v>
      </c>
      <c r="O357" s="657">
        <f>+IF(OR($Q357=Parametres!$G$2,$Q357=Parametres!$G$3),J357,D357)</f>
        <v>1541.6</v>
      </c>
      <c r="P357" s="657">
        <f>+IF(OR($Q357=Parametres!$G$2,$Q357=Parametres!$G$3),K357,E357)</f>
        <v>6166.4</v>
      </c>
      <c r="Q357" s="656" t="str">
        <f t="shared" si="183"/>
        <v>7-Dépenses</v>
      </c>
      <c r="R357" s="655" t="str">
        <f t="shared" si="184"/>
        <v>6194</v>
      </c>
      <c r="S357" s="656">
        <f t="shared" si="185"/>
        <v>0</v>
      </c>
      <c r="T357" s="658" t="str">
        <f>+VLOOKUP($L357,Data_Validation!$A:$D,1,0)</f>
        <v>6494</v>
      </c>
      <c r="U357" s="658" t="str">
        <f>+VLOOKUP($L357,Data_Validation!$A:$D,3,0)</f>
        <v>Service</v>
      </c>
      <c r="V357" s="658" t="str">
        <f>+VLOOKUP($L357,Data_Validation!$A:$D,4,0)</f>
        <v>Honoraires</v>
      </c>
      <c r="W357" s="658" t="str">
        <f>+VLOOKUP($L357,Data_Validation!$A:$E,5,0)</f>
        <v>$</v>
      </c>
      <c r="X357" s="658">
        <f>+VLOOKUP($L357,Data_Validation!$A:$F,6,0)</f>
        <v>0</v>
      </c>
    </row>
    <row r="358" spans="1:24" ht="15.75" customHeight="1">
      <c r="A358" s="1190" t="s">
        <v>1160</v>
      </c>
      <c r="B358" s="1190" t="s">
        <v>2537</v>
      </c>
      <c r="C358" s="1192">
        <v>276.45999999999998</v>
      </c>
      <c r="D358" s="1192">
        <v>966.44</v>
      </c>
      <c r="E358" s="1192">
        <v>1242.9000000000001</v>
      </c>
      <c r="F358" s="1190" t="s">
        <v>1156</v>
      </c>
      <c r="G358" s="1190" t="s">
        <v>1244</v>
      </c>
      <c r="H358" s="1160"/>
      <c r="I358" s="1159"/>
      <c r="J358" s="1159"/>
      <c r="K358" s="1159"/>
      <c r="L358" s="655" t="str">
        <f t="shared" si="181"/>
        <v>6503</v>
      </c>
      <c r="M358" s="656" t="str">
        <f t="shared" si="182"/>
        <v>RELAT. A LA CLIENTELE &amp; AJUST.</v>
      </c>
      <c r="N358" s="657">
        <f>+IF(OR($Q358=Parametres!$G$2,$Q358=Parametres!$G$3),I358,C358)</f>
        <v>276.45999999999998</v>
      </c>
      <c r="O358" s="657">
        <f>+IF(OR($Q358=Parametres!$G$2,$Q358=Parametres!$G$3),J358,D358)</f>
        <v>966.44</v>
      </c>
      <c r="P358" s="657">
        <f>+IF(OR($Q358=Parametres!$G$2,$Q358=Parametres!$G$3),K358,E358)</f>
        <v>1242.9000000000001</v>
      </c>
      <c r="Q358" s="656" t="str">
        <f t="shared" si="183"/>
        <v>7-Dépenses</v>
      </c>
      <c r="R358" s="655" t="str">
        <f t="shared" si="184"/>
        <v>6112</v>
      </c>
      <c r="S358" s="656">
        <f t="shared" si="185"/>
        <v>0</v>
      </c>
      <c r="T358" s="658" t="str">
        <f>+VLOOKUP($L358,Data_Validation!$A:$D,1,0)</f>
        <v>6503</v>
      </c>
      <c r="U358" s="658" t="str">
        <f>+VLOOKUP($L358,Data_Validation!$A:$D,3,0)</f>
        <v>Carrosserie</v>
      </c>
      <c r="V358" s="658" t="str">
        <f>+VLOOKUP($L358,Data_Validation!$A:$D,4,0)</f>
        <v>Service gratuit 2</v>
      </c>
      <c r="W358" s="658" t="str">
        <f>+VLOOKUP($L358,Data_Validation!$A:$E,5,0)</f>
        <v>$</v>
      </c>
      <c r="X358" s="658">
        <f>+VLOOKUP($L358,Data_Validation!$A:$F,6,0)</f>
        <v>0</v>
      </c>
    </row>
    <row r="359" spans="1:24" ht="15" customHeight="1">
      <c r="A359" s="1190" t="s">
        <v>1399</v>
      </c>
      <c r="B359" s="1190" t="s">
        <v>3937</v>
      </c>
      <c r="C359" s="1192">
        <v>-69.81</v>
      </c>
      <c r="D359" s="1192">
        <v>0</v>
      </c>
      <c r="E359" s="1192">
        <v>-69.81</v>
      </c>
      <c r="F359" s="1190" t="s">
        <v>1156</v>
      </c>
      <c r="G359" s="1190" t="s">
        <v>1244</v>
      </c>
      <c r="H359" s="1160"/>
      <c r="I359" s="1159"/>
      <c r="J359" s="1159"/>
      <c r="K359" s="1159"/>
      <c r="L359" s="655" t="str">
        <f t="shared" si="181"/>
        <v>6512</v>
      </c>
      <c r="M359" s="656" t="str">
        <f t="shared" si="182"/>
        <v>AUTORISATION &amp; GAR. /VEH. USAG</v>
      </c>
      <c r="N359" s="657">
        <f>+IF(OR($Q359=Parametres!$G$2,$Q359=Parametres!$G$3),I359,C359)</f>
        <v>-69.81</v>
      </c>
      <c r="O359" s="657">
        <f>+IF(OR($Q359=Parametres!$G$2,$Q359=Parametres!$G$3),J359,D359)</f>
        <v>0</v>
      </c>
      <c r="P359" s="657">
        <f>+IF(OR($Q359=Parametres!$G$2,$Q359=Parametres!$G$3),K359,E359)</f>
        <v>-69.81</v>
      </c>
      <c r="Q359" s="656" t="str">
        <f t="shared" si="183"/>
        <v>7-Dépenses</v>
      </c>
      <c r="R359" s="655" t="str">
        <f t="shared" si="184"/>
        <v>6112</v>
      </c>
      <c r="S359" s="656">
        <f t="shared" si="185"/>
        <v>0</v>
      </c>
      <c r="T359" s="658" t="str">
        <f>+VLOOKUP($L359,Data_Validation!$A:$D,1,0)</f>
        <v>6512</v>
      </c>
      <c r="U359" s="658" t="str">
        <f>+VLOOKUP($L359,Data_Validation!$A:$D,3,0)</f>
        <v>Carrosserie</v>
      </c>
      <c r="V359" s="658" t="str">
        <f>+VLOOKUP($L359,Data_Validation!$A:$D,4,0)</f>
        <v>Service gratuit 2</v>
      </c>
      <c r="W359" s="658" t="str">
        <f>+VLOOKUP($L359,Data_Validation!$A:$E,5,0)</f>
        <v>$</v>
      </c>
      <c r="X359" s="658">
        <f>+VLOOKUP($L359,Data_Validation!$A:$F,6,0)</f>
        <v>0</v>
      </c>
    </row>
    <row r="360" spans="1:24" ht="15" customHeight="1">
      <c r="A360" s="1190" t="s">
        <v>1168</v>
      </c>
      <c r="B360" s="1190" t="s">
        <v>2543</v>
      </c>
      <c r="C360" s="1192">
        <v>70.400000000000006</v>
      </c>
      <c r="D360" s="1192">
        <v>57.6</v>
      </c>
      <c r="E360" s="1192">
        <v>128</v>
      </c>
      <c r="F360" s="1190" t="s">
        <v>1156</v>
      </c>
      <c r="G360" s="1190" t="s">
        <v>1169</v>
      </c>
      <c r="H360" s="1160"/>
      <c r="I360" s="1159"/>
      <c r="J360" s="1159"/>
      <c r="K360" s="1159"/>
      <c r="L360" s="655" t="str">
        <f t="shared" si="181"/>
        <v>6514</v>
      </c>
      <c r="M360" s="656" t="str">
        <f t="shared" si="182"/>
        <v>PUBLICITE</v>
      </c>
      <c r="N360" s="657">
        <f>+IF(OR($Q360=Parametres!$G$2,$Q360=Parametres!$G$3),I360,C360)</f>
        <v>70.400000000000006</v>
      </c>
      <c r="O360" s="657">
        <f>+IF(OR($Q360=Parametres!$G$2,$Q360=Parametres!$G$3),J360,D360)</f>
        <v>57.6</v>
      </c>
      <c r="P360" s="657">
        <f>+IF(OR($Q360=Parametres!$G$2,$Q360=Parametres!$G$3),K360,E360)</f>
        <v>128</v>
      </c>
      <c r="Q360" s="656" t="str">
        <f t="shared" si="183"/>
        <v>7-Dépenses</v>
      </c>
      <c r="R360" s="655" t="str">
        <f t="shared" si="184"/>
        <v>6114</v>
      </c>
      <c r="S360" s="656">
        <f t="shared" si="185"/>
        <v>0</v>
      </c>
      <c r="T360" s="658" t="str">
        <f>+VLOOKUP($L360,Data_Validation!$A:$D,1,0)</f>
        <v>6514</v>
      </c>
      <c r="U360" s="658" t="str">
        <f>+VLOOKUP($L360,Data_Validation!$A:$D,3,0)</f>
        <v>Carrosserie</v>
      </c>
      <c r="V360" s="658" t="str">
        <f>+VLOOKUP($L360,Data_Validation!$A:$D,4,0)</f>
        <v>Publicité 2</v>
      </c>
      <c r="W360" s="658" t="str">
        <f>+VLOOKUP($L360,Data_Validation!$A:$E,5,0)</f>
        <v>$</v>
      </c>
      <c r="X360" s="658">
        <f>+VLOOKUP($L360,Data_Validation!$A:$F,6,0)</f>
        <v>0</v>
      </c>
    </row>
    <row r="361" spans="1:24" ht="15" customHeight="1">
      <c r="A361" s="1190" t="s">
        <v>1171</v>
      </c>
      <c r="B361" s="1190" t="s">
        <v>2549</v>
      </c>
      <c r="C361" s="1192">
        <v>1194.98</v>
      </c>
      <c r="D361" s="1192">
        <v>372.12</v>
      </c>
      <c r="E361" s="1192">
        <v>1567.1</v>
      </c>
      <c r="F361" s="1190" t="s">
        <v>1156</v>
      </c>
      <c r="G361" s="1190" t="s">
        <v>1172</v>
      </c>
      <c r="H361" s="1160"/>
      <c r="I361" s="1159"/>
      <c r="J361" s="1159"/>
      <c r="K361" s="1159"/>
      <c r="L361" s="655" t="str">
        <f t="shared" si="181"/>
        <v>6521</v>
      </c>
      <c r="M361" s="656" t="str">
        <f t="shared" si="182"/>
        <v>SALAIRES - PROPRIETAIRES</v>
      </c>
      <c r="N361" s="657">
        <f>+IF(OR($Q361=Parametres!$G$2,$Q361=Parametres!$G$3),I361,C361)</f>
        <v>1194.98</v>
      </c>
      <c r="O361" s="657">
        <f>+IF(OR($Q361=Parametres!$G$2,$Q361=Parametres!$G$3),J361,D361)</f>
        <v>372.12</v>
      </c>
      <c r="P361" s="657">
        <f>+IF(OR($Q361=Parametres!$G$2,$Q361=Parametres!$G$3),K361,E361)</f>
        <v>1567.1</v>
      </c>
      <c r="Q361" s="656" t="str">
        <f t="shared" si="183"/>
        <v>7-Dépenses</v>
      </c>
      <c r="R361" s="655" t="str">
        <f t="shared" si="184"/>
        <v>6121</v>
      </c>
      <c r="S361" s="656">
        <f t="shared" si="185"/>
        <v>0</v>
      </c>
      <c r="T361" s="658" t="str">
        <f>+VLOOKUP($L361,Data_Validation!$A:$D,1,0)</f>
        <v>6521</v>
      </c>
      <c r="U361" s="658" t="str">
        <f>+VLOOKUP($L361,Data_Validation!$A:$D,3,0)</f>
        <v>Carrosserie</v>
      </c>
      <c r="V361" s="658" t="str">
        <f>+VLOOKUP($L361,Data_Validation!$A:$D,4,0)</f>
        <v>Salaires propriétaire</v>
      </c>
      <c r="W361" s="658" t="str">
        <f>+VLOOKUP($L361,Data_Validation!$A:$E,5,0)</f>
        <v>$</v>
      </c>
      <c r="X361" s="658">
        <f>+VLOOKUP($L361,Data_Validation!$A:$F,6,0)</f>
        <v>0</v>
      </c>
    </row>
    <row r="362" spans="1:24" ht="15.75" customHeight="1">
      <c r="A362" s="1190" t="s">
        <v>1173</v>
      </c>
      <c r="B362" s="1190" t="s">
        <v>2552</v>
      </c>
      <c r="C362" s="1192">
        <v>2705.64</v>
      </c>
      <c r="D362" s="1192">
        <v>901.88</v>
      </c>
      <c r="E362" s="1192">
        <v>3607.52</v>
      </c>
      <c r="F362" s="1190" t="s">
        <v>1156</v>
      </c>
      <c r="G362" s="1190" t="s">
        <v>1174</v>
      </c>
      <c r="H362" s="1160"/>
      <c r="I362" s="1159"/>
      <c r="J362" s="1159"/>
      <c r="K362" s="1159"/>
      <c r="L362" s="655" t="str">
        <f t="shared" si="181"/>
        <v>6522</v>
      </c>
      <c r="M362" s="656" t="str">
        <f t="shared" si="182"/>
        <v>SAL SUPERVISION / GERANT</v>
      </c>
      <c r="N362" s="657">
        <f>+IF(OR($Q362=Parametres!$G$2,$Q362=Parametres!$G$3),I362,C362)</f>
        <v>2705.64</v>
      </c>
      <c r="O362" s="657">
        <f>+IF(OR($Q362=Parametres!$G$2,$Q362=Parametres!$G$3),J362,D362)</f>
        <v>901.88</v>
      </c>
      <c r="P362" s="657">
        <f>+IF(OR($Q362=Parametres!$G$2,$Q362=Parametres!$G$3),K362,E362)</f>
        <v>3607.52</v>
      </c>
      <c r="Q362" s="656" t="str">
        <f t="shared" si="183"/>
        <v>7-Dépenses</v>
      </c>
      <c r="R362" s="655" t="str">
        <f t="shared" si="184"/>
        <v>6122</v>
      </c>
      <c r="S362" s="656">
        <f t="shared" si="185"/>
        <v>0</v>
      </c>
      <c r="T362" s="658" t="str">
        <f>+VLOOKUP($L362,Data_Validation!$A:$D,1,0)</f>
        <v>6522</v>
      </c>
      <c r="U362" s="658" t="str">
        <f>+VLOOKUP($L362,Data_Validation!$A:$D,3,0)</f>
        <v>Carrosserie</v>
      </c>
      <c r="V362" s="658" t="str">
        <f>+VLOOKUP($L362,Data_Validation!$A:$D,4,0)</f>
        <v>Salaires cadres</v>
      </c>
      <c r="W362" s="658" t="str">
        <f>+VLOOKUP($L362,Data_Validation!$A:$E,5,0)</f>
        <v>$</v>
      </c>
      <c r="X362" s="658">
        <f>+VLOOKUP($L362,Data_Validation!$A:$F,6,0)</f>
        <v>0</v>
      </c>
    </row>
    <row r="363" spans="1:24" ht="15.75" customHeight="1">
      <c r="A363" s="1190" t="s">
        <v>1246</v>
      </c>
      <c r="B363" s="1190" t="s">
        <v>2555</v>
      </c>
      <c r="C363" s="1192">
        <v>9791.7900000000009</v>
      </c>
      <c r="D363" s="1192">
        <v>452.67</v>
      </c>
      <c r="E363" s="1192">
        <v>10244.459999999999</v>
      </c>
      <c r="F363" s="1190" t="s">
        <v>1156</v>
      </c>
      <c r="G363" s="1190" t="s">
        <v>1176</v>
      </c>
      <c r="H363" s="1160"/>
      <c r="I363" s="1159"/>
      <c r="J363" s="1159"/>
      <c r="K363" s="1159"/>
      <c r="L363" s="655" t="str">
        <f t="shared" si="181"/>
        <v>6523</v>
      </c>
      <c r="M363" s="656" t="str">
        <f t="shared" si="182"/>
        <v>SAL. &amp; RENUM. CLERICAL</v>
      </c>
      <c r="N363" s="657">
        <f>+IF(OR($Q363=Parametres!$G$2,$Q363=Parametres!$G$3),I363,C363)</f>
        <v>9791.7900000000009</v>
      </c>
      <c r="O363" s="657">
        <f>+IF(OR($Q363=Parametres!$G$2,$Q363=Parametres!$G$3),J363,D363)</f>
        <v>452.67</v>
      </c>
      <c r="P363" s="657">
        <f>+IF(OR($Q363=Parametres!$G$2,$Q363=Parametres!$G$3),K363,E363)</f>
        <v>10244.459999999999</v>
      </c>
      <c r="Q363" s="656" t="str">
        <f t="shared" si="183"/>
        <v>7-Dépenses</v>
      </c>
      <c r="R363" s="655" t="str">
        <f t="shared" si="184"/>
        <v>6123</v>
      </c>
      <c r="S363" s="656">
        <f t="shared" si="185"/>
        <v>0</v>
      </c>
      <c r="T363" s="658" t="str">
        <f>+VLOOKUP($L363,Data_Validation!$A:$D,1,0)</f>
        <v>6523</v>
      </c>
      <c r="U363" s="658" t="str">
        <f>+VLOOKUP($L363,Data_Validation!$A:$D,3,0)</f>
        <v>Carrosserie</v>
      </c>
      <c r="V363" s="658" t="str">
        <f>+VLOOKUP($L363,Data_Validation!$A:$D,4,0)</f>
        <v>Salaires commis</v>
      </c>
      <c r="W363" s="658" t="str">
        <f>+VLOOKUP($L363,Data_Validation!$A:$E,5,0)</f>
        <v>$</v>
      </c>
      <c r="X363" s="658">
        <f>+VLOOKUP($L363,Data_Validation!$A:$F,6,0)</f>
        <v>0</v>
      </c>
    </row>
    <row r="364" spans="1:24" ht="15" customHeight="1">
      <c r="A364" s="1190" t="s">
        <v>1177</v>
      </c>
      <c r="B364" s="1190" t="s">
        <v>2558</v>
      </c>
      <c r="C364" s="1192">
        <v>0.24</v>
      </c>
      <c r="D364" s="1192">
        <v>0.13</v>
      </c>
      <c r="E364" s="1192">
        <v>0.37</v>
      </c>
      <c r="F364" s="1190" t="s">
        <v>1156</v>
      </c>
      <c r="G364" s="1190" t="s">
        <v>1178</v>
      </c>
      <c r="H364" s="1160"/>
      <c r="I364" s="1159"/>
      <c r="J364" s="1159"/>
      <c r="K364" s="1159"/>
      <c r="L364" s="655" t="str">
        <f t="shared" si="181"/>
        <v>6524</v>
      </c>
      <c r="M364" s="656" t="str">
        <f t="shared" si="182"/>
        <v>SALAIRES &amp; RENUM. - AUTRES</v>
      </c>
      <c r="N364" s="657">
        <f>+IF(OR($Q364=Parametres!$G$2,$Q364=Parametres!$G$3),I364,C364)</f>
        <v>0.24</v>
      </c>
      <c r="O364" s="657">
        <f>+IF(OR($Q364=Parametres!$G$2,$Q364=Parametres!$G$3),J364,D364)</f>
        <v>0.13</v>
      </c>
      <c r="P364" s="657">
        <f>+IF(OR($Q364=Parametres!$G$2,$Q364=Parametres!$G$3),K364,E364)</f>
        <v>0.37</v>
      </c>
      <c r="Q364" s="656" t="str">
        <f t="shared" si="183"/>
        <v>7-Dépenses</v>
      </c>
      <c r="R364" s="655" t="str">
        <f t="shared" si="184"/>
        <v>6124</v>
      </c>
      <c r="S364" s="656">
        <f t="shared" si="185"/>
        <v>0</v>
      </c>
      <c r="T364" s="658" t="str">
        <f>+VLOOKUP($L364,Data_Validation!$A:$D,1,0)</f>
        <v>6524</v>
      </c>
      <c r="U364" s="658" t="str">
        <f>+VLOOKUP($L364,Data_Validation!$A:$D,3,0)</f>
        <v>Carrosserie</v>
      </c>
      <c r="V364" s="658" t="str">
        <f>+VLOOKUP($L364,Data_Validation!$A:$D,4,0)</f>
        <v>Salaires autres</v>
      </c>
      <c r="W364" s="658" t="str">
        <f>+VLOOKUP($L364,Data_Validation!$A:$E,5,0)</f>
        <v>$</v>
      </c>
      <c r="X364" s="658">
        <f>+VLOOKUP($L364,Data_Validation!$A:$F,6,0)</f>
        <v>0</v>
      </c>
    </row>
    <row r="365" spans="1:24" ht="15" customHeight="1">
      <c r="A365" s="1190" t="s">
        <v>1231</v>
      </c>
      <c r="B365" s="1190" t="s">
        <v>2564</v>
      </c>
      <c r="C365" s="1192">
        <v>1833.43</v>
      </c>
      <c r="D365" s="1192">
        <v>148.47</v>
      </c>
      <c r="E365" s="1192">
        <v>1981.9</v>
      </c>
      <c r="F365" s="1190" t="s">
        <v>1156</v>
      </c>
      <c r="G365" s="1190" t="s">
        <v>1180</v>
      </c>
      <c r="H365" s="1160"/>
      <c r="I365" s="1159"/>
      <c r="J365" s="1159"/>
      <c r="K365" s="1159"/>
      <c r="L365" s="655" t="str">
        <f t="shared" si="181"/>
        <v>6529</v>
      </c>
      <c r="M365" s="656" t="str">
        <f t="shared" si="182"/>
        <v>ABS.,VACANCES &amp; SAL. JOURS FER</v>
      </c>
      <c r="N365" s="657">
        <f>+IF(OR($Q365=Parametres!$G$2,$Q365=Parametres!$G$3),I365,C365)</f>
        <v>1833.43</v>
      </c>
      <c r="O365" s="657">
        <f>+IF(OR($Q365=Parametres!$G$2,$Q365=Parametres!$G$3),J365,D365)</f>
        <v>148.47</v>
      </c>
      <c r="P365" s="657">
        <f>+IF(OR($Q365=Parametres!$G$2,$Q365=Parametres!$G$3),K365,E365)</f>
        <v>1981.9</v>
      </c>
      <c r="Q365" s="656" t="str">
        <f t="shared" si="183"/>
        <v>7-Dépenses</v>
      </c>
      <c r="R365" s="655" t="str">
        <f t="shared" si="184"/>
        <v>6129</v>
      </c>
      <c r="S365" s="656">
        <f t="shared" si="185"/>
        <v>0</v>
      </c>
      <c r="T365" s="658" t="str">
        <f>+VLOOKUP($L365,Data_Validation!$A:$D,1,0)</f>
        <v>6529</v>
      </c>
      <c r="U365" s="658" t="str">
        <f>+VLOOKUP($L365,Data_Validation!$A:$D,3,0)</f>
        <v>Carrosserie</v>
      </c>
      <c r="V365" s="658" t="str">
        <f>+VLOOKUP($L365,Data_Validation!$A:$D,4,0)</f>
        <v>Salaires en absences</v>
      </c>
      <c r="W365" s="658" t="str">
        <f>+VLOOKUP($L365,Data_Validation!$A:$E,5,0)</f>
        <v>$</v>
      </c>
      <c r="X365" s="658">
        <f>+VLOOKUP($L365,Data_Validation!$A:$F,6,0)</f>
        <v>0</v>
      </c>
    </row>
    <row r="366" spans="1:24" ht="15" customHeight="1">
      <c r="A366" s="1190" t="s">
        <v>1181</v>
      </c>
      <c r="B366" s="1190" t="s">
        <v>2567</v>
      </c>
      <c r="C366" s="1192">
        <v>466.19</v>
      </c>
      <c r="D366" s="1192">
        <v>127.2</v>
      </c>
      <c r="E366" s="1192">
        <v>593.39</v>
      </c>
      <c r="F366" s="1190" t="s">
        <v>1156</v>
      </c>
      <c r="G366" s="1190" t="s">
        <v>1182</v>
      </c>
      <c r="H366" s="1160"/>
      <c r="I366" s="1159"/>
      <c r="J366" s="1159"/>
      <c r="K366" s="1159"/>
      <c r="L366" s="655" t="str">
        <f t="shared" si="181"/>
        <v>6531</v>
      </c>
      <c r="M366" s="656" t="str">
        <f t="shared" si="182"/>
        <v>CSST</v>
      </c>
      <c r="N366" s="657">
        <f>+IF(OR($Q366=Parametres!$G$2,$Q366=Parametres!$G$3),I366,C366)</f>
        <v>466.19</v>
      </c>
      <c r="O366" s="661">
        <f>+IF(OR($Q366=Parametres!$G$2,$Q366=Parametres!$G$3),J366,D366)</f>
        <v>127.2</v>
      </c>
      <c r="P366" s="657">
        <f>+IF(OR($Q366=Parametres!$G$2,$Q366=Parametres!$G$3),K366,E366)</f>
        <v>593.39</v>
      </c>
      <c r="Q366" s="656" t="str">
        <f t="shared" si="183"/>
        <v>7-Dépenses</v>
      </c>
      <c r="R366" s="655" t="str">
        <f t="shared" si="184"/>
        <v>6131</v>
      </c>
      <c r="S366" s="656">
        <f t="shared" si="185"/>
        <v>0</v>
      </c>
      <c r="T366" s="658" t="str">
        <f>+VLOOKUP($L366,Data_Validation!$A:$D,1,0)</f>
        <v>6531</v>
      </c>
      <c r="U366" s="658" t="str">
        <f>+VLOOKUP($L366,Data_Validation!$A:$D,3,0)</f>
        <v>Carrosserie</v>
      </c>
      <c r="V366" s="658" t="str">
        <f>+VLOOKUP($L366,Data_Validation!$A:$D,4,0)</f>
        <v>Csst</v>
      </c>
      <c r="W366" s="658" t="str">
        <f>+VLOOKUP($L366,Data_Validation!$A:$E,5,0)</f>
        <v>$</v>
      </c>
      <c r="X366" s="658">
        <f>+VLOOKUP($L366,Data_Validation!$A:$F,6,0)</f>
        <v>0</v>
      </c>
    </row>
    <row r="367" spans="1:24" ht="15" customHeight="1">
      <c r="A367" s="1190" t="s">
        <v>1183</v>
      </c>
      <c r="B367" s="1190" t="s">
        <v>2570</v>
      </c>
      <c r="C367" s="1192">
        <v>4255.3900000000003</v>
      </c>
      <c r="D367" s="1192">
        <v>830.33</v>
      </c>
      <c r="E367" s="1192">
        <v>5085.72</v>
      </c>
      <c r="F367" s="1190" t="s">
        <v>1156</v>
      </c>
      <c r="G367" s="1190" t="s">
        <v>1184</v>
      </c>
      <c r="H367" s="1160"/>
      <c r="I367" s="1159"/>
      <c r="J367" s="1159"/>
      <c r="K367" s="1159"/>
      <c r="L367" s="655" t="str">
        <f t="shared" si="181"/>
        <v>6532</v>
      </c>
      <c r="M367" s="656" t="str">
        <f t="shared" si="182"/>
        <v>RRQ RAMQ AC</v>
      </c>
      <c r="N367" s="657">
        <f>+IF(OR($Q367=Parametres!$G$2,$Q367=Parametres!$G$3),I367,C367)</f>
        <v>4255.3900000000003</v>
      </c>
      <c r="O367" s="657">
        <f>+IF(OR($Q367=Parametres!$G$2,$Q367=Parametres!$G$3),J367,D367)</f>
        <v>830.33</v>
      </c>
      <c r="P367" s="657">
        <f>+IF(OR($Q367=Parametres!$G$2,$Q367=Parametres!$G$3),K367,E367)</f>
        <v>5085.72</v>
      </c>
      <c r="Q367" s="656" t="str">
        <f t="shared" si="183"/>
        <v>7-Dépenses</v>
      </c>
      <c r="R367" s="655" t="str">
        <f t="shared" si="184"/>
        <v>6132</v>
      </c>
      <c r="S367" s="656">
        <f t="shared" si="185"/>
        <v>0</v>
      </c>
      <c r="T367" s="658" t="str">
        <f>+VLOOKUP($L367,Data_Validation!$A:$D,1,0)</f>
        <v>6532</v>
      </c>
      <c r="U367" s="658" t="str">
        <f>+VLOOKUP($L367,Data_Validation!$A:$D,3,0)</f>
        <v>Carrosserie</v>
      </c>
      <c r="V367" s="658" t="str">
        <f>+VLOOKUP($L367,Data_Validation!$A:$D,4,0)</f>
        <v>Déduction à la source</v>
      </c>
      <c r="W367" s="658" t="str">
        <f>+VLOOKUP($L367,Data_Validation!$A:$E,5,0)</f>
        <v>$</v>
      </c>
      <c r="X367" s="658">
        <f>+VLOOKUP($L367,Data_Validation!$A:$F,6,0)</f>
        <v>0</v>
      </c>
    </row>
    <row r="368" spans="1:24" ht="15" customHeight="1">
      <c r="A368" s="1190" t="s">
        <v>1266</v>
      </c>
      <c r="B368" s="1190" t="s">
        <v>3401</v>
      </c>
      <c r="C368" s="1192">
        <v>241</v>
      </c>
      <c r="D368" s="1192">
        <v>0</v>
      </c>
      <c r="E368" s="1192">
        <v>241</v>
      </c>
      <c r="F368" s="1190" t="s">
        <v>1156</v>
      </c>
      <c r="G368" s="1190" t="s">
        <v>1186</v>
      </c>
      <c r="H368" s="1160"/>
      <c r="I368" s="1159"/>
      <c r="J368" s="1159"/>
      <c r="K368" s="1159"/>
      <c r="L368" s="655" t="str">
        <f t="shared" si="181"/>
        <v>6533</v>
      </c>
      <c r="M368" s="656" t="str">
        <f t="shared" si="182"/>
        <v>FOND PENSION - CARROSSERIE</v>
      </c>
      <c r="N368" s="657">
        <f>+IF(OR($Q368=Parametres!$G$2,$Q368=Parametres!$G$3),I368,C368)</f>
        <v>241</v>
      </c>
      <c r="O368" s="657">
        <f>+IF(OR($Q368=Parametres!$G$2,$Q368=Parametres!$G$3),J368,D368)</f>
        <v>0</v>
      </c>
      <c r="P368" s="657">
        <f>+IF(OR($Q368=Parametres!$G$2,$Q368=Parametres!$G$3),K368,E368)</f>
        <v>241</v>
      </c>
      <c r="Q368" s="656" t="str">
        <f t="shared" si="183"/>
        <v>7-Dépenses</v>
      </c>
      <c r="R368" s="655" t="str">
        <f t="shared" si="184"/>
        <v>6133</v>
      </c>
      <c r="S368" s="656">
        <f t="shared" si="185"/>
        <v>0</v>
      </c>
      <c r="T368" s="658" t="str">
        <f>+VLOOKUP($L368,Data_Validation!$A:$D,1,0)</f>
        <v>6533</v>
      </c>
      <c r="U368" s="658" t="str">
        <f>+VLOOKUP($L368,Data_Validation!$A:$D,3,0)</f>
        <v>Carrosserie</v>
      </c>
      <c r="V368" s="658" t="str">
        <f>+VLOOKUP($L368,Data_Validation!$A:$D,4,0)</f>
        <v>Bénéfices marginaux</v>
      </c>
      <c r="W368" s="658" t="str">
        <f>+VLOOKUP($L368,Data_Validation!$A:$E,5,0)</f>
        <v>$</v>
      </c>
      <c r="X368" s="658">
        <f>+VLOOKUP($L368,Data_Validation!$A:$F,6,0)</f>
        <v>0</v>
      </c>
    </row>
    <row r="369" spans="1:24" ht="15.75" customHeight="1">
      <c r="A369" s="1190" t="s">
        <v>1233</v>
      </c>
      <c r="B369" s="1190" t="s">
        <v>2573</v>
      </c>
      <c r="C369" s="1192">
        <v>1106.03</v>
      </c>
      <c r="D369" s="1192">
        <v>325.86</v>
      </c>
      <c r="E369" s="1192">
        <v>1431.89</v>
      </c>
      <c r="F369" s="1190" t="s">
        <v>1156</v>
      </c>
      <c r="G369" s="1190" t="s">
        <v>1188</v>
      </c>
      <c r="H369" s="1160"/>
      <c r="I369" s="1159"/>
      <c r="J369" s="1159"/>
      <c r="K369" s="1159"/>
      <c r="L369" s="655" t="str">
        <f t="shared" si="181"/>
        <v>6539</v>
      </c>
      <c r="M369" s="656" t="str">
        <f t="shared" si="182"/>
        <v>ASSURANCE GROUPE</v>
      </c>
      <c r="N369" s="657">
        <f>+IF(OR($Q369=Parametres!$G$2,$Q369=Parametres!$G$3),I369,C369)</f>
        <v>1106.03</v>
      </c>
      <c r="O369" s="657">
        <f>+IF(OR($Q369=Parametres!$G$2,$Q369=Parametres!$G$3),J369,D369)</f>
        <v>325.86</v>
      </c>
      <c r="P369" s="657">
        <f>+IF(OR($Q369=Parametres!$G$2,$Q369=Parametres!$G$3),K369,E369)</f>
        <v>1431.89</v>
      </c>
      <c r="Q369" s="656" t="str">
        <f t="shared" si="183"/>
        <v>7-Dépenses</v>
      </c>
      <c r="R369" s="655" t="str">
        <f t="shared" si="184"/>
        <v>6139</v>
      </c>
      <c r="S369" s="656">
        <f t="shared" si="185"/>
        <v>0</v>
      </c>
      <c r="T369" s="658" t="str">
        <f>+VLOOKUP($L369,Data_Validation!$A:$D,1,0)</f>
        <v>6539</v>
      </c>
      <c r="U369" s="658" t="str">
        <f>+VLOOKUP($L369,Data_Validation!$A:$D,3,0)</f>
        <v>Carrosserie</v>
      </c>
      <c r="V369" s="658" t="str">
        <f>+VLOOKUP($L369,Data_Validation!$A:$D,4,0)</f>
        <v>Bénéfices marginaux</v>
      </c>
      <c r="W369" s="658" t="str">
        <f>+VLOOKUP($L369,Data_Validation!$A:$E,5,0)</f>
        <v>$</v>
      </c>
      <c r="X369" s="658">
        <f>+VLOOKUP($L369,Data_Validation!$A:$F,6,0)</f>
        <v>0</v>
      </c>
    </row>
    <row r="370" spans="1:24" ht="15" customHeight="1">
      <c r="A370" s="1190" t="s">
        <v>1189</v>
      </c>
      <c r="B370" s="1190" t="s">
        <v>2579</v>
      </c>
      <c r="C370" s="1192">
        <v>0</v>
      </c>
      <c r="D370" s="1192">
        <v>7.93</v>
      </c>
      <c r="E370" s="1192">
        <v>7.93</v>
      </c>
      <c r="F370" s="1190" t="s">
        <v>1156</v>
      </c>
      <c r="G370" s="1190" t="s">
        <v>1190</v>
      </c>
      <c r="H370" s="1160"/>
      <c r="I370" s="1159"/>
      <c r="J370" s="1159"/>
      <c r="K370" s="1159"/>
      <c r="L370" s="655" t="str">
        <f t="shared" si="181"/>
        <v>6542</v>
      </c>
      <c r="M370" s="656" t="str">
        <f t="shared" si="182"/>
        <v>FOURNITURES &amp; PETITS OUTILS</v>
      </c>
      <c r="N370" s="657">
        <f>+IF(OR($Q370=Parametres!$G$2,$Q370=Parametres!$G$3),I370,C370)</f>
        <v>0</v>
      </c>
      <c r="O370" s="657">
        <f>+IF(OR($Q370=Parametres!$G$2,$Q370=Parametres!$G$3),J370,D370)</f>
        <v>7.93</v>
      </c>
      <c r="P370" s="657">
        <f>+IF(OR($Q370=Parametres!$G$2,$Q370=Parametres!$G$3),K370,E370)</f>
        <v>7.93</v>
      </c>
      <c r="Q370" s="656" t="str">
        <f t="shared" si="183"/>
        <v>7-Dépenses</v>
      </c>
      <c r="R370" s="655" t="str">
        <f t="shared" si="184"/>
        <v>6142</v>
      </c>
      <c r="S370" s="656">
        <f t="shared" si="185"/>
        <v>0</v>
      </c>
      <c r="T370" s="658" t="str">
        <f>+VLOOKUP($L370,Data_Validation!$A:$D,1,0)</f>
        <v>6542</v>
      </c>
      <c r="U370" s="658" t="str">
        <f>+VLOOKUP($L370,Data_Validation!$A:$D,3,0)</f>
        <v>Carrosserie</v>
      </c>
      <c r="V370" s="658" t="str">
        <f>+VLOOKUP($L370,Data_Validation!$A:$D,4,0)</f>
        <v>Fournitures autres</v>
      </c>
      <c r="W370" s="658" t="str">
        <f>+VLOOKUP($L370,Data_Validation!$A:$E,5,0)</f>
        <v>$</v>
      </c>
      <c r="X370" s="658">
        <f>+VLOOKUP($L370,Data_Validation!$A:$F,6,0)</f>
        <v>0</v>
      </c>
    </row>
    <row r="371" spans="1:24" ht="15" customHeight="1">
      <c r="A371" s="1190" t="s">
        <v>1193</v>
      </c>
      <c r="B371" s="1190" t="s">
        <v>2585</v>
      </c>
      <c r="C371" s="1192">
        <v>168.49</v>
      </c>
      <c r="D371" s="1192">
        <v>22.33</v>
      </c>
      <c r="E371" s="1192">
        <v>190.82</v>
      </c>
      <c r="F371" s="1190" t="s">
        <v>1156</v>
      </c>
      <c r="G371" s="1190" t="s">
        <v>1194</v>
      </c>
      <c r="H371" s="1160"/>
      <c r="I371" s="1159"/>
      <c r="J371" s="1159"/>
      <c r="K371" s="1159"/>
      <c r="L371" s="655" t="str">
        <f t="shared" si="181"/>
        <v>6544</v>
      </c>
      <c r="M371" s="656" t="str">
        <f t="shared" si="182"/>
        <v>FORMATION</v>
      </c>
      <c r="N371" s="657">
        <f>+IF(OR($Q371=Parametres!$G$2,$Q371=Parametres!$G$3),I371,C371)</f>
        <v>168.49</v>
      </c>
      <c r="O371" s="657">
        <f>+IF(OR($Q371=Parametres!$G$2,$Q371=Parametres!$G$3),J371,D371)</f>
        <v>22.33</v>
      </c>
      <c r="P371" s="657">
        <f>+IF(OR($Q371=Parametres!$G$2,$Q371=Parametres!$G$3),K371,E371)</f>
        <v>190.82</v>
      </c>
      <c r="Q371" s="656" t="str">
        <f t="shared" si="183"/>
        <v>7-Dépenses</v>
      </c>
      <c r="R371" s="655" t="str">
        <f t="shared" si="184"/>
        <v>6144</v>
      </c>
      <c r="S371" s="656">
        <f t="shared" si="185"/>
        <v>0</v>
      </c>
      <c r="T371" s="658" t="str">
        <f>+VLOOKUP($L371,Data_Validation!$A:$D,1,0)</f>
        <v>6544</v>
      </c>
      <c r="U371" s="658" t="str">
        <f>+VLOOKUP($L371,Data_Validation!$A:$D,3,0)</f>
        <v>Carrosserie</v>
      </c>
      <c r="V371" s="658" t="str">
        <f>+VLOOKUP($L371,Data_Validation!$A:$D,4,0)</f>
        <v>Formation</v>
      </c>
      <c r="W371" s="658" t="str">
        <f>+VLOOKUP($L371,Data_Validation!$A:$E,5,0)</f>
        <v>$</v>
      </c>
      <c r="X371" s="658">
        <f>+VLOOKUP($L371,Data_Validation!$A:$F,6,0)</f>
        <v>0</v>
      </c>
    </row>
    <row r="372" spans="1:24" ht="15" customHeight="1">
      <c r="A372" s="1190" t="s">
        <v>1195</v>
      </c>
      <c r="B372" s="1190" t="s">
        <v>2588</v>
      </c>
      <c r="C372" s="1192">
        <v>493.45</v>
      </c>
      <c r="D372" s="1192">
        <v>157.77000000000001</v>
      </c>
      <c r="E372" s="1192">
        <v>651.22</v>
      </c>
      <c r="F372" s="1190" t="s">
        <v>1156</v>
      </c>
      <c r="G372" s="1190" t="s">
        <v>1196</v>
      </c>
      <c r="H372" s="1160"/>
      <c r="I372" s="1159"/>
      <c r="J372" s="1159"/>
      <c r="K372" s="1159"/>
      <c r="L372" s="655" t="str">
        <f t="shared" ref="L372:L435" si="186">TEXT(B372,0)</f>
        <v>6545</v>
      </c>
      <c r="M372" s="656" t="str">
        <f t="shared" ref="M372:M435" si="187">+A372</f>
        <v>VEHICULE DE COMPAGNIE - DEPENS</v>
      </c>
      <c r="N372" s="657">
        <f>+IF(OR($Q372=Parametres!$G$2,$Q372=Parametres!$G$3),I372,C372)</f>
        <v>493.45</v>
      </c>
      <c r="O372" s="657">
        <f>+IF(OR($Q372=Parametres!$G$2,$Q372=Parametres!$G$3),J372,D372)</f>
        <v>157.77000000000001</v>
      </c>
      <c r="P372" s="657">
        <f>+IF(OR($Q372=Parametres!$G$2,$Q372=Parametres!$G$3),K372,E372)</f>
        <v>651.22</v>
      </c>
      <c r="Q372" s="656" t="str">
        <f t="shared" ref="Q372:Q435" si="188">+F372</f>
        <v>7-Dépenses</v>
      </c>
      <c r="R372" s="655" t="str">
        <f t="shared" ref="R372:R435" si="189">+G372</f>
        <v>6145</v>
      </c>
      <c r="S372" s="656">
        <f t="shared" ref="S372:S435" si="190">+H372</f>
        <v>0</v>
      </c>
      <c r="T372" s="658" t="str">
        <f>+VLOOKUP($L372,Data_Validation!$A:$D,1,0)</f>
        <v>6545</v>
      </c>
      <c r="U372" s="658" t="str">
        <f>+VLOOKUP($L372,Data_Validation!$A:$D,3,0)</f>
        <v>Carrosserie</v>
      </c>
      <c r="V372" s="658" t="str">
        <f>+VLOOKUP($L372,Data_Validation!$A:$D,4,0)</f>
        <v>Frais véhicules de cie</v>
      </c>
      <c r="W372" s="658" t="str">
        <f>+VLOOKUP($L372,Data_Validation!$A:$E,5,0)</f>
        <v>$</v>
      </c>
      <c r="X372" s="658">
        <f>+VLOOKUP($L372,Data_Validation!$A:$F,6,0)</f>
        <v>0</v>
      </c>
    </row>
    <row r="373" spans="1:24" ht="15" customHeight="1">
      <c r="A373" s="1190" t="s">
        <v>1197</v>
      </c>
      <c r="B373" s="1190" t="s">
        <v>2591</v>
      </c>
      <c r="C373" s="1192">
        <v>144.28</v>
      </c>
      <c r="D373" s="1192">
        <v>2.31</v>
      </c>
      <c r="E373" s="1192">
        <v>146.59</v>
      </c>
      <c r="F373" s="1190" t="s">
        <v>1156</v>
      </c>
      <c r="G373" s="1190" t="s">
        <v>1198</v>
      </c>
      <c r="H373" s="1160"/>
      <c r="I373" s="1159"/>
      <c r="J373" s="1159"/>
      <c r="K373" s="1159"/>
      <c r="L373" s="655" t="str">
        <f t="shared" si="186"/>
        <v>6547</v>
      </c>
      <c r="M373" s="656" t="str">
        <f t="shared" si="187"/>
        <v>FRET/EXPRESS/TRANS. PAR CAMION</v>
      </c>
      <c r="N373" s="657">
        <f>+IF(OR($Q373=Parametres!$G$2,$Q373=Parametres!$G$3),I373,C373)</f>
        <v>144.28</v>
      </c>
      <c r="O373" s="657">
        <f>+IF(OR($Q373=Parametres!$G$2,$Q373=Parametres!$G$3),J373,D373)</f>
        <v>2.31</v>
      </c>
      <c r="P373" s="657">
        <f>+IF(OR($Q373=Parametres!$G$2,$Q373=Parametres!$G$3),K373,E373)</f>
        <v>146.59</v>
      </c>
      <c r="Q373" s="656" t="str">
        <f t="shared" si="188"/>
        <v>7-Dépenses</v>
      </c>
      <c r="R373" s="655" t="str">
        <f t="shared" si="189"/>
        <v>6147</v>
      </c>
      <c r="S373" s="656">
        <f t="shared" si="190"/>
        <v>0</v>
      </c>
      <c r="T373" s="658" t="str">
        <f>+VLOOKUP($L373,Data_Validation!$A:$D,1,0)</f>
        <v>6547</v>
      </c>
      <c r="U373" s="658" t="str">
        <f>+VLOOKUP($L373,Data_Validation!$A:$D,3,0)</f>
        <v>Carrosserie</v>
      </c>
      <c r="V373" s="658" t="str">
        <f>+VLOOKUP($L373,Data_Validation!$A:$D,4,0)</f>
        <v>Frais postaux</v>
      </c>
      <c r="W373" s="658" t="str">
        <f>+VLOOKUP($L373,Data_Validation!$A:$E,5,0)</f>
        <v>$</v>
      </c>
      <c r="X373" s="658">
        <f>+VLOOKUP($L373,Data_Validation!$A:$F,6,0)</f>
        <v>0</v>
      </c>
    </row>
    <row r="374" spans="1:24" ht="15.75" customHeight="1">
      <c r="A374" s="1190" t="s">
        <v>1199</v>
      </c>
      <c r="B374" s="1190" t="s">
        <v>2596</v>
      </c>
      <c r="C374" s="1192">
        <v>4450.87</v>
      </c>
      <c r="D374" s="1192">
        <v>1612.47</v>
      </c>
      <c r="E374" s="1192">
        <v>6063.34</v>
      </c>
      <c r="F374" s="1190" t="s">
        <v>1156</v>
      </c>
      <c r="G374" s="1190" t="s">
        <v>1200</v>
      </c>
      <c r="H374" s="1160"/>
      <c r="I374" s="1159"/>
      <c r="J374" s="1159"/>
      <c r="K374" s="1159"/>
      <c r="L374" s="655" t="str">
        <f t="shared" si="186"/>
        <v>6551</v>
      </c>
      <c r="M374" s="656" t="str">
        <f t="shared" si="187"/>
        <v>DEP. DU TRAITEMENT DES DONNEES</v>
      </c>
      <c r="N374" s="657">
        <f>+IF(OR($Q374=Parametres!$G$2,$Q374=Parametres!$G$3),I374,C374)</f>
        <v>4450.87</v>
      </c>
      <c r="O374" s="657">
        <f>+IF(OR($Q374=Parametres!$G$2,$Q374=Parametres!$G$3),J374,D374)</f>
        <v>1612.47</v>
      </c>
      <c r="P374" s="657">
        <f>+IF(OR($Q374=Parametres!$G$2,$Q374=Parametres!$G$3),K374,E374)</f>
        <v>6063.34</v>
      </c>
      <c r="Q374" s="656" t="str">
        <f t="shared" si="188"/>
        <v>7-Dépenses</v>
      </c>
      <c r="R374" s="655" t="str">
        <f t="shared" si="189"/>
        <v>6151</v>
      </c>
      <c r="S374" s="656">
        <f t="shared" si="190"/>
        <v>0</v>
      </c>
      <c r="T374" s="658" t="str">
        <f>+VLOOKUP($L374,Data_Validation!$A:$D,1,0)</f>
        <v>6551</v>
      </c>
      <c r="U374" s="658" t="str">
        <f>+VLOOKUP($L374,Data_Validation!$A:$D,3,0)</f>
        <v>Carrosserie</v>
      </c>
      <c r="V374" s="658" t="str">
        <f>+VLOOKUP($L374,Data_Validation!$A:$D,4,0)</f>
        <v>Informatique</v>
      </c>
      <c r="W374" s="658" t="str">
        <f>+VLOOKUP($L374,Data_Validation!$A:$E,5,0)</f>
        <v>$</v>
      </c>
      <c r="X374" s="658">
        <f>+VLOOKUP($L374,Data_Validation!$A:$F,6,0)</f>
        <v>0</v>
      </c>
    </row>
    <row r="375" spans="1:24" ht="15" customHeight="1">
      <c r="A375" s="1190" t="s">
        <v>1201</v>
      </c>
      <c r="B375" s="1190" t="s">
        <v>2599</v>
      </c>
      <c r="C375" s="1192">
        <v>425.04</v>
      </c>
      <c r="D375" s="1192">
        <v>83.36</v>
      </c>
      <c r="E375" s="1192">
        <v>508.4</v>
      </c>
      <c r="F375" s="1190" t="s">
        <v>1156</v>
      </c>
      <c r="G375" s="1190" t="s">
        <v>1202</v>
      </c>
      <c r="H375" s="1160"/>
      <c r="I375" s="1159"/>
      <c r="J375" s="1159"/>
      <c r="K375" s="1159"/>
      <c r="L375" s="655" t="str">
        <f t="shared" si="186"/>
        <v>6552</v>
      </c>
      <c r="M375" s="656" t="str">
        <f t="shared" si="187"/>
        <v>PAPETERIE</v>
      </c>
      <c r="N375" s="657">
        <f>+IF(OR($Q375=Parametres!$G$2,$Q375=Parametres!$G$3),I375,C375)</f>
        <v>425.04</v>
      </c>
      <c r="O375" s="657">
        <f>+IF(OR($Q375=Parametres!$G$2,$Q375=Parametres!$G$3),J375,D375)</f>
        <v>83.36</v>
      </c>
      <c r="P375" s="657">
        <f>+IF(OR($Q375=Parametres!$G$2,$Q375=Parametres!$G$3),K375,E375)</f>
        <v>508.4</v>
      </c>
      <c r="Q375" s="656" t="str">
        <f t="shared" si="188"/>
        <v>7-Dépenses</v>
      </c>
      <c r="R375" s="655" t="str">
        <f t="shared" si="189"/>
        <v>6152</v>
      </c>
      <c r="S375" s="656">
        <f t="shared" si="190"/>
        <v>0</v>
      </c>
      <c r="T375" s="658" t="str">
        <f>+VLOOKUP($L375,Data_Validation!$A:$D,1,0)</f>
        <v>6552</v>
      </c>
      <c r="U375" s="658" t="str">
        <f>+VLOOKUP($L375,Data_Validation!$A:$D,3,0)</f>
        <v>Carrosserie</v>
      </c>
      <c r="V375" s="658" t="str">
        <f>+VLOOKUP($L375,Data_Validation!$A:$D,4,0)</f>
        <v>Papeterie</v>
      </c>
      <c r="W375" s="658" t="str">
        <f>+VLOOKUP($L375,Data_Validation!$A:$E,5,0)</f>
        <v>$</v>
      </c>
      <c r="X375" s="658">
        <f>+VLOOKUP($L375,Data_Validation!$A:$F,6,0)</f>
        <v>0</v>
      </c>
    </row>
    <row r="376" spans="1:24" ht="15" customHeight="1">
      <c r="A376" s="1190" t="s">
        <v>1203</v>
      </c>
      <c r="B376" s="1190" t="s">
        <v>2602</v>
      </c>
      <c r="C376" s="1192">
        <v>89.76</v>
      </c>
      <c r="D376" s="1192">
        <v>23.66</v>
      </c>
      <c r="E376" s="1192">
        <v>113.42</v>
      </c>
      <c r="F376" s="1190" t="s">
        <v>1156</v>
      </c>
      <c r="G376" s="1190" t="s">
        <v>1204</v>
      </c>
      <c r="H376" s="1160"/>
      <c r="I376" s="1159"/>
      <c r="J376" s="1159"/>
      <c r="K376" s="1159"/>
      <c r="L376" s="655" t="str">
        <f t="shared" si="186"/>
        <v>6553</v>
      </c>
      <c r="M376" s="656" t="str">
        <f t="shared" si="187"/>
        <v>TELEPHONE ET TELEX</v>
      </c>
      <c r="N376" s="657">
        <f>+IF(OR($Q376=Parametres!$G$2,$Q376=Parametres!$G$3),I376,C376)</f>
        <v>89.76</v>
      </c>
      <c r="O376" s="657">
        <f>+IF(OR($Q376=Parametres!$G$2,$Q376=Parametres!$G$3),J376,D376)</f>
        <v>23.66</v>
      </c>
      <c r="P376" s="657">
        <f>+IF(OR($Q376=Parametres!$G$2,$Q376=Parametres!$G$3),K376,E376)</f>
        <v>113.42</v>
      </c>
      <c r="Q376" s="656" t="str">
        <f t="shared" si="188"/>
        <v>7-Dépenses</v>
      </c>
      <c r="R376" s="655" t="str">
        <f t="shared" si="189"/>
        <v>6153</v>
      </c>
      <c r="S376" s="656">
        <f t="shared" si="190"/>
        <v>0</v>
      </c>
      <c r="T376" s="658" t="str">
        <f>+VLOOKUP($L376,Data_Validation!$A:$D,1,0)</f>
        <v>6553</v>
      </c>
      <c r="U376" s="658" t="str">
        <f>+VLOOKUP($L376,Data_Validation!$A:$D,3,0)</f>
        <v>Carrosserie</v>
      </c>
      <c r="V376" s="658" t="str">
        <f>+VLOOKUP($L376,Data_Validation!$A:$D,4,0)</f>
        <v>Téléphone</v>
      </c>
      <c r="W376" s="658" t="str">
        <f>+VLOOKUP($L376,Data_Validation!$A:$E,5,0)</f>
        <v>$</v>
      </c>
      <c r="X376" s="658">
        <f>+VLOOKUP($L376,Data_Validation!$A:$F,6,0)</f>
        <v>0</v>
      </c>
    </row>
    <row r="377" spans="1:24" ht="15" customHeight="1">
      <c r="A377" s="1190" t="s">
        <v>1205</v>
      </c>
      <c r="B377" s="1190" t="s">
        <v>2605</v>
      </c>
      <c r="C377" s="1192">
        <v>123.58</v>
      </c>
      <c r="D377" s="1192">
        <v>44.2</v>
      </c>
      <c r="E377" s="1192">
        <v>167.78</v>
      </c>
      <c r="F377" s="1190" t="s">
        <v>1156</v>
      </c>
      <c r="G377" s="1190" t="s">
        <v>1206</v>
      </c>
      <c r="H377" s="1160"/>
      <c r="I377" s="1159"/>
      <c r="J377" s="1159"/>
      <c r="K377" s="1159"/>
      <c r="L377" s="655" t="str">
        <f t="shared" si="186"/>
        <v>6555</v>
      </c>
      <c r="M377" s="656" t="str">
        <f t="shared" si="187"/>
        <v>DEPENSES DIVERS</v>
      </c>
      <c r="N377" s="657">
        <f>+IF(OR($Q377=Parametres!$G$2,$Q377=Parametres!$G$3),I377,C377)</f>
        <v>123.58</v>
      </c>
      <c r="O377" s="657">
        <f>+IF(OR($Q377=Parametres!$G$2,$Q377=Parametres!$G$3),J377,D377)</f>
        <v>44.2</v>
      </c>
      <c r="P377" s="657">
        <f>+IF(OR($Q377=Parametres!$G$2,$Q377=Parametres!$G$3),K377,E377)</f>
        <v>167.78</v>
      </c>
      <c r="Q377" s="656" t="str">
        <f t="shared" si="188"/>
        <v>7-Dépenses</v>
      </c>
      <c r="R377" s="655" t="str">
        <f t="shared" si="189"/>
        <v>6155</v>
      </c>
      <c r="S377" s="656">
        <f t="shared" si="190"/>
        <v>0</v>
      </c>
      <c r="T377" s="658" t="str">
        <f>+VLOOKUP($L377,Data_Validation!$A:$D,1,0)</f>
        <v>6555</v>
      </c>
      <c r="U377" s="658" t="str">
        <f>+VLOOKUP($L377,Data_Validation!$A:$D,3,0)</f>
        <v>Carrosserie</v>
      </c>
      <c r="V377" s="658" t="str">
        <f>+VLOOKUP($L377,Data_Validation!$A:$D,4,0)</f>
        <v>Divers</v>
      </c>
      <c r="W377" s="658" t="str">
        <f>+VLOOKUP($L377,Data_Validation!$A:$E,5,0)</f>
        <v>$</v>
      </c>
      <c r="X377" s="658">
        <f>+VLOOKUP($L377,Data_Validation!$A:$F,6,0)</f>
        <v>0</v>
      </c>
    </row>
    <row r="378" spans="1:24" ht="15" customHeight="1">
      <c r="A378" s="1190" t="s">
        <v>1267</v>
      </c>
      <c r="B378" s="1190" t="s">
        <v>2608</v>
      </c>
      <c r="C378" s="1192">
        <v>339.35</v>
      </c>
      <c r="D378" s="1192">
        <v>509.97</v>
      </c>
      <c r="E378" s="1192">
        <v>849.32</v>
      </c>
      <c r="F378" s="1190" t="s">
        <v>1156</v>
      </c>
      <c r="G378" s="1190" t="s">
        <v>1208</v>
      </c>
      <c r="H378" s="1160"/>
      <c r="I378" s="1159"/>
      <c r="J378" s="1159"/>
      <c r="K378" s="1159"/>
      <c r="L378" s="655" t="str">
        <f t="shared" si="186"/>
        <v>6556</v>
      </c>
      <c r="M378" s="656" t="str">
        <f t="shared" si="187"/>
        <v>FRAIS REPRESENTATION</v>
      </c>
      <c r="N378" s="657">
        <f>+IF(OR($Q378=Parametres!$G$2,$Q378=Parametres!$G$3),I378,C378)</f>
        <v>339.35</v>
      </c>
      <c r="O378" s="657">
        <f>+IF(OR($Q378=Parametres!$G$2,$Q378=Parametres!$G$3),J378,D378)</f>
        <v>509.97</v>
      </c>
      <c r="P378" s="657">
        <f>+IF(OR($Q378=Parametres!$G$2,$Q378=Parametres!$G$3),K378,E378)</f>
        <v>849.32</v>
      </c>
      <c r="Q378" s="656" t="str">
        <f t="shared" si="188"/>
        <v>7-Dépenses</v>
      </c>
      <c r="R378" s="655" t="str">
        <f t="shared" si="189"/>
        <v>6156</v>
      </c>
      <c r="S378" s="656">
        <f t="shared" si="190"/>
        <v>0</v>
      </c>
      <c r="T378" s="658" t="str">
        <f>+VLOOKUP($L378,Data_Validation!$A:$D,1,0)</f>
        <v>6556</v>
      </c>
      <c r="U378" s="658" t="str">
        <f>+VLOOKUP($L378,Data_Validation!$A:$D,3,0)</f>
        <v>Carrosserie</v>
      </c>
      <c r="V378" s="658" t="str">
        <f>+VLOOKUP($L378,Data_Validation!$A:$D,4,0)</f>
        <v>Frais de déplacement</v>
      </c>
      <c r="W378" s="658" t="str">
        <f>+VLOOKUP($L378,Data_Validation!$A:$E,5,0)</f>
        <v>$</v>
      </c>
      <c r="X378" s="658">
        <f>+VLOOKUP($L378,Data_Validation!$A:$F,6,0)</f>
        <v>0</v>
      </c>
    </row>
    <row r="379" spans="1:24" ht="15.75" customHeight="1">
      <c r="A379" s="1190" t="s">
        <v>1268</v>
      </c>
      <c r="B379" s="1190" t="s">
        <v>3402</v>
      </c>
      <c r="C379" s="1192">
        <v>485.58</v>
      </c>
      <c r="D379" s="1192">
        <v>237.63</v>
      </c>
      <c r="E379" s="1192">
        <v>723.21</v>
      </c>
      <c r="F379" s="1190" t="s">
        <v>1156</v>
      </c>
      <c r="G379" s="1190" t="s">
        <v>1269</v>
      </c>
      <c r="H379" s="1160"/>
      <c r="I379" s="1159"/>
      <c r="J379" s="1159"/>
      <c r="K379" s="1159"/>
      <c r="L379" s="655" t="str">
        <f t="shared" si="186"/>
        <v>6557</v>
      </c>
      <c r="M379" s="656" t="str">
        <f t="shared" si="187"/>
        <v>FRAIS BANCAIRES - CARROSSERIE</v>
      </c>
      <c r="N379" s="657">
        <f>+IF(OR($Q379=Parametres!$G$2,$Q379=Parametres!$G$3),I379,C379)</f>
        <v>485.58</v>
      </c>
      <c r="O379" s="657">
        <f>+IF(OR($Q379=Parametres!$G$2,$Q379=Parametres!$G$3),J379,D379)</f>
        <v>237.63</v>
      </c>
      <c r="P379" s="657">
        <f>+IF(OR($Q379=Parametres!$G$2,$Q379=Parametres!$G$3),K379,E379)</f>
        <v>723.21</v>
      </c>
      <c r="Q379" s="656" t="str">
        <f t="shared" si="188"/>
        <v>7-Dépenses</v>
      </c>
      <c r="R379" s="655" t="str">
        <f t="shared" si="189"/>
        <v>655</v>
      </c>
      <c r="S379" s="656">
        <f t="shared" si="190"/>
        <v>0</v>
      </c>
      <c r="T379" s="658" t="str">
        <f>+VLOOKUP($L379,Data_Validation!$A:$D,1,0)</f>
        <v>6557</v>
      </c>
      <c r="U379" s="658" t="str">
        <f>+VLOOKUP($L379,Data_Validation!$A:$D,3,0)</f>
        <v>Carrosserie</v>
      </c>
      <c r="V379" s="658" t="str">
        <f>+VLOOKUP($L379,Data_Validation!$A:$D,4,0)</f>
        <v>Frais bancaires</v>
      </c>
      <c r="W379" s="658" t="str">
        <f>+VLOOKUP($L379,Data_Validation!$A:$E,5,0)</f>
        <v>$</v>
      </c>
      <c r="X379" s="658">
        <f>+VLOOKUP($L379,Data_Validation!$A:$F,6,0)</f>
        <v>0</v>
      </c>
    </row>
    <row r="380" spans="1:24" ht="15" customHeight="1">
      <c r="A380" s="1190" t="s">
        <v>1211</v>
      </c>
      <c r="B380" s="1190" t="s">
        <v>2611</v>
      </c>
      <c r="C380" s="1192">
        <v>2042.04</v>
      </c>
      <c r="D380" s="1192">
        <v>617.34</v>
      </c>
      <c r="E380" s="1192">
        <v>2659.38</v>
      </c>
      <c r="F380" s="1190" t="s">
        <v>1156</v>
      </c>
      <c r="G380" s="1190" t="s">
        <v>1212</v>
      </c>
      <c r="H380" s="1160"/>
      <c r="I380" s="1159"/>
      <c r="J380" s="1159"/>
      <c r="K380" s="1159"/>
      <c r="L380" s="655" t="str">
        <f t="shared" si="186"/>
        <v>6559</v>
      </c>
      <c r="M380" s="656" t="str">
        <f t="shared" si="187"/>
        <v>SERVICE EXTERIEUR</v>
      </c>
      <c r="N380" s="657">
        <f>+IF(OR($Q380=Parametres!$G$2,$Q380=Parametres!$G$3),I380,C380)</f>
        <v>2042.04</v>
      </c>
      <c r="O380" s="661">
        <f>+IF(OR($Q380=Parametres!$G$2,$Q380=Parametres!$G$3),J380,D380)</f>
        <v>617.34</v>
      </c>
      <c r="P380" s="657">
        <f>+IF(OR($Q380=Parametres!$G$2,$Q380=Parametres!$G$3),K380,E380)</f>
        <v>2659.38</v>
      </c>
      <c r="Q380" s="656" t="str">
        <f t="shared" si="188"/>
        <v>7-Dépenses</v>
      </c>
      <c r="R380" s="655" t="str">
        <f t="shared" si="189"/>
        <v>6159</v>
      </c>
      <c r="S380" s="656">
        <f t="shared" si="190"/>
        <v>0</v>
      </c>
      <c r="T380" s="658" t="str">
        <f>+VLOOKUP($L380,Data_Validation!$A:$D,1,0)</f>
        <v>6559</v>
      </c>
      <c r="U380" s="658" t="str">
        <f>+VLOOKUP($L380,Data_Validation!$A:$D,3,0)</f>
        <v>Carrosserie</v>
      </c>
      <c r="V380" s="658" t="str">
        <f>+VLOOKUP($L380,Data_Validation!$A:$D,4,0)</f>
        <v>Services extérieurs</v>
      </c>
      <c r="W380" s="658" t="str">
        <f>+VLOOKUP($L380,Data_Validation!$A:$E,5,0)</f>
        <v>$</v>
      </c>
      <c r="X380" s="658">
        <f>+VLOOKUP($L380,Data_Validation!$A:$F,6,0)</f>
        <v>0</v>
      </c>
    </row>
    <row r="381" spans="1:24" ht="15" customHeight="1">
      <c r="A381" s="1190" t="s">
        <v>1213</v>
      </c>
      <c r="B381" s="1190" t="s">
        <v>2613</v>
      </c>
      <c r="C381" s="1192">
        <v>1326.15</v>
      </c>
      <c r="D381" s="1192">
        <v>442.05</v>
      </c>
      <c r="E381" s="1192">
        <v>1768.2</v>
      </c>
      <c r="F381" s="1190" t="s">
        <v>1156</v>
      </c>
      <c r="G381" s="1190" t="s">
        <v>1214</v>
      </c>
      <c r="H381" s="1160"/>
      <c r="I381" s="1159"/>
      <c r="J381" s="1159"/>
      <c r="K381" s="1159"/>
      <c r="L381" s="655" t="str">
        <f t="shared" si="186"/>
        <v>6561</v>
      </c>
      <c r="M381" s="656" t="str">
        <f t="shared" si="187"/>
        <v>DEPRECIATION EQUIP. &amp; FIXTURES</v>
      </c>
      <c r="N381" s="657">
        <f>+IF(OR($Q381=Parametres!$G$2,$Q381=Parametres!$G$3),I381,C381)</f>
        <v>1326.15</v>
      </c>
      <c r="O381" s="657">
        <f>+IF(OR($Q381=Parametres!$G$2,$Q381=Parametres!$G$3),J381,D381)</f>
        <v>442.05</v>
      </c>
      <c r="P381" s="657">
        <f>+IF(OR($Q381=Parametres!$G$2,$Q381=Parametres!$G$3),K381,E381)</f>
        <v>1768.2</v>
      </c>
      <c r="Q381" s="656" t="str">
        <f t="shared" si="188"/>
        <v>7-Dépenses</v>
      </c>
      <c r="R381" s="655" t="str">
        <f t="shared" si="189"/>
        <v>6161</v>
      </c>
      <c r="S381" s="656">
        <f t="shared" si="190"/>
        <v>0</v>
      </c>
      <c r="T381" s="658" t="str">
        <f>+VLOOKUP($L381,Data_Validation!$A:$D,1,0)</f>
        <v>6561</v>
      </c>
      <c r="U381" s="658" t="str">
        <f>+VLOOKUP($L381,Data_Validation!$A:$D,3,0)</f>
        <v>Carrosserie</v>
      </c>
      <c r="V381" s="658" t="str">
        <f>+VLOOKUP($L381,Data_Validation!$A:$D,4,0)</f>
        <v>Amortissement</v>
      </c>
      <c r="W381" s="658" t="str">
        <f>+VLOOKUP($L381,Data_Validation!$A:$E,5,0)</f>
        <v>$</v>
      </c>
      <c r="X381" s="658">
        <f>+VLOOKUP($L381,Data_Validation!$A:$F,6,0)</f>
        <v>0</v>
      </c>
    </row>
    <row r="382" spans="1:24" ht="15" customHeight="1">
      <c r="A382" s="1190" t="s">
        <v>1270</v>
      </c>
      <c r="B382" s="1190" t="s">
        <v>2622</v>
      </c>
      <c r="C382" s="1192">
        <v>886.36</v>
      </c>
      <c r="D382" s="1192">
        <v>604.94000000000005</v>
      </c>
      <c r="E382" s="1192">
        <v>1491.3</v>
      </c>
      <c r="F382" s="1190" t="s">
        <v>1156</v>
      </c>
      <c r="G382" s="1190" t="s">
        <v>1216</v>
      </c>
      <c r="H382" s="1160"/>
      <c r="I382" s="1159"/>
      <c r="J382" s="1159"/>
      <c r="K382" s="1159"/>
      <c r="L382" s="655" t="str">
        <f t="shared" si="186"/>
        <v>6581</v>
      </c>
      <c r="M382" s="656" t="str">
        <f t="shared" si="187"/>
        <v>CHAUFFAGE,ELECTRICITE,EAU-CARROS.</v>
      </c>
      <c r="N382" s="657">
        <f>+IF(OR($Q382=Parametres!$G$2,$Q382=Parametres!$G$3),I382,C382)</f>
        <v>886.36</v>
      </c>
      <c r="O382" s="657">
        <f>+IF(OR($Q382=Parametres!$G$2,$Q382=Parametres!$G$3),J382,D382)</f>
        <v>604.94000000000005</v>
      </c>
      <c r="P382" s="657">
        <f>+IF(OR($Q382=Parametres!$G$2,$Q382=Parametres!$G$3),K382,E382)</f>
        <v>1491.3</v>
      </c>
      <c r="Q382" s="656" t="str">
        <f t="shared" si="188"/>
        <v>7-Dépenses</v>
      </c>
      <c r="R382" s="655" t="str">
        <f t="shared" si="189"/>
        <v>6181</v>
      </c>
      <c r="S382" s="656">
        <f t="shared" si="190"/>
        <v>0</v>
      </c>
      <c r="T382" s="658" t="str">
        <f>+VLOOKUP($L382,Data_Validation!$A:$D,1,0)</f>
        <v>6581</v>
      </c>
      <c r="U382" s="658" t="str">
        <f>+VLOOKUP($L382,Data_Validation!$A:$D,3,0)</f>
        <v>Carrosserie</v>
      </c>
      <c r="V382" s="658" t="str">
        <f>+VLOOKUP($L382,Data_Validation!$A:$D,4,0)</f>
        <v>Chauffage, éclairage</v>
      </c>
      <c r="W382" s="658" t="str">
        <f>+VLOOKUP($L382,Data_Validation!$A:$E,5,0)</f>
        <v>$</v>
      </c>
      <c r="X382" s="658">
        <f>+VLOOKUP($L382,Data_Validation!$A:$F,6,0)</f>
        <v>0</v>
      </c>
    </row>
    <row r="383" spans="1:24" ht="15.75" customHeight="1">
      <c r="A383" s="1190" t="s">
        <v>1271</v>
      </c>
      <c r="B383" s="1190" t="s">
        <v>2625</v>
      </c>
      <c r="C383" s="1192">
        <v>7560</v>
      </c>
      <c r="D383" s="1192">
        <v>2520</v>
      </c>
      <c r="E383" s="1192">
        <v>10080</v>
      </c>
      <c r="F383" s="1190" t="s">
        <v>1156</v>
      </c>
      <c r="G383" s="1190" t="s">
        <v>1218</v>
      </c>
      <c r="H383" s="1160"/>
      <c r="I383" s="1159"/>
      <c r="J383" s="1159"/>
      <c r="K383" s="1159"/>
      <c r="L383" s="655" t="str">
        <f t="shared" si="186"/>
        <v>6582</v>
      </c>
      <c r="M383" s="656" t="str">
        <f t="shared" si="187"/>
        <v>LOYER - CARROSSERIE</v>
      </c>
      <c r="N383" s="657">
        <f>+IF(OR($Q383=Parametres!$G$2,$Q383=Parametres!$G$3),I383,C383)</f>
        <v>7560</v>
      </c>
      <c r="O383" s="657">
        <f>+IF(OR($Q383=Parametres!$G$2,$Q383=Parametres!$G$3),J383,D383)</f>
        <v>2520</v>
      </c>
      <c r="P383" s="657">
        <f>+IF(OR($Q383=Parametres!$G$2,$Q383=Parametres!$G$3),K383,E383)</f>
        <v>10080</v>
      </c>
      <c r="Q383" s="656" t="str">
        <f t="shared" si="188"/>
        <v>7-Dépenses</v>
      </c>
      <c r="R383" s="655" t="str">
        <f t="shared" si="189"/>
        <v>6182</v>
      </c>
      <c r="S383" s="656">
        <f t="shared" si="190"/>
        <v>0</v>
      </c>
      <c r="T383" s="658" t="str">
        <f>+VLOOKUP($L383,Data_Validation!$A:$D,1,0)</f>
        <v>6582</v>
      </c>
      <c r="U383" s="658" t="str">
        <f>+VLOOKUP($L383,Data_Validation!$A:$D,3,0)</f>
        <v>Carrosserie</v>
      </c>
      <c r="V383" s="658" t="str">
        <f>+VLOOKUP($L383,Data_Validation!$A:$D,4,0)</f>
        <v>Loyer</v>
      </c>
      <c r="W383" s="658" t="str">
        <f>+VLOOKUP($L383,Data_Validation!$A:$E,5,0)</f>
        <v>$</v>
      </c>
      <c r="X383" s="658">
        <f>+VLOOKUP($L383,Data_Validation!$A:$F,6,0)</f>
        <v>0</v>
      </c>
    </row>
    <row r="384" spans="1:24" ht="15" customHeight="1">
      <c r="A384" s="1190" t="s">
        <v>1272</v>
      </c>
      <c r="B384" s="1190" t="s">
        <v>2627</v>
      </c>
      <c r="C384" s="1192">
        <v>817.56</v>
      </c>
      <c r="D384" s="1192">
        <v>272.52</v>
      </c>
      <c r="E384" s="1192">
        <v>1090.08</v>
      </c>
      <c r="F384" s="1190" t="s">
        <v>1156</v>
      </c>
      <c r="G384" s="1190" t="s">
        <v>1220</v>
      </c>
      <c r="H384" s="1160"/>
      <c r="I384" s="1159"/>
      <c r="J384" s="1159"/>
      <c r="K384" s="1159"/>
      <c r="L384" s="655" t="str">
        <f t="shared" si="186"/>
        <v>6586</v>
      </c>
      <c r="M384" s="656" t="str">
        <f t="shared" si="187"/>
        <v>ASSURANCE BATISSE &amp; AMEL.-CARROS.</v>
      </c>
      <c r="N384" s="657">
        <f>+IF(OR($Q384=Parametres!$G$2,$Q384=Parametres!$G$3),I384,C384)</f>
        <v>817.56</v>
      </c>
      <c r="O384" s="657">
        <f>+IF(OR($Q384=Parametres!$G$2,$Q384=Parametres!$G$3),J384,D384)</f>
        <v>272.52</v>
      </c>
      <c r="P384" s="657">
        <f>+IF(OR($Q384=Parametres!$G$2,$Q384=Parametres!$G$3),K384,E384)</f>
        <v>1090.08</v>
      </c>
      <c r="Q384" s="656" t="str">
        <f t="shared" si="188"/>
        <v>7-Dépenses</v>
      </c>
      <c r="R384" s="655" t="str">
        <f t="shared" si="189"/>
        <v>6186</v>
      </c>
      <c r="S384" s="656">
        <f t="shared" si="190"/>
        <v>0</v>
      </c>
      <c r="T384" s="658" t="str">
        <f>+VLOOKUP($L384,Data_Validation!$A:$D,1,0)</f>
        <v>6586</v>
      </c>
      <c r="U384" s="658" t="str">
        <f>+VLOOKUP($L384,Data_Validation!$A:$D,3,0)</f>
        <v>Carrosserie</v>
      </c>
      <c r="V384" s="658" t="str">
        <f>+VLOOKUP($L384,Data_Validation!$A:$D,4,0)</f>
        <v>Assurances</v>
      </c>
      <c r="W384" s="658" t="str">
        <f>+VLOOKUP($L384,Data_Validation!$A:$E,5,0)</f>
        <v>$</v>
      </c>
      <c r="X384" s="658">
        <f>+VLOOKUP($L384,Data_Validation!$A:$F,6,0)</f>
        <v>0</v>
      </c>
    </row>
    <row r="385" spans="1:24" ht="15" customHeight="1">
      <c r="A385" s="1190" t="s">
        <v>1273</v>
      </c>
      <c r="B385" s="1190" t="s">
        <v>2629</v>
      </c>
      <c r="C385" s="1192">
        <v>1087.17</v>
      </c>
      <c r="D385" s="1192">
        <v>362.39</v>
      </c>
      <c r="E385" s="1192">
        <v>1449.56</v>
      </c>
      <c r="F385" s="1190" t="s">
        <v>1156</v>
      </c>
      <c r="G385" s="1190" t="s">
        <v>1222</v>
      </c>
      <c r="H385" s="1160"/>
      <c r="I385" s="1159"/>
      <c r="J385" s="1159"/>
      <c r="K385" s="1159"/>
      <c r="L385" s="655" t="str">
        <f t="shared" si="186"/>
        <v>6587</v>
      </c>
      <c r="M385" s="656" t="str">
        <f t="shared" si="187"/>
        <v>TAXES FONCIERES - CAROSSERIE</v>
      </c>
      <c r="N385" s="657">
        <f>+IF(OR($Q385=Parametres!$G$2,$Q385=Parametres!$G$3),I385,C385)</f>
        <v>1087.17</v>
      </c>
      <c r="O385" s="657">
        <f>+IF(OR($Q385=Parametres!$G$2,$Q385=Parametres!$G$3),J385,D385)</f>
        <v>362.39</v>
      </c>
      <c r="P385" s="657">
        <f>+IF(OR($Q385=Parametres!$G$2,$Q385=Parametres!$G$3),K385,E385)</f>
        <v>1449.56</v>
      </c>
      <c r="Q385" s="656" t="str">
        <f t="shared" si="188"/>
        <v>7-Dépenses</v>
      </c>
      <c r="R385" s="655" t="str">
        <f t="shared" si="189"/>
        <v>6187</v>
      </c>
      <c r="S385" s="656">
        <f t="shared" si="190"/>
        <v>0</v>
      </c>
      <c r="T385" s="658" t="str">
        <f>+VLOOKUP($L385,Data_Validation!$A:$D,1,0)</f>
        <v>6587</v>
      </c>
      <c r="U385" s="658" t="str">
        <f>+VLOOKUP($L385,Data_Validation!$A:$D,3,0)</f>
        <v>Carrosserie</v>
      </c>
      <c r="V385" s="658" t="str">
        <f>+VLOOKUP($L385,Data_Validation!$A:$D,4,0)</f>
        <v>Taxes foncières</v>
      </c>
      <c r="W385" s="658" t="str">
        <f>+VLOOKUP($L385,Data_Validation!$A:$E,5,0)</f>
        <v>$</v>
      </c>
      <c r="X385" s="658">
        <f>+VLOOKUP($L385,Data_Validation!$A:$F,6,0)</f>
        <v>0</v>
      </c>
    </row>
    <row r="386" spans="1:24" ht="15" customHeight="1">
      <c r="A386" s="1190" t="s">
        <v>1274</v>
      </c>
      <c r="B386" s="1190" t="s">
        <v>2632</v>
      </c>
      <c r="C386" s="1192">
        <v>723.45</v>
      </c>
      <c r="D386" s="1192">
        <v>241.15</v>
      </c>
      <c r="E386" s="1192">
        <v>964.6</v>
      </c>
      <c r="F386" s="1190" t="s">
        <v>1156</v>
      </c>
      <c r="G386" s="1190" t="s">
        <v>1224</v>
      </c>
      <c r="H386" s="1160"/>
      <c r="I386" s="1159"/>
      <c r="J386" s="1159"/>
      <c r="K386" s="1159"/>
      <c r="L386" s="655" t="str">
        <f t="shared" si="186"/>
        <v>6593</v>
      </c>
      <c r="M386" s="656" t="str">
        <f t="shared" si="187"/>
        <v>AUTRES TAXES -CARROSSERIE</v>
      </c>
      <c r="N386" s="657">
        <f>+IF(OR($Q386=Parametres!$G$2,$Q386=Parametres!$G$3),I386,C386)</f>
        <v>723.45</v>
      </c>
      <c r="O386" s="657">
        <f>+IF(OR($Q386=Parametres!$G$2,$Q386=Parametres!$G$3),J386,D386)</f>
        <v>241.15</v>
      </c>
      <c r="P386" s="657">
        <f>+IF(OR($Q386=Parametres!$G$2,$Q386=Parametres!$G$3),K386,E386)</f>
        <v>964.6</v>
      </c>
      <c r="Q386" s="656" t="str">
        <f t="shared" si="188"/>
        <v>7-Dépenses</v>
      </c>
      <c r="R386" s="655" t="str">
        <f t="shared" si="189"/>
        <v>6193</v>
      </c>
      <c r="S386" s="656">
        <f t="shared" si="190"/>
        <v>0</v>
      </c>
      <c r="T386" s="658" t="str">
        <f>+VLOOKUP($L386,Data_Validation!$A:$D,1,0)</f>
        <v>6593</v>
      </c>
      <c r="U386" s="658" t="str">
        <f>+VLOOKUP($L386,Data_Validation!$A:$D,3,0)</f>
        <v>Carrosserie</v>
      </c>
      <c r="V386" s="658" t="str">
        <f>+VLOOKUP($L386,Data_Validation!$A:$D,4,0)</f>
        <v>Taxes d`affaires</v>
      </c>
      <c r="W386" s="658" t="str">
        <f>+VLOOKUP($L386,Data_Validation!$A:$E,5,0)</f>
        <v>$</v>
      </c>
      <c r="X386" s="658">
        <f>+VLOOKUP($L386,Data_Validation!$A:$F,6,0)</f>
        <v>0</v>
      </c>
    </row>
    <row r="387" spans="1:24" ht="15.75" customHeight="1">
      <c r="A387" s="1190" t="s">
        <v>1275</v>
      </c>
      <c r="B387" s="1190" t="s">
        <v>2634</v>
      </c>
      <c r="C387" s="1192">
        <v>1348.89</v>
      </c>
      <c r="D387" s="1192">
        <v>449.63</v>
      </c>
      <c r="E387" s="1192">
        <v>1798.52</v>
      </c>
      <c r="F387" s="1190" t="s">
        <v>1156</v>
      </c>
      <c r="G387" s="1190" t="s">
        <v>1226</v>
      </c>
      <c r="I387" s="1027"/>
      <c r="J387" s="1027"/>
      <c r="K387" s="1027"/>
      <c r="L387" s="655" t="str">
        <f t="shared" si="186"/>
        <v>6594</v>
      </c>
      <c r="M387" s="656" t="str">
        <f t="shared" si="187"/>
        <v>FRAIS PROFESSIONNEL-CARROS.</v>
      </c>
      <c r="N387" s="657">
        <f>+IF(OR($Q387=Parametres!$G$2,$Q387=Parametres!$G$3),I387,C387)</f>
        <v>1348.89</v>
      </c>
      <c r="O387" s="657">
        <f>+IF(OR($Q387=Parametres!$G$2,$Q387=Parametres!$G$3),J387,D387)</f>
        <v>449.63</v>
      </c>
      <c r="P387" s="657">
        <f>+IF(OR($Q387=Parametres!$G$2,$Q387=Parametres!$G$3),K387,E387)</f>
        <v>1798.52</v>
      </c>
      <c r="Q387" s="656" t="str">
        <f t="shared" si="188"/>
        <v>7-Dépenses</v>
      </c>
      <c r="R387" s="655" t="str">
        <f t="shared" si="189"/>
        <v>6194</v>
      </c>
      <c r="S387" s="656">
        <f t="shared" si="190"/>
        <v>0</v>
      </c>
      <c r="T387" s="658" t="str">
        <f>+VLOOKUP($L387,Data_Validation!$A:$D,1,0)</f>
        <v>6594</v>
      </c>
      <c r="U387" s="658" t="str">
        <f>+VLOOKUP($L387,Data_Validation!$A:$D,3,0)</f>
        <v>Carrosserie</v>
      </c>
      <c r="V387" s="658" t="str">
        <f>+VLOOKUP($L387,Data_Validation!$A:$D,4,0)</f>
        <v>Honoraires</v>
      </c>
      <c r="W387" s="658" t="str">
        <f>+VLOOKUP($L387,Data_Validation!$A:$E,5,0)</f>
        <v>$</v>
      </c>
      <c r="X387" s="658">
        <f>+VLOOKUP($L387,Data_Validation!$A:$F,6,0)</f>
        <v>0</v>
      </c>
    </row>
    <row r="388" spans="1:24" ht="15.75" customHeight="1">
      <c r="A388" s="1190" t="s">
        <v>1160</v>
      </c>
      <c r="B388" s="1190" t="s">
        <v>2649</v>
      </c>
      <c r="C388" s="1192">
        <v>-5354.22</v>
      </c>
      <c r="D388" s="1192">
        <v>881.44</v>
      </c>
      <c r="E388" s="1192">
        <v>-4472.78</v>
      </c>
      <c r="F388" s="1190" t="s">
        <v>1156</v>
      </c>
      <c r="G388" s="1190" t="s">
        <v>1244</v>
      </c>
      <c r="I388" s="1027"/>
      <c r="J388" s="1027"/>
      <c r="K388" s="1027"/>
      <c r="L388" s="655" t="str">
        <f t="shared" si="186"/>
        <v>6703</v>
      </c>
      <c r="M388" s="656" t="str">
        <f t="shared" si="187"/>
        <v>RELAT. A LA CLIENTELE &amp; AJUST.</v>
      </c>
      <c r="N388" s="657">
        <f>+IF(OR($Q388=Parametres!$G$2,$Q388=Parametres!$G$3),I388,C388)</f>
        <v>-5354.22</v>
      </c>
      <c r="O388" s="657">
        <f>+IF(OR($Q388=Parametres!$G$2,$Q388=Parametres!$G$3),J388,D388)</f>
        <v>881.44</v>
      </c>
      <c r="P388" s="657">
        <f>+IF(OR($Q388=Parametres!$G$2,$Q388=Parametres!$G$3),K388,E388)</f>
        <v>-4472.78</v>
      </c>
      <c r="Q388" s="656" t="str">
        <f t="shared" si="188"/>
        <v>7-Dépenses</v>
      </c>
      <c r="R388" s="655" t="str">
        <f t="shared" si="189"/>
        <v>6112</v>
      </c>
      <c r="S388" s="656">
        <f t="shared" si="190"/>
        <v>0</v>
      </c>
      <c r="T388" s="658" t="str">
        <f>+VLOOKUP($L388,Data_Validation!$A:$D,1,0)</f>
        <v>6703</v>
      </c>
      <c r="U388" s="658" t="str">
        <f>+VLOOKUP($L388,Data_Validation!$A:$D,3,0)</f>
        <v>Pièces</v>
      </c>
      <c r="V388" s="658" t="str">
        <f>+VLOOKUP($L388,Data_Validation!$A:$D,4,0)</f>
        <v>Service gratuit 2</v>
      </c>
      <c r="W388" s="658" t="str">
        <f>+VLOOKUP($L388,Data_Validation!$A:$E,5,0)</f>
        <v>$</v>
      </c>
      <c r="X388" s="658">
        <f>+VLOOKUP($L388,Data_Validation!$A:$F,6,0)</f>
        <v>0</v>
      </c>
    </row>
    <row r="389" spans="1:24" ht="15.75" customHeight="1">
      <c r="A389" s="1190" t="s">
        <v>1399</v>
      </c>
      <c r="B389" s="1190" t="s">
        <v>2652</v>
      </c>
      <c r="C389" s="1192">
        <v>859.43</v>
      </c>
      <c r="D389" s="1192">
        <v>0</v>
      </c>
      <c r="E389" s="1192">
        <v>859.43</v>
      </c>
      <c r="F389" s="1190" t="s">
        <v>1156</v>
      </c>
      <c r="G389" s="1190" t="s">
        <v>1244</v>
      </c>
      <c r="I389" s="1027"/>
      <c r="J389" s="1027"/>
      <c r="K389" s="1027"/>
      <c r="L389" s="655" t="str">
        <f t="shared" si="186"/>
        <v>6712</v>
      </c>
      <c r="M389" s="656" t="str">
        <f t="shared" si="187"/>
        <v>AUTORISATION &amp; GAR. /VEH. USAG</v>
      </c>
      <c r="N389" s="657">
        <f>+IF(OR($Q389=Parametres!$G$2,$Q389=Parametres!$G$3),I389,C389)</f>
        <v>859.43</v>
      </c>
      <c r="O389" s="657">
        <f>+IF(OR($Q389=Parametres!$G$2,$Q389=Parametres!$G$3),J389,D389)</f>
        <v>0</v>
      </c>
      <c r="P389" s="657">
        <f>+IF(OR($Q389=Parametres!$G$2,$Q389=Parametres!$G$3),K389,E389)</f>
        <v>859.43</v>
      </c>
      <c r="Q389" s="656" t="str">
        <f t="shared" si="188"/>
        <v>7-Dépenses</v>
      </c>
      <c r="R389" s="655" t="str">
        <f t="shared" si="189"/>
        <v>6112</v>
      </c>
      <c r="S389" s="656">
        <f t="shared" si="190"/>
        <v>0</v>
      </c>
      <c r="T389" s="658" t="str">
        <f>+VLOOKUP($L389,Data_Validation!$A:$D,1,0)</f>
        <v>6712</v>
      </c>
      <c r="U389" s="658" t="str">
        <f>+VLOOKUP($L389,Data_Validation!$A:$D,3,0)</f>
        <v>Pièces</v>
      </c>
      <c r="V389" s="658" t="str">
        <f>+VLOOKUP($L389,Data_Validation!$A:$D,4,0)</f>
        <v>Service gratuit 2</v>
      </c>
      <c r="W389" s="658" t="str">
        <f>+VLOOKUP($L389,Data_Validation!$A:$E,5,0)</f>
        <v>$</v>
      </c>
      <c r="X389" s="658">
        <f>+VLOOKUP($L389,Data_Validation!$A:$F,6,0)</f>
        <v>0</v>
      </c>
    </row>
    <row r="390" spans="1:24" ht="15.75" customHeight="1">
      <c r="A390" s="1190" t="s">
        <v>1168</v>
      </c>
      <c r="B390" s="1190" t="s">
        <v>2655</v>
      </c>
      <c r="C390" s="1192">
        <v>14613.47</v>
      </c>
      <c r="D390" s="1192">
        <v>4417.4399999999996</v>
      </c>
      <c r="E390" s="1192">
        <v>19030.91</v>
      </c>
      <c r="F390" s="1190" t="s">
        <v>1156</v>
      </c>
      <c r="G390" s="1190" t="s">
        <v>1169</v>
      </c>
      <c r="I390" s="1027"/>
      <c r="J390" s="1027"/>
      <c r="K390" s="1027"/>
      <c r="L390" s="655" t="str">
        <f t="shared" si="186"/>
        <v>6714</v>
      </c>
      <c r="M390" s="656" t="str">
        <f t="shared" si="187"/>
        <v>PUBLICITE</v>
      </c>
      <c r="N390" s="657">
        <f>+IF(OR($Q390=Parametres!$G$2,$Q390=Parametres!$G$3),I390,C390)</f>
        <v>14613.47</v>
      </c>
      <c r="O390" s="657">
        <f>+IF(OR($Q390=Parametres!$G$2,$Q390=Parametres!$G$3),J390,D390)</f>
        <v>4417.4399999999996</v>
      </c>
      <c r="P390" s="657">
        <f>+IF(OR($Q390=Parametres!$G$2,$Q390=Parametres!$G$3),K390,E390)</f>
        <v>19030.91</v>
      </c>
      <c r="Q390" s="656" t="str">
        <f t="shared" si="188"/>
        <v>7-Dépenses</v>
      </c>
      <c r="R390" s="655" t="str">
        <f t="shared" si="189"/>
        <v>6114</v>
      </c>
      <c r="S390" s="656">
        <f t="shared" si="190"/>
        <v>0</v>
      </c>
      <c r="T390" s="658" t="str">
        <f>+VLOOKUP($L390,Data_Validation!$A:$D,1,0)</f>
        <v>6714</v>
      </c>
      <c r="U390" s="658" t="str">
        <f>+VLOOKUP($L390,Data_Validation!$A:$D,3,0)</f>
        <v>Pièces</v>
      </c>
      <c r="V390" s="658" t="str">
        <f>+VLOOKUP($L390,Data_Validation!$A:$D,4,0)</f>
        <v>Publicité 2</v>
      </c>
      <c r="W390" s="658" t="str">
        <f>+VLOOKUP($L390,Data_Validation!$A:$E,5,0)</f>
        <v>$</v>
      </c>
      <c r="X390" s="658">
        <f>+VLOOKUP($L390,Data_Validation!$A:$F,6,0)</f>
        <v>0</v>
      </c>
    </row>
    <row r="391" spans="1:24" ht="15.75" customHeight="1">
      <c r="A391" s="1190" t="s">
        <v>1276</v>
      </c>
      <c r="B391" s="1190" t="s">
        <v>2658</v>
      </c>
      <c r="C391" s="1192">
        <v>9559.7999999999993</v>
      </c>
      <c r="D391" s="1192">
        <v>2976.99</v>
      </c>
      <c r="E391" s="1192">
        <v>12536.79</v>
      </c>
      <c r="F391" s="1190" t="s">
        <v>1156</v>
      </c>
      <c r="G391" s="1190" t="s">
        <v>1172</v>
      </c>
      <c r="I391" s="1027"/>
      <c r="J391" s="1027"/>
      <c r="K391" s="1027"/>
      <c r="L391" s="655" t="str">
        <f t="shared" si="186"/>
        <v>6721</v>
      </c>
      <c r="M391" s="656" t="str">
        <f t="shared" si="187"/>
        <v>SALAIRES - PROPRIEATIRES</v>
      </c>
      <c r="N391" s="657">
        <f>+IF(OR($Q391=Parametres!$G$2,$Q391=Parametres!$G$3),I391,C391)</f>
        <v>9559.7999999999993</v>
      </c>
      <c r="O391" s="657">
        <f>+IF(OR($Q391=Parametres!$G$2,$Q391=Parametres!$G$3),J391,D391)</f>
        <v>2976.99</v>
      </c>
      <c r="P391" s="657">
        <f>+IF(OR($Q391=Parametres!$G$2,$Q391=Parametres!$G$3),K391,E391)</f>
        <v>12536.79</v>
      </c>
      <c r="Q391" s="656" t="str">
        <f t="shared" si="188"/>
        <v>7-Dépenses</v>
      </c>
      <c r="R391" s="655" t="str">
        <f t="shared" si="189"/>
        <v>6121</v>
      </c>
      <c r="S391" s="656">
        <f t="shared" si="190"/>
        <v>0</v>
      </c>
      <c r="T391" s="658" t="str">
        <f>+VLOOKUP($L391,Data_Validation!$A:$D,1,0)</f>
        <v>6721</v>
      </c>
      <c r="U391" s="658" t="str">
        <f>+VLOOKUP($L391,Data_Validation!$A:$D,3,0)</f>
        <v>Pièces</v>
      </c>
      <c r="V391" s="658" t="str">
        <f>+VLOOKUP($L391,Data_Validation!$A:$D,4,0)</f>
        <v>Salaires propriétaire</v>
      </c>
      <c r="W391" s="658" t="str">
        <f>+VLOOKUP($L391,Data_Validation!$A:$E,5,0)</f>
        <v>$</v>
      </c>
      <c r="X391" s="658">
        <f>+VLOOKUP($L391,Data_Validation!$A:$F,6,0)</f>
        <v>0</v>
      </c>
    </row>
    <row r="392" spans="1:24" ht="15.75" customHeight="1">
      <c r="A392" s="1190" t="s">
        <v>1173</v>
      </c>
      <c r="B392" s="1190" t="s">
        <v>2661</v>
      </c>
      <c r="C392" s="1192">
        <v>27715.87</v>
      </c>
      <c r="D392" s="1192">
        <v>7005.54</v>
      </c>
      <c r="E392" s="1192">
        <v>34721.410000000003</v>
      </c>
      <c r="F392" s="1190" t="s">
        <v>1156</v>
      </c>
      <c r="G392" s="1190" t="s">
        <v>1174</v>
      </c>
      <c r="I392" s="1027"/>
      <c r="J392" s="1027"/>
      <c r="K392" s="1027"/>
      <c r="L392" s="655" t="str">
        <f t="shared" si="186"/>
        <v>6722</v>
      </c>
      <c r="M392" s="656" t="str">
        <f t="shared" si="187"/>
        <v>SAL SUPERVISION / GERANT</v>
      </c>
      <c r="N392" s="657">
        <f>+IF(OR($Q392=Parametres!$G$2,$Q392=Parametres!$G$3),I392,C392)</f>
        <v>27715.87</v>
      </c>
      <c r="O392" s="657">
        <f>+IF(OR($Q392=Parametres!$G$2,$Q392=Parametres!$G$3),J392,D392)</f>
        <v>7005.54</v>
      </c>
      <c r="P392" s="657">
        <f>+IF(OR($Q392=Parametres!$G$2,$Q392=Parametres!$G$3),K392,E392)</f>
        <v>34721.410000000003</v>
      </c>
      <c r="Q392" s="656" t="str">
        <f t="shared" si="188"/>
        <v>7-Dépenses</v>
      </c>
      <c r="R392" s="655" t="str">
        <f t="shared" si="189"/>
        <v>6122</v>
      </c>
      <c r="S392" s="656">
        <f t="shared" si="190"/>
        <v>0</v>
      </c>
      <c r="T392" s="658" t="str">
        <f>+VLOOKUP($L392,Data_Validation!$A:$D,1,0)</f>
        <v>6722</v>
      </c>
      <c r="U392" s="658" t="str">
        <f>+VLOOKUP($L392,Data_Validation!$A:$D,3,0)</f>
        <v>Pièces</v>
      </c>
      <c r="V392" s="658" t="str">
        <f>+VLOOKUP($L392,Data_Validation!$A:$D,4,0)</f>
        <v>Salaires cadres</v>
      </c>
      <c r="W392" s="658" t="str">
        <f>+VLOOKUP($L392,Data_Validation!$A:$E,5,0)</f>
        <v>$</v>
      </c>
      <c r="X392" s="658">
        <f>+VLOOKUP($L392,Data_Validation!$A:$F,6,0)</f>
        <v>0</v>
      </c>
    </row>
    <row r="393" spans="1:24" ht="15.75" customHeight="1">
      <c r="A393" s="1190" t="s">
        <v>1175</v>
      </c>
      <c r="B393" s="1190" t="s">
        <v>2664</v>
      </c>
      <c r="C393" s="1192">
        <v>70174.19</v>
      </c>
      <c r="D393" s="1192">
        <v>24992.33</v>
      </c>
      <c r="E393" s="1192">
        <v>95166.52</v>
      </c>
      <c r="F393" s="1190" t="s">
        <v>1156</v>
      </c>
      <c r="G393" s="1190" t="s">
        <v>1176</v>
      </c>
      <c r="I393" s="1027"/>
      <c r="J393" s="1027"/>
      <c r="K393" s="1027"/>
      <c r="L393" s="655" t="str">
        <f t="shared" si="186"/>
        <v>6723</v>
      </c>
      <c r="M393" s="656" t="str">
        <f t="shared" si="187"/>
        <v>SAL. &amp; RENUM. - CLERICAL</v>
      </c>
      <c r="N393" s="657">
        <f>+IF(OR($Q393=Parametres!$G$2,$Q393=Parametres!$G$3),I393,C393)</f>
        <v>70174.19</v>
      </c>
      <c r="O393" s="657">
        <f>+IF(OR($Q393=Parametres!$G$2,$Q393=Parametres!$G$3),J393,D393)</f>
        <v>24992.33</v>
      </c>
      <c r="P393" s="657">
        <f>+IF(OR($Q393=Parametres!$G$2,$Q393=Parametres!$G$3),K393,E393)</f>
        <v>95166.52</v>
      </c>
      <c r="Q393" s="656" t="str">
        <f t="shared" si="188"/>
        <v>7-Dépenses</v>
      </c>
      <c r="R393" s="655" t="str">
        <f t="shared" si="189"/>
        <v>6123</v>
      </c>
      <c r="S393" s="656">
        <f t="shared" si="190"/>
        <v>0</v>
      </c>
      <c r="T393" s="658" t="str">
        <f>+VLOOKUP($L393,Data_Validation!$A:$D,1,0)</f>
        <v>6723</v>
      </c>
      <c r="U393" s="658" t="str">
        <f>+VLOOKUP($L393,Data_Validation!$A:$D,3,0)</f>
        <v>Pièces</v>
      </c>
      <c r="V393" s="658" t="str">
        <f>+VLOOKUP($L393,Data_Validation!$A:$D,4,0)</f>
        <v>Salaires commis</v>
      </c>
      <c r="W393" s="658" t="str">
        <f>+VLOOKUP($L393,Data_Validation!$A:$E,5,0)</f>
        <v>$</v>
      </c>
      <c r="X393" s="658">
        <f>+VLOOKUP($L393,Data_Validation!$A:$F,6,0)</f>
        <v>0</v>
      </c>
    </row>
    <row r="394" spans="1:24" ht="15.75" customHeight="1">
      <c r="A394" s="1190" t="s">
        <v>1177</v>
      </c>
      <c r="B394" s="1190" t="s">
        <v>2667</v>
      </c>
      <c r="C394" s="1192">
        <v>6907.7</v>
      </c>
      <c r="D394" s="1192">
        <v>190.37</v>
      </c>
      <c r="E394" s="1192">
        <v>7098.07</v>
      </c>
      <c r="F394" s="1190" t="s">
        <v>1156</v>
      </c>
      <c r="G394" s="1190" t="s">
        <v>1178</v>
      </c>
      <c r="I394" s="1027"/>
      <c r="J394" s="1027"/>
      <c r="K394" s="1027"/>
      <c r="L394" s="655" t="str">
        <f t="shared" si="186"/>
        <v>6724</v>
      </c>
      <c r="M394" s="656" t="str">
        <f t="shared" si="187"/>
        <v>SALAIRES &amp; RENUM. - AUTRES</v>
      </c>
      <c r="N394" s="657">
        <f>+IF(OR($Q394=Parametres!$G$2,$Q394=Parametres!$G$3),I394,C394)</f>
        <v>6907.7</v>
      </c>
      <c r="O394" s="657">
        <f>+IF(OR($Q394=Parametres!$G$2,$Q394=Parametres!$G$3),J394,D394)</f>
        <v>190.37</v>
      </c>
      <c r="P394" s="657">
        <f>+IF(OR($Q394=Parametres!$G$2,$Q394=Parametres!$G$3),K394,E394)</f>
        <v>7098.07</v>
      </c>
      <c r="Q394" s="656" t="str">
        <f t="shared" si="188"/>
        <v>7-Dépenses</v>
      </c>
      <c r="R394" s="655" t="str">
        <f t="shared" si="189"/>
        <v>6124</v>
      </c>
      <c r="S394" s="656">
        <f t="shared" si="190"/>
        <v>0</v>
      </c>
      <c r="T394" s="658" t="str">
        <f>+VLOOKUP($L394,Data_Validation!$A:$D,1,0)</f>
        <v>6724</v>
      </c>
      <c r="U394" s="658" t="str">
        <f>+VLOOKUP($L394,Data_Validation!$A:$D,3,0)</f>
        <v>Pièces</v>
      </c>
      <c r="V394" s="658" t="str">
        <f>+VLOOKUP($L394,Data_Validation!$A:$D,4,0)</f>
        <v>Salaires autres</v>
      </c>
      <c r="W394" s="658" t="str">
        <f>+VLOOKUP($L394,Data_Validation!$A:$E,5,0)</f>
        <v>$</v>
      </c>
      <c r="X394" s="658">
        <f>+VLOOKUP($L394,Data_Validation!$A:$F,6,0)</f>
        <v>0</v>
      </c>
    </row>
    <row r="395" spans="1:24" ht="15.75" customHeight="1">
      <c r="A395" s="1190" t="s">
        <v>1277</v>
      </c>
      <c r="B395" s="1190" t="s">
        <v>2670</v>
      </c>
      <c r="C395" s="1192">
        <v>12179.82</v>
      </c>
      <c r="D395" s="1192">
        <v>3726.86</v>
      </c>
      <c r="E395" s="1192">
        <v>15906.68</v>
      </c>
      <c r="F395" s="1190" t="s">
        <v>1156</v>
      </c>
      <c r="G395" s="1190" t="s">
        <v>1180</v>
      </c>
      <c r="I395" s="1027"/>
      <c r="J395" s="1027"/>
      <c r="K395" s="1027"/>
      <c r="L395" s="655" t="str">
        <f t="shared" si="186"/>
        <v>6729</v>
      </c>
      <c r="M395" s="656" t="str">
        <f t="shared" si="187"/>
        <v>ABSENCES, VACANCES, ETC</v>
      </c>
      <c r="N395" s="657">
        <f>+IF(OR($Q395=Parametres!$G$2,$Q395=Parametres!$G$3),I395,C395)</f>
        <v>12179.82</v>
      </c>
      <c r="O395" s="657">
        <f>+IF(OR($Q395=Parametres!$G$2,$Q395=Parametres!$G$3),J395,D395)</f>
        <v>3726.86</v>
      </c>
      <c r="P395" s="657">
        <f>+IF(OR($Q395=Parametres!$G$2,$Q395=Parametres!$G$3),K395,E395)</f>
        <v>15906.68</v>
      </c>
      <c r="Q395" s="656" t="str">
        <f t="shared" si="188"/>
        <v>7-Dépenses</v>
      </c>
      <c r="R395" s="655" t="str">
        <f t="shared" si="189"/>
        <v>6129</v>
      </c>
      <c r="S395" s="656">
        <f t="shared" si="190"/>
        <v>0</v>
      </c>
      <c r="T395" s="658" t="str">
        <f>+VLOOKUP($L395,Data_Validation!$A:$D,1,0)</f>
        <v>6729</v>
      </c>
      <c r="U395" s="658" t="str">
        <f>+VLOOKUP($L395,Data_Validation!$A:$D,3,0)</f>
        <v>Pièces</v>
      </c>
      <c r="V395" s="658" t="str">
        <f>+VLOOKUP($L395,Data_Validation!$A:$D,4,0)</f>
        <v>Salaires en absences</v>
      </c>
      <c r="W395" s="658" t="str">
        <f>+VLOOKUP($L395,Data_Validation!$A:$E,5,0)</f>
        <v>$</v>
      </c>
      <c r="X395" s="658">
        <f>+VLOOKUP($L395,Data_Validation!$A:$F,6,0)</f>
        <v>0</v>
      </c>
    </row>
    <row r="396" spans="1:24" ht="15.75" customHeight="1">
      <c r="A396" s="1190" t="s">
        <v>1181</v>
      </c>
      <c r="B396" s="1190" t="s">
        <v>2673</v>
      </c>
      <c r="C396" s="1192">
        <v>3037.56</v>
      </c>
      <c r="D396" s="1192">
        <v>1204.1600000000001</v>
      </c>
      <c r="E396" s="1192">
        <v>4241.72</v>
      </c>
      <c r="F396" s="1190" t="s">
        <v>1156</v>
      </c>
      <c r="G396" s="1190" t="s">
        <v>1182</v>
      </c>
      <c r="I396" s="1027"/>
      <c r="J396" s="1027"/>
      <c r="K396" s="1027"/>
      <c r="L396" s="655" t="str">
        <f t="shared" si="186"/>
        <v>6731</v>
      </c>
      <c r="M396" s="656" t="str">
        <f t="shared" si="187"/>
        <v>CSST</v>
      </c>
      <c r="N396" s="657">
        <f>+IF(OR($Q396=Parametres!$G$2,$Q396=Parametres!$G$3),I396,C396)</f>
        <v>3037.56</v>
      </c>
      <c r="O396" s="657">
        <f>+IF(OR($Q396=Parametres!$G$2,$Q396=Parametres!$G$3),J396,D396)</f>
        <v>1204.1600000000001</v>
      </c>
      <c r="P396" s="657">
        <f>+IF(OR($Q396=Parametres!$G$2,$Q396=Parametres!$G$3),K396,E396)</f>
        <v>4241.72</v>
      </c>
      <c r="Q396" s="656" t="str">
        <f t="shared" si="188"/>
        <v>7-Dépenses</v>
      </c>
      <c r="R396" s="655" t="str">
        <f t="shared" si="189"/>
        <v>6131</v>
      </c>
      <c r="S396" s="656">
        <f t="shared" si="190"/>
        <v>0</v>
      </c>
      <c r="T396" s="658" t="str">
        <f>+VLOOKUP($L396,Data_Validation!$A:$D,1,0)</f>
        <v>6731</v>
      </c>
      <c r="U396" s="658" t="str">
        <f>+VLOOKUP($L396,Data_Validation!$A:$D,3,0)</f>
        <v>Pièces</v>
      </c>
      <c r="V396" s="658" t="str">
        <f>+VLOOKUP($L396,Data_Validation!$A:$D,4,0)</f>
        <v>Csst</v>
      </c>
      <c r="W396" s="658" t="str">
        <f>+VLOOKUP($L396,Data_Validation!$A:$E,5,0)</f>
        <v>$</v>
      </c>
      <c r="X396" s="658">
        <f>+VLOOKUP($L396,Data_Validation!$A:$F,6,0)</f>
        <v>0</v>
      </c>
    </row>
    <row r="397" spans="1:24" ht="15.75" customHeight="1">
      <c r="A397" s="1190" t="s">
        <v>1183</v>
      </c>
      <c r="B397" s="1190" t="s">
        <v>2676</v>
      </c>
      <c r="C397" s="1192">
        <v>22373.71</v>
      </c>
      <c r="D397" s="1192">
        <v>6777.66</v>
      </c>
      <c r="E397" s="1192">
        <v>29151.37</v>
      </c>
      <c r="F397" s="1190" t="s">
        <v>1156</v>
      </c>
      <c r="G397" s="1190" t="s">
        <v>1184</v>
      </c>
      <c r="I397" s="1027"/>
      <c r="J397" s="1027"/>
      <c r="K397" s="1027"/>
      <c r="L397" s="655" t="str">
        <f t="shared" si="186"/>
        <v>6732</v>
      </c>
      <c r="M397" s="656" t="str">
        <f t="shared" si="187"/>
        <v>RRQ RAMQ AC</v>
      </c>
      <c r="N397" s="657">
        <f>+IF(OR($Q397=Parametres!$G$2,$Q397=Parametres!$G$3),I397,C397)</f>
        <v>22373.71</v>
      </c>
      <c r="O397" s="657">
        <f>+IF(OR($Q397=Parametres!$G$2,$Q397=Parametres!$G$3),J397,D397)</f>
        <v>6777.66</v>
      </c>
      <c r="P397" s="657">
        <f>+IF(OR($Q397=Parametres!$G$2,$Q397=Parametres!$G$3),K397,E397)</f>
        <v>29151.37</v>
      </c>
      <c r="Q397" s="656" t="str">
        <f t="shared" si="188"/>
        <v>7-Dépenses</v>
      </c>
      <c r="R397" s="655" t="str">
        <f t="shared" si="189"/>
        <v>6132</v>
      </c>
      <c r="S397" s="656">
        <f t="shared" si="190"/>
        <v>0</v>
      </c>
      <c r="T397" s="658" t="str">
        <f>+VLOOKUP($L397,Data_Validation!$A:$D,1,0)</f>
        <v>6732</v>
      </c>
      <c r="U397" s="658" t="str">
        <f>+VLOOKUP($L397,Data_Validation!$A:$D,3,0)</f>
        <v>Pièces</v>
      </c>
      <c r="V397" s="658" t="str">
        <f>+VLOOKUP($L397,Data_Validation!$A:$D,4,0)</f>
        <v>Déduction à la source</v>
      </c>
      <c r="W397" s="658" t="str">
        <f>+VLOOKUP($L397,Data_Validation!$A:$E,5,0)</f>
        <v>$</v>
      </c>
      <c r="X397" s="658">
        <f>+VLOOKUP($L397,Data_Validation!$A:$F,6,0)</f>
        <v>0</v>
      </c>
    </row>
    <row r="398" spans="1:24" ht="15.75" customHeight="1">
      <c r="A398" s="1190" t="s">
        <v>1278</v>
      </c>
      <c r="B398" s="1190" t="s">
        <v>2679</v>
      </c>
      <c r="C398" s="1192">
        <v>2417.63</v>
      </c>
      <c r="D398" s="1192">
        <v>572.45000000000005</v>
      </c>
      <c r="E398" s="1192">
        <v>2990.08</v>
      </c>
      <c r="F398" s="1190" t="s">
        <v>1156</v>
      </c>
      <c r="G398" s="1190" t="s">
        <v>1186</v>
      </c>
      <c r="I398" s="1027"/>
      <c r="J398" s="1027"/>
      <c r="K398" s="1027"/>
      <c r="L398" s="655" t="str">
        <f t="shared" si="186"/>
        <v>6733</v>
      </c>
      <c r="M398" s="656" t="str">
        <f t="shared" si="187"/>
        <v>FOND PENSION - PIECES</v>
      </c>
      <c r="N398" s="657">
        <f>+IF(OR($Q398=Parametres!$G$2,$Q398=Parametres!$G$3),I398,C398)</f>
        <v>2417.63</v>
      </c>
      <c r="O398" s="657">
        <f>+IF(OR($Q398=Parametres!$G$2,$Q398=Parametres!$G$3),J398,D398)</f>
        <v>572.45000000000005</v>
      </c>
      <c r="P398" s="657">
        <f>+IF(OR($Q398=Parametres!$G$2,$Q398=Parametres!$G$3),K398,E398)</f>
        <v>2990.08</v>
      </c>
      <c r="Q398" s="656" t="str">
        <f t="shared" si="188"/>
        <v>7-Dépenses</v>
      </c>
      <c r="R398" s="655" t="str">
        <f t="shared" si="189"/>
        <v>6133</v>
      </c>
      <c r="S398" s="656">
        <f t="shared" si="190"/>
        <v>0</v>
      </c>
      <c r="T398" s="658" t="str">
        <f>+VLOOKUP($L398,Data_Validation!$A:$D,1,0)</f>
        <v>6733</v>
      </c>
      <c r="U398" s="658" t="str">
        <f>+VLOOKUP($L398,Data_Validation!$A:$D,3,0)</f>
        <v>Pièces</v>
      </c>
      <c r="V398" s="658" t="str">
        <f>+VLOOKUP($L398,Data_Validation!$A:$D,4,0)</f>
        <v>Déduction à la source</v>
      </c>
      <c r="W398" s="658" t="str">
        <f>+VLOOKUP($L398,Data_Validation!$A:$E,5,0)</f>
        <v>$</v>
      </c>
      <c r="X398" s="658">
        <f>+VLOOKUP($L398,Data_Validation!$A:$F,6,0)</f>
        <v>0</v>
      </c>
    </row>
    <row r="399" spans="1:24" ht="15.75" customHeight="1">
      <c r="A399" s="1190" t="s">
        <v>1233</v>
      </c>
      <c r="B399" s="1190" t="s">
        <v>2682</v>
      </c>
      <c r="C399" s="1192">
        <v>4373.49</v>
      </c>
      <c r="D399" s="1192">
        <v>1026.28</v>
      </c>
      <c r="E399" s="1192">
        <v>5399.77</v>
      </c>
      <c r="F399" s="1190" t="s">
        <v>1156</v>
      </c>
      <c r="G399" s="1190" t="s">
        <v>1188</v>
      </c>
      <c r="I399" s="1027"/>
      <c r="J399" s="1027"/>
      <c r="K399" s="1027"/>
      <c r="L399" s="655" t="str">
        <f t="shared" si="186"/>
        <v>6739</v>
      </c>
      <c r="M399" s="656" t="str">
        <f t="shared" si="187"/>
        <v>ASSURANCE GROUPE</v>
      </c>
      <c r="N399" s="657">
        <f>+IF(OR($Q399=Parametres!$G$2,$Q399=Parametres!$G$3),I399,C399)</f>
        <v>4373.49</v>
      </c>
      <c r="O399" s="657">
        <f>+IF(OR($Q399=Parametres!$G$2,$Q399=Parametres!$G$3),J399,D399)</f>
        <v>1026.28</v>
      </c>
      <c r="P399" s="657">
        <f>+IF(OR($Q399=Parametres!$G$2,$Q399=Parametres!$G$3),K399,E399)</f>
        <v>5399.77</v>
      </c>
      <c r="Q399" s="656" t="str">
        <f t="shared" si="188"/>
        <v>7-Dépenses</v>
      </c>
      <c r="R399" s="655" t="str">
        <f t="shared" si="189"/>
        <v>6139</v>
      </c>
      <c r="S399" s="656">
        <f t="shared" si="190"/>
        <v>0</v>
      </c>
      <c r="T399" s="658" t="str">
        <f>+VLOOKUP($L399,Data_Validation!$A:$D,1,0)</f>
        <v>6739</v>
      </c>
      <c r="U399" s="658" t="str">
        <f>+VLOOKUP($L399,Data_Validation!$A:$D,3,0)</f>
        <v>Pièces</v>
      </c>
      <c r="V399" s="658" t="str">
        <f>+VLOOKUP($L399,Data_Validation!$A:$D,4,0)</f>
        <v>Bénéfices marginaux</v>
      </c>
      <c r="W399" s="658" t="str">
        <f>+VLOOKUP($L399,Data_Validation!$A:$E,5,0)</f>
        <v>$</v>
      </c>
      <c r="X399" s="658">
        <f>+VLOOKUP($L399,Data_Validation!$A:$F,6,0)</f>
        <v>0</v>
      </c>
    </row>
    <row r="400" spans="1:24" ht="15.75" customHeight="1">
      <c r="A400" s="1190" t="s">
        <v>1189</v>
      </c>
      <c r="B400" s="1190" t="s">
        <v>2686</v>
      </c>
      <c r="C400" s="1192">
        <v>1511.4</v>
      </c>
      <c r="D400" s="1192">
        <v>65.61</v>
      </c>
      <c r="E400" s="1192">
        <v>1577.01</v>
      </c>
      <c r="F400" s="1190" t="s">
        <v>1156</v>
      </c>
      <c r="G400" s="1190" t="s">
        <v>1190</v>
      </c>
      <c r="I400" s="1027"/>
      <c r="J400" s="1027"/>
      <c r="K400" s="1027"/>
      <c r="L400" s="655" t="str">
        <f t="shared" si="186"/>
        <v>6742</v>
      </c>
      <c r="M400" s="656" t="str">
        <f t="shared" si="187"/>
        <v>FOURNITURES &amp; PETITS OUTILS</v>
      </c>
      <c r="N400" s="657">
        <f>+IF(OR($Q400=Parametres!$G$2,$Q400=Parametres!$G$3),I400,C400)</f>
        <v>1511.4</v>
      </c>
      <c r="O400" s="657">
        <f>+IF(OR($Q400=Parametres!$G$2,$Q400=Parametres!$G$3),J400,D400)</f>
        <v>65.61</v>
      </c>
      <c r="P400" s="657">
        <f>+IF(OR($Q400=Parametres!$G$2,$Q400=Parametres!$G$3),K400,E400)</f>
        <v>1577.01</v>
      </c>
      <c r="Q400" s="656" t="str">
        <f t="shared" si="188"/>
        <v>7-Dépenses</v>
      </c>
      <c r="R400" s="655" t="str">
        <f t="shared" si="189"/>
        <v>6142</v>
      </c>
      <c r="S400" s="656">
        <f t="shared" si="190"/>
        <v>0</v>
      </c>
      <c r="T400" s="658" t="str">
        <f>+VLOOKUP($L400,Data_Validation!$A:$D,1,0)</f>
        <v>6742</v>
      </c>
      <c r="U400" s="658" t="str">
        <f>+VLOOKUP($L400,Data_Validation!$A:$D,3,0)</f>
        <v>Pièces</v>
      </c>
      <c r="V400" s="658" t="str">
        <f>+VLOOKUP($L400,Data_Validation!$A:$D,4,0)</f>
        <v>Fournitures autres</v>
      </c>
      <c r="W400" s="658" t="str">
        <f>+VLOOKUP($L400,Data_Validation!$A:$E,5,0)</f>
        <v>$</v>
      </c>
      <c r="X400" s="658">
        <f>+VLOOKUP($L400,Data_Validation!$A:$F,6,0)</f>
        <v>0</v>
      </c>
    </row>
    <row r="401" spans="1:24" ht="15.75" customHeight="1">
      <c r="A401" s="1190" t="s">
        <v>1193</v>
      </c>
      <c r="B401" s="1190" t="s">
        <v>2692</v>
      </c>
      <c r="C401" s="1192">
        <v>601.75</v>
      </c>
      <c r="D401" s="1192">
        <v>79.75</v>
      </c>
      <c r="E401" s="1192">
        <v>681.5</v>
      </c>
      <c r="F401" s="1190" t="s">
        <v>1156</v>
      </c>
      <c r="G401" s="1190" t="s">
        <v>1194</v>
      </c>
      <c r="I401" s="1027"/>
      <c r="J401" s="1027"/>
      <c r="K401" s="1027"/>
      <c r="L401" s="655" t="str">
        <f t="shared" si="186"/>
        <v>6744</v>
      </c>
      <c r="M401" s="656" t="str">
        <f t="shared" si="187"/>
        <v>FORMATION</v>
      </c>
      <c r="N401" s="657">
        <f>+IF(OR($Q401=Parametres!$G$2,$Q401=Parametres!$G$3),I401,C401)</f>
        <v>601.75</v>
      </c>
      <c r="O401" s="657">
        <f>+IF(OR($Q401=Parametres!$G$2,$Q401=Parametres!$G$3),J401,D401)</f>
        <v>79.75</v>
      </c>
      <c r="P401" s="657">
        <f>+IF(OR($Q401=Parametres!$G$2,$Q401=Parametres!$G$3),K401,E401)</f>
        <v>681.5</v>
      </c>
      <c r="Q401" s="656" t="str">
        <f t="shared" si="188"/>
        <v>7-Dépenses</v>
      </c>
      <c r="R401" s="655" t="str">
        <f t="shared" si="189"/>
        <v>6144</v>
      </c>
      <c r="S401" s="656">
        <f t="shared" si="190"/>
        <v>0</v>
      </c>
      <c r="T401" s="658" t="str">
        <f>+VLOOKUP($L401,Data_Validation!$A:$D,1,0)</f>
        <v>6744</v>
      </c>
      <c r="U401" s="658" t="str">
        <f>+VLOOKUP($L401,Data_Validation!$A:$D,3,0)</f>
        <v>Pièces</v>
      </c>
      <c r="V401" s="658" t="str">
        <f>+VLOOKUP($L401,Data_Validation!$A:$D,4,0)</f>
        <v>Formation</v>
      </c>
      <c r="W401" s="658" t="str">
        <f>+VLOOKUP($L401,Data_Validation!$A:$E,5,0)</f>
        <v>$</v>
      </c>
      <c r="X401" s="658">
        <f>+VLOOKUP($L401,Data_Validation!$A:$F,6,0)</f>
        <v>0</v>
      </c>
    </row>
    <row r="402" spans="1:24" ht="15.75" customHeight="1">
      <c r="A402" s="1190" t="s">
        <v>1195</v>
      </c>
      <c r="B402" s="1190" t="s">
        <v>2695</v>
      </c>
      <c r="C402" s="1192">
        <v>3809.43</v>
      </c>
      <c r="D402" s="1192">
        <v>1271.42</v>
      </c>
      <c r="E402" s="1192">
        <v>5080.8500000000004</v>
      </c>
      <c r="F402" s="1190" t="s">
        <v>1156</v>
      </c>
      <c r="G402" s="1190" t="s">
        <v>1196</v>
      </c>
      <c r="I402" s="1027"/>
      <c r="J402" s="1027"/>
      <c r="K402" s="1027"/>
      <c r="L402" s="655" t="str">
        <f t="shared" si="186"/>
        <v>6745</v>
      </c>
      <c r="M402" s="656" t="str">
        <f t="shared" si="187"/>
        <v>VEHICULE DE COMPAGNIE - DEPENS</v>
      </c>
      <c r="N402" s="657">
        <f>+IF(OR($Q402=Parametres!$G$2,$Q402=Parametres!$G$3),I402,C402)</f>
        <v>3809.43</v>
      </c>
      <c r="O402" s="657">
        <f>+IF(OR($Q402=Parametres!$G$2,$Q402=Parametres!$G$3),J402,D402)</f>
        <v>1271.42</v>
      </c>
      <c r="P402" s="657">
        <f>+IF(OR($Q402=Parametres!$G$2,$Q402=Parametres!$G$3),K402,E402)</f>
        <v>5080.8500000000004</v>
      </c>
      <c r="Q402" s="656" t="str">
        <f t="shared" si="188"/>
        <v>7-Dépenses</v>
      </c>
      <c r="R402" s="655" t="str">
        <f t="shared" si="189"/>
        <v>6145</v>
      </c>
      <c r="S402" s="656">
        <f t="shared" si="190"/>
        <v>0</v>
      </c>
      <c r="T402" s="658" t="str">
        <f>+VLOOKUP($L402,Data_Validation!$A:$D,1,0)</f>
        <v>6745</v>
      </c>
      <c r="U402" s="658" t="str">
        <f>+VLOOKUP($L402,Data_Validation!$A:$D,3,0)</f>
        <v>Pièces</v>
      </c>
      <c r="V402" s="658" t="str">
        <f>+VLOOKUP($L402,Data_Validation!$A:$D,4,0)</f>
        <v>Frais véhicules de cie</v>
      </c>
      <c r="W402" s="658" t="str">
        <f>+VLOOKUP($L402,Data_Validation!$A:$E,5,0)</f>
        <v>$</v>
      </c>
      <c r="X402" s="658">
        <f>+VLOOKUP($L402,Data_Validation!$A:$F,6,0)</f>
        <v>0</v>
      </c>
    </row>
    <row r="403" spans="1:24" ht="15.75" customHeight="1">
      <c r="A403" s="1190" t="s">
        <v>1197</v>
      </c>
      <c r="B403" s="1190" t="s">
        <v>2698</v>
      </c>
      <c r="C403" s="1192">
        <v>-342.82</v>
      </c>
      <c r="D403" s="1192">
        <v>-52.37</v>
      </c>
      <c r="E403" s="1192">
        <v>-395.19</v>
      </c>
      <c r="F403" s="1190" t="s">
        <v>1156</v>
      </c>
      <c r="G403" s="1190" t="s">
        <v>1198</v>
      </c>
      <c r="I403" s="1027"/>
      <c r="J403" s="1027"/>
      <c r="K403" s="1027"/>
      <c r="L403" s="655" t="str">
        <f t="shared" si="186"/>
        <v>6747</v>
      </c>
      <c r="M403" s="656" t="str">
        <f t="shared" si="187"/>
        <v>FRET/EXPRESS/TRANS. PAR CAMION</v>
      </c>
      <c r="N403" s="657">
        <f>+IF(OR($Q403=Parametres!$G$2,$Q403=Parametres!$G$3),I403,C403)</f>
        <v>-342.82</v>
      </c>
      <c r="O403" s="657">
        <f>+IF(OR($Q403=Parametres!$G$2,$Q403=Parametres!$G$3),J403,D403)</f>
        <v>-52.37</v>
      </c>
      <c r="P403" s="657">
        <f>+IF(OR($Q403=Parametres!$G$2,$Q403=Parametres!$G$3),K403,E403)</f>
        <v>-395.19</v>
      </c>
      <c r="Q403" s="656" t="str">
        <f t="shared" si="188"/>
        <v>7-Dépenses</v>
      </c>
      <c r="R403" s="655" t="str">
        <f t="shared" si="189"/>
        <v>6147</v>
      </c>
      <c r="S403" s="656">
        <f t="shared" si="190"/>
        <v>0</v>
      </c>
      <c r="T403" s="658" t="str">
        <f>+VLOOKUP($L403,Data_Validation!$A:$D,1,0)</f>
        <v>6747</v>
      </c>
      <c r="U403" s="658" t="str">
        <f>+VLOOKUP($L403,Data_Validation!$A:$D,3,0)</f>
        <v>Pièces</v>
      </c>
      <c r="V403" s="658" t="str">
        <f>+VLOOKUP($L403,Data_Validation!$A:$D,4,0)</f>
        <v>Frais postaux</v>
      </c>
      <c r="W403" s="658" t="str">
        <f>+VLOOKUP($L403,Data_Validation!$A:$E,5,0)</f>
        <v>$</v>
      </c>
      <c r="X403" s="658">
        <f>+VLOOKUP($L403,Data_Validation!$A:$F,6,0)</f>
        <v>0</v>
      </c>
    </row>
    <row r="404" spans="1:24" ht="15.75" customHeight="1">
      <c r="A404" s="1190" t="s">
        <v>1199</v>
      </c>
      <c r="B404" s="1190" t="s">
        <v>2700</v>
      </c>
      <c r="C404" s="1192">
        <v>13134.61</v>
      </c>
      <c r="D404" s="1192">
        <v>4958.8900000000003</v>
      </c>
      <c r="E404" s="1192">
        <v>18093.5</v>
      </c>
      <c r="F404" s="1190" t="s">
        <v>1156</v>
      </c>
      <c r="G404" s="1190" t="s">
        <v>1200</v>
      </c>
      <c r="I404" s="1027"/>
      <c r="J404" s="1027"/>
      <c r="K404" s="1027"/>
      <c r="L404" s="655" t="str">
        <f t="shared" si="186"/>
        <v>6751</v>
      </c>
      <c r="M404" s="656" t="str">
        <f t="shared" si="187"/>
        <v>DEP. DU TRAITEMENT DES DONNEES</v>
      </c>
      <c r="N404" s="657">
        <f>+IF(OR($Q404=Parametres!$G$2,$Q404=Parametres!$G$3),I404,C404)</f>
        <v>13134.61</v>
      </c>
      <c r="O404" s="657">
        <f>+IF(OR($Q404=Parametres!$G$2,$Q404=Parametres!$G$3),J404,D404)</f>
        <v>4958.8900000000003</v>
      </c>
      <c r="P404" s="657">
        <f>+IF(OR($Q404=Parametres!$G$2,$Q404=Parametres!$G$3),K404,E404)</f>
        <v>18093.5</v>
      </c>
      <c r="Q404" s="656" t="str">
        <f t="shared" si="188"/>
        <v>7-Dépenses</v>
      </c>
      <c r="R404" s="655" t="str">
        <f t="shared" si="189"/>
        <v>6151</v>
      </c>
      <c r="S404" s="656">
        <f t="shared" si="190"/>
        <v>0</v>
      </c>
      <c r="T404" s="658" t="str">
        <f>+VLOOKUP($L404,Data_Validation!$A:$D,1,0)</f>
        <v>6751</v>
      </c>
      <c r="U404" s="658" t="str">
        <f>+VLOOKUP($L404,Data_Validation!$A:$D,3,0)</f>
        <v>Pièces</v>
      </c>
      <c r="V404" s="658" t="str">
        <f>+VLOOKUP($L404,Data_Validation!$A:$D,4,0)</f>
        <v>Informatique</v>
      </c>
      <c r="W404" s="658" t="str">
        <f>+VLOOKUP($L404,Data_Validation!$A:$E,5,0)</f>
        <v>$</v>
      </c>
      <c r="X404" s="658">
        <f>+VLOOKUP($L404,Data_Validation!$A:$F,6,0)</f>
        <v>0</v>
      </c>
    </row>
    <row r="405" spans="1:24" ht="15.75" customHeight="1">
      <c r="A405" s="1190" t="s">
        <v>1201</v>
      </c>
      <c r="B405" s="1190" t="s">
        <v>2703</v>
      </c>
      <c r="C405" s="1192">
        <v>1517.91</v>
      </c>
      <c r="D405" s="1192">
        <v>297.66000000000003</v>
      </c>
      <c r="E405" s="1192">
        <v>1815.57</v>
      </c>
      <c r="F405" s="1190" t="s">
        <v>1156</v>
      </c>
      <c r="G405" s="1190" t="s">
        <v>1202</v>
      </c>
      <c r="I405" s="1027"/>
      <c r="J405" s="1027"/>
      <c r="K405" s="1027"/>
      <c r="L405" s="655" t="str">
        <f t="shared" si="186"/>
        <v>6752</v>
      </c>
      <c r="M405" s="656" t="str">
        <f t="shared" si="187"/>
        <v>PAPETERIE</v>
      </c>
      <c r="N405" s="657">
        <f>+IF(OR($Q405=Parametres!$G$2,$Q405=Parametres!$G$3),I405,C405)</f>
        <v>1517.91</v>
      </c>
      <c r="O405" s="657">
        <f>+IF(OR($Q405=Parametres!$G$2,$Q405=Parametres!$G$3),J405,D405)</f>
        <v>297.66000000000003</v>
      </c>
      <c r="P405" s="657">
        <f>+IF(OR($Q405=Parametres!$G$2,$Q405=Parametres!$G$3),K405,E405)</f>
        <v>1815.57</v>
      </c>
      <c r="Q405" s="656" t="str">
        <f t="shared" si="188"/>
        <v>7-Dépenses</v>
      </c>
      <c r="R405" s="655" t="str">
        <f t="shared" si="189"/>
        <v>6152</v>
      </c>
      <c r="S405" s="656">
        <f t="shared" si="190"/>
        <v>0</v>
      </c>
      <c r="T405" s="658" t="str">
        <f>+VLOOKUP($L405,Data_Validation!$A:$D,1,0)</f>
        <v>6752</v>
      </c>
      <c r="U405" s="658" t="str">
        <f>+VLOOKUP($L405,Data_Validation!$A:$D,3,0)</f>
        <v>Pièces</v>
      </c>
      <c r="V405" s="658" t="str">
        <f>+VLOOKUP($L405,Data_Validation!$A:$D,4,0)</f>
        <v>Papeterie</v>
      </c>
      <c r="W405" s="658" t="str">
        <f>+VLOOKUP($L405,Data_Validation!$A:$E,5,0)</f>
        <v>$</v>
      </c>
      <c r="X405" s="658">
        <f>+VLOOKUP($L405,Data_Validation!$A:$F,6,0)</f>
        <v>0</v>
      </c>
    </row>
    <row r="406" spans="1:24" ht="15.75" customHeight="1">
      <c r="A406" s="1190" t="s">
        <v>1203</v>
      </c>
      <c r="B406" s="1190" t="s">
        <v>2706</v>
      </c>
      <c r="C406" s="1192">
        <v>320.31</v>
      </c>
      <c r="D406" s="1192">
        <v>84.4</v>
      </c>
      <c r="E406" s="1192">
        <v>404.71</v>
      </c>
      <c r="F406" s="1190" t="s">
        <v>1156</v>
      </c>
      <c r="G406" s="1190" t="s">
        <v>1204</v>
      </c>
      <c r="I406" s="1027"/>
      <c r="J406" s="1027"/>
      <c r="K406" s="1027"/>
      <c r="L406" s="655" t="str">
        <f t="shared" si="186"/>
        <v>6753</v>
      </c>
      <c r="M406" s="656" t="str">
        <f t="shared" si="187"/>
        <v>TELEPHONE ET TELEX</v>
      </c>
      <c r="N406" s="657">
        <f>+IF(OR($Q406=Parametres!$G$2,$Q406=Parametres!$G$3),I406,C406)</f>
        <v>320.31</v>
      </c>
      <c r="O406" s="657">
        <f>+IF(OR($Q406=Parametres!$G$2,$Q406=Parametres!$G$3),J406,D406)</f>
        <v>84.4</v>
      </c>
      <c r="P406" s="657">
        <f>+IF(OR($Q406=Parametres!$G$2,$Q406=Parametres!$G$3),K406,E406)</f>
        <v>404.71</v>
      </c>
      <c r="Q406" s="656" t="str">
        <f t="shared" si="188"/>
        <v>7-Dépenses</v>
      </c>
      <c r="R406" s="655" t="str">
        <f t="shared" si="189"/>
        <v>6153</v>
      </c>
      <c r="S406" s="656">
        <f t="shared" si="190"/>
        <v>0</v>
      </c>
      <c r="T406" s="658" t="str">
        <f>+VLOOKUP($L406,Data_Validation!$A:$D,1,0)</f>
        <v>6753</v>
      </c>
      <c r="U406" s="658" t="str">
        <f>+VLOOKUP($L406,Data_Validation!$A:$D,3,0)</f>
        <v>Pièces</v>
      </c>
      <c r="V406" s="658" t="str">
        <f>+VLOOKUP($L406,Data_Validation!$A:$D,4,0)</f>
        <v>Téléphone</v>
      </c>
      <c r="W406" s="658" t="str">
        <f>+VLOOKUP($L406,Data_Validation!$A:$E,5,0)</f>
        <v>$</v>
      </c>
      <c r="X406" s="658">
        <f>+VLOOKUP($L406,Data_Validation!$A:$F,6,0)</f>
        <v>0</v>
      </c>
    </row>
    <row r="407" spans="1:24" ht="15.75" customHeight="1">
      <c r="A407" s="1190" t="s">
        <v>1205</v>
      </c>
      <c r="B407" s="1190" t="s">
        <v>2709</v>
      </c>
      <c r="C407" s="1192">
        <v>441.37</v>
      </c>
      <c r="D407" s="1192">
        <v>157.71</v>
      </c>
      <c r="E407" s="1192">
        <v>599.08000000000004</v>
      </c>
      <c r="F407" s="1190" t="s">
        <v>1156</v>
      </c>
      <c r="G407" s="1190" t="s">
        <v>1206</v>
      </c>
      <c r="I407" s="1027"/>
      <c r="J407" s="1027"/>
      <c r="K407" s="1027"/>
      <c r="L407" s="655" t="str">
        <f t="shared" si="186"/>
        <v>6755</v>
      </c>
      <c r="M407" s="656" t="str">
        <f t="shared" si="187"/>
        <v>DEPENSES DIVERS</v>
      </c>
      <c r="N407" s="657">
        <f>+IF(OR($Q407=Parametres!$G$2,$Q407=Parametres!$G$3),I407,C407)</f>
        <v>441.37</v>
      </c>
      <c r="O407" s="657">
        <f>+IF(OR($Q407=Parametres!$G$2,$Q407=Parametres!$G$3),J407,D407)</f>
        <v>157.71</v>
      </c>
      <c r="P407" s="657">
        <f>+IF(OR($Q407=Parametres!$G$2,$Q407=Parametres!$G$3),K407,E407)</f>
        <v>599.08000000000004</v>
      </c>
      <c r="Q407" s="656" t="str">
        <f t="shared" si="188"/>
        <v>7-Dépenses</v>
      </c>
      <c r="R407" s="655" t="str">
        <f t="shared" si="189"/>
        <v>6155</v>
      </c>
      <c r="S407" s="656">
        <f t="shared" si="190"/>
        <v>0</v>
      </c>
      <c r="T407" s="658" t="str">
        <f>+VLOOKUP($L407,Data_Validation!$A:$D,1,0)</f>
        <v>6755</v>
      </c>
      <c r="U407" s="658" t="str">
        <f>+VLOOKUP($L407,Data_Validation!$A:$D,3,0)</f>
        <v>Pièces</v>
      </c>
      <c r="V407" s="658" t="str">
        <f>+VLOOKUP($L407,Data_Validation!$A:$D,4,0)</f>
        <v>Divers</v>
      </c>
      <c r="W407" s="658" t="str">
        <f>+VLOOKUP($L407,Data_Validation!$A:$E,5,0)</f>
        <v>$</v>
      </c>
      <c r="X407" s="658">
        <f>+VLOOKUP($L407,Data_Validation!$A:$F,6,0)</f>
        <v>0</v>
      </c>
    </row>
    <row r="408" spans="1:24" ht="15.75" customHeight="1">
      <c r="A408" s="1190" t="s">
        <v>1279</v>
      </c>
      <c r="B408" s="1190" t="s">
        <v>2712</v>
      </c>
      <c r="C408" s="1192">
        <v>1652.03</v>
      </c>
      <c r="D408" s="1192">
        <v>1821.32</v>
      </c>
      <c r="E408" s="1192">
        <v>3473.35</v>
      </c>
      <c r="F408" s="1190" t="s">
        <v>1156</v>
      </c>
      <c r="G408" s="1190" t="s">
        <v>1208</v>
      </c>
      <c r="I408" s="1027"/>
      <c r="J408" s="1027"/>
      <c r="K408" s="1027"/>
      <c r="L408" s="655" t="str">
        <f t="shared" si="186"/>
        <v>6756</v>
      </c>
      <c r="M408" s="656" t="str">
        <f t="shared" si="187"/>
        <v>FRAIS REPRESENTATION - PIECES</v>
      </c>
      <c r="N408" s="657">
        <f>+IF(OR($Q408=Parametres!$G$2,$Q408=Parametres!$G$3),I408,C408)</f>
        <v>1652.03</v>
      </c>
      <c r="O408" s="657">
        <f>+IF(OR($Q408=Parametres!$G$2,$Q408=Parametres!$G$3),J408,D408)</f>
        <v>1821.32</v>
      </c>
      <c r="P408" s="657">
        <f>+IF(OR($Q408=Parametres!$G$2,$Q408=Parametres!$G$3),K408,E408)</f>
        <v>3473.35</v>
      </c>
      <c r="Q408" s="656" t="str">
        <f t="shared" si="188"/>
        <v>7-Dépenses</v>
      </c>
      <c r="R408" s="655" t="str">
        <f t="shared" si="189"/>
        <v>6156</v>
      </c>
      <c r="S408" s="656">
        <f t="shared" si="190"/>
        <v>0</v>
      </c>
      <c r="T408" s="658" t="str">
        <f>+VLOOKUP($L408,Data_Validation!$A:$D,1,0)</f>
        <v>6756</v>
      </c>
      <c r="U408" s="658" t="str">
        <f>+VLOOKUP($L408,Data_Validation!$A:$D,3,0)</f>
        <v>Pièces</v>
      </c>
      <c r="V408" s="658" t="str">
        <f>+VLOOKUP($L408,Data_Validation!$A:$D,4,0)</f>
        <v>Frais de déplacement</v>
      </c>
      <c r="W408" s="658" t="str">
        <f>+VLOOKUP($L408,Data_Validation!$A:$E,5,0)</f>
        <v>$</v>
      </c>
      <c r="X408" s="658">
        <f>+VLOOKUP($L408,Data_Validation!$A:$F,6,0)</f>
        <v>0</v>
      </c>
    </row>
    <row r="409" spans="1:24" ht="15.75" customHeight="1">
      <c r="A409" s="1190" t="s">
        <v>1280</v>
      </c>
      <c r="B409" s="1190" t="s">
        <v>3405</v>
      </c>
      <c r="C409" s="1192">
        <v>3884.48</v>
      </c>
      <c r="D409" s="1192">
        <v>1900.91</v>
      </c>
      <c r="E409" s="1192">
        <v>5785.39</v>
      </c>
      <c r="F409" s="1190" t="s">
        <v>1156</v>
      </c>
      <c r="G409" s="1190" t="s">
        <v>3342</v>
      </c>
      <c r="I409" s="1027"/>
      <c r="J409" s="1027"/>
      <c r="K409" s="1027"/>
      <c r="L409" s="655" t="str">
        <f t="shared" si="186"/>
        <v>6757</v>
      </c>
      <c r="M409" s="656" t="str">
        <f t="shared" si="187"/>
        <v>FRAIS BANCAIRES - PIECES</v>
      </c>
      <c r="N409" s="657">
        <f>+IF(OR($Q409=Parametres!$G$2,$Q409=Parametres!$G$3),I409,C409)</f>
        <v>3884.48</v>
      </c>
      <c r="O409" s="657">
        <f>+IF(OR($Q409=Parametres!$G$2,$Q409=Parametres!$G$3),J409,D409)</f>
        <v>1900.91</v>
      </c>
      <c r="P409" s="657">
        <f>+IF(OR($Q409=Parametres!$G$2,$Q409=Parametres!$G$3),K409,E409)</f>
        <v>5785.39</v>
      </c>
      <c r="Q409" s="656" t="str">
        <f t="shared" si="188"/>
        <v>7-Dépenses</v>
      </c>
      <c r="R409" s="655" t="str">
        <f t="shared" si="189"/>
        <v>675</v>
      </c>
      <c r="S409" s="656">
        <f t="shared" si="190"/>
        <v>0</v>
      </c>
      <c r="T409" s="658" t="str">
        <f>+VLOOKUP($L409,Data_Validation!$A:$D,1,0)</f>
        <v>6757</v>
      </c>
      <c r="U409" s="658" t="str">
        <f>+VLOOKUP($L409,Data_Validation!$A:$D,3,0)</f>
        <v>Pièces</v>
      </c>
      <c r="V409" s="658" t="str">
        <f>+VLOOKUP($L409,Data_Validation!$A:$D,4,0)</f>
        <v>Frais bancaires</v>
      </c>
      <c r="W409" s="658" t="str">
        <f>+VLOOKUP($L409,Data_Validation!$A:$E,5,0)</f>
        <v>$</v>
      </c>
      <c r="X409" s="658">
        <f>+VLOOKUP($L409,Data_Validation!$A:$F,6,0)</f>
        <v>0</v>
      </c>
    </row>
    <row r="410" spans="1:24" ht="15.75" customHeight="1">
      <c r="A410" s="1190" t="s">
        <v>3901</v>
      </c>
      <c r="B410" s="1190" t="s">
        <v>3902</v>
      </c>
      <c r="C410" s="1192">
        <v>33380</v>
      </c>
      <c r="D410" s="1192">
        <v>9380</v>
      </c>
      <c r="E410" s="1192">
        <v>42760</v>
      </c>
      <c r="F410" s="1190" t="s">
        <v>1156</v>
      </c>
      <c r="G410" s="1190" t="s">
        <v>1212</v>
      </c>
      <c r="I410" s="1027"/>
      <c r="J410" s="1027"/>
      <c r="K410" s="1027"/>
      <c r="L410" s="655" t="str">
        <f t="shared" si="186"/>
        <v>6758</v>
      </c>
      <c r="M410" s="656" t="str">
        <f t="shared" si="187"/>
        <v>FRAIS DE LIVRAISON PIECES</v>
      </c>
      <c r="N410" s="657">
        <f>+IF(OR($Q410=Parametres!$G$2,$Q410=Parametres!$G$3),I410,C410)</f>
        <v>33380</v>
      </c>
      <c r="O410" s="657">
        <f>+IF(OR($Q410=Parametres!$G$2,$Q410=Parametres!$G$3),J410,D410)</f>
        <v>9380</v>
      </c>
      <c r="P410" s="657">
        <f>+IF(OR($Q410=Parametres!$G$2,$Q410=Parametres!$G$3),K410,E410)</f>
        <v>42760</v>
      </c>
      <c r="Q410" s="656" t="str">
        <f t="shared" si="188"/>
        <v>7-Dépenses</v>
      </c>
      <c r="R410" s="655" t="str">
        <f t="shared" si="189"/>
        <v>6159</v>
      </c>
      <c r="S410" s="656">
        <f t="shared" si="190"/>
        <v>0</v>
      </c>
      <c r="T410" s="658" t="str">
        <f>+VLOOKUP($L410,Data_Validation!$A:$D,1,0)</f>
        <v>6758</v>
      </c>
      <c r="U410" s="658" t="str">
        <f>+VLOOKUP($L410,Data_Validation!$A:$D,3,0)</f>
        <v>Pièces</v>
      </c>
      <c r="V410" s="658" t="str">
        <f>+VLOOKUP($L410,Data_Validation!$A:$D,4,0)</f>
        <v>Services extérieurs</v>
      </c>
      <c r="W410" s="658" t="str">
        <f>+VLOOKUP($L410,Data_Validation!$A:$E,5,0)</f>
        <v>$</v>
      </c>
      <c r="X410" s="658">
        <f>+VLOOKUP($L410,Data_Validation!$A:$F,6,0)</f>
        <v>0</v>
      </c>
    </row>
    <row r="411" spans="1:24" ht="15.75" customHeight="1">
      <c r="A411" s="1190" t="s">
        <v>1211</v>
      </c>
      <c r="B411" s="1190" t="s">
        <v>2715</v>
      </c>
      <c r="C411" s="1192">
        <v>7436.54</v>
      </c>
      <c r="D411" s="1192">
        <v>2378.11</v>
      </c>
      <c r="E411" s="1192">
        <v>9814.65</v>
      </c>
      <c r="F411" s="1190" t="s">
        <v>1156</v>
      </c>
      <c r="G411" s="1190" t="s">
        <v>1212</v>
      </c>
      <c r="I411" s="1027"/>
      <c r="J411" s="1027"/>
      <c r="K411" s="1027"/>
      <c r="L411" s="655" t="str">
        <f t="shared" si="186"/>
        <v>6759</v>
      </c>
      <c r="M411" s="656" t="str">
        <f t="shared" si="187"/>
        <v>SERVICE EXTERIEUR</v>
      </c>
      <c r="N411" s="657">
        <f>+IF(OR($Q411=Parametres!$G$2,$Q411=Parametres!$G$3),I411,C411)</f>
        <v>7436.54</v>
      </c>
      <c r="O411" s="657">
        <f>+IF(OR($Q411=Parametres!$G$2,$Q411=Parametres!$G$3),J411,D411)</f>
        <v>2378.11</v>
      </c>
      <c r="P411" s="657">
        <f>+IF(OR($Q411=Parametres!$G$2,$Q411=Parametres!$G$3),K411,E411)</f>
        <v>9814.65</v>
      </c>
      <c r="Q411" s="656" t="str">
        <f t="shared" si="188"/>
        <v>7-Dépenses</v>
      </c>
      <c r="R411" s="655" t="str">
        <f t="shared" si="189"/>
        <v>6159</v>
      </c>
      <c r="S411" s="656">
        <f t="shared" si="190"/>
        <v>0</v>
      </c>
      <c r="T411" s="658" t="str">
        <f>+VLOOKUP($L411,Data_Validation!$A:$D,1,0)</f>
        <v>6759</v>
      </c>
      <c r="U411" s="658" t="str">
        <f>+VLOOKUP($L411,Data_Validation!$A:$D,3,0)</f>
        <v>Pièces</v>
      </c>
      <c r="V411" s="658" t="str">
        <f>+VLOOKUP($L411,Data_Validation!$A:$D,4,0)</f>
        <v>Services extérieurs</v>
      </c>
      <c r="W411" s="658" t="str">
        <f>+VLOOKUP($L411,Data_Validation!$A:$E,5,0)</f>
        <v>$</v>
      </c>
      <c r="X411" s="658">
        <f>+VLOOKUP($L411,Data_Validation!$A:$F,6,0)</f>
        <v>0</v>
      </c>
    </row>
    <row r="412" spans="1:24" ht="15.75" customHeight="1">
      <c r="A412" s="1190" t="s">
        <v>1213</v>
      </c>
      <c r="B412" s="1190" t="s">
        <v>2718</v>
      </c>
      <c r="C412" s="1192">
        <v>4736.25</v>
      </c>
      <c r="D412" s="1192">
        <v>1578.75</v>
      </c>
      <c r="E412" s="1192">
        <v>6315</v>
      </c>
      <c r="F412" s="1190" t="s">
        <v>1156</v>
      </c>
      <c r="G412" s="1190" t="s">
        <v>1214</v>
      </c>
      <c r="I412" s="1027"/>
      <c r="J412" s="1027"/>
      <c r="K412" s="1027"/>
      <c r="L412" s="655" t="str">
        <f t="shared" si="186"/>
        <v>6761</v>
      </c>
      <c r="M412" s="656" t="str">
        <f t="shared" si="187"/>
        <v>DEPRECIATION EQUIP. &amp; FIXTURES</v>
      </c>
      <c r="N412" s="657">
        <f>+IF(OR($Q412=Parametres!$G$2,$Q412=Parametres!$G$3),I412,C412)</f>
        <v>4736.25</v>
      </c>
      <c r="O412" s="657">
        <f>+IF(OR($Q412=Parametres!$G$2,$Q412=Parametres!$G$3),J412,D412)</f>
        <v>1578.75</v>
      </c>
      <c r="P412" s="657">
        <f>+IF(OR($Q412=Parametres!$G$2,$Q412=Parametres!$G$3),K412,E412)</f>
        <v>6315</v>
      </c>
      <c r="Q412" s="656" t="str">
        <f t="shared" si="188"/>
        <v>7-Dépenses</v>
      </c>
      <c r="R412" s="655" t="str">
        <f t="shared" si="189"/>
        <v>6161</v>
      </c>
      <c r="S412" s="656">
        <f t="shared" si="190"/>
        <v>0</v>
      </c>
      <c r="T412" s="658" t="str">
        <f>+VLOOKUP($L412,Data_Validation!$A:$D,1,0)</f>
        <v>6761</v>
      </c>
      <c r="U412" s="658" t="str">
        <f>+VLOOKUP($L412,Data_Validation!$A:$D,3,0)</f>
        <v>Pièces</v>
      </c>
      <c r="V412" s="658" t="str">
        <f>+VLOOKUP($L412,Data_Validation!$A:$D,4,0)</f>
        <v>Amortissement</v>
      </c>
      <c r="W412" s="658" t="str">
        <f>+VLOOKUP($L412,Data_Validation!$A:$E,5,0)</f>
        <v>$</v>
      </c>
      <c r="X412" s="658">
        <f>+VLOOKUP($L412,Data_Validation!$A:$F,6,0)</f>
        <v>0</v>
      </c>
    </row>
    <row r="413" spans="1:24" ht="15.75" customHeight="1">
      <c r="A413" s="1190" t="s">
        <v>1281</v>
      </c>
      <c r="B413" s="1190" t="s">
        <v>2727</v>
      </c>
      <c r="C413" s="1192">
        <v>3165.57</v>
      </c>
      <c r="D413" s="1192">
        <v>2160.4899999999998</v>
      </c>
      <c r="E413" s="1192">
        <v>5326.06</v>
      </c>
      <c r="F413" s="1190" t="s">
        <v>1156</v>
      </c>
      <c r="G413" s="1190" t="s">
        <v>1216</v>
      </c>
      <c r="I413" s="1027"/>
      <c r="J413" s="1027"/>
      <c r="K413" s="1027"/>
      <c r="L413" s="655" t="str">
        <f t="shared" si="186"/>
        <v>6781</v>
      </c>
      <c r="M413" s="656" t="str">
        <f t="shared" si="187"/>
        <v>CHAUFFAGE,ELECTRICITE,EAU-PIECES</v>
      </c>
      <c r="N413" s="657">
        <f>+IF(OR($Q413=Parametres!$G$2,$Q413=Parametres!$G$3),I413,C413)</f>
        <v>3165.57</v>
      </c>
      <c r="O413" s="657">
        <f>+IF(OR($Q413=Parametres!$G$2,$Q413=Parametres!$G$3),J413,D413)</f>
        <v>2160.4899999999998</v>
      </c>
      <c r="P413" s="657">
        <f>+IF(OR($Q413=Parametres!$G$2,$Q413=Parametres!$G$3),K413,E413)</f>
        <v>5326.06</v>
      </c>
      <c r="Q413" s="656" t="str">
        <f t="shared" si="188"/>
        <v>7-Dépenses</v>
      </c>
      <c r="R413" s="655" t="str">
        <f t="shared" si="189"/>
        <v>6181</v>
      </c>
      <c r="S413" s="656">
        <f t="shared" si="190"/>
        <v>0</v>
      </c>
      <c r="T413" s="658" t="str">
        <f>+VLOOKUP($L413,Data_Validation!$A:$D,1,0)</f>
        <v>6781</v>
      </c>
      <c r="U413" s="658" t="str">
        <f>+VLOOKUP($L413,Data_Validation!$A:$D,3,0)</f>
        <v>Pièces</v>
      </c>
      <c r="V413" s="658" t="str">
        <f>+VLOOKUP($L413,Data_Validation!$A:$D,4,0)</f>
        <v>Chauffage, éclairage</v>
      </c>
      <c r="W413" s="658" t="str">
        <f>+VLOOKUP($L413,Data_Validation!$A:$E,5,0)</f>
        <v>$</v>
      </c>
      <c r="X413" s="658">
        <f>+VLOOKUP($L413,Data_Validation!$A:$F,6,0)</f>
        <v>0</v>
      </c>
    </row>
    <row r="414" spans="1:24" ht="15.75" customHeight="1">
      <c r="A414" s="1190" t="s">
        <v>1282</v>
      </c>
      <c r="B414" s="1190" t="s">
        <v>2730</v>
      </c>
      <c r="C414" s="1192">
        <v>27000</v>
      </c>
      <c r="D414" s="1192">
        <v>9000</v>
      </c>
      <c r="E414" s="1192">
        <v>36000</v>
      </c>
      <c r="F414" s="1190" t="s">
        <v>1156</v>
      </c>
      <c r="G414" s="1190" t="s">
        <v>1218</v>
      </c>
      <c r="I414" s="1027"/>
      <c r="J414" s="1027"/>
      <c r="K414" s="1027"/>
      <c r="L414" s="655" t="str">
        <f t="shared" si="186"/>
        <v>6782</v>
      </c>
      <c r="M414" s="656" t="str">
        <f t="shared" si="187"/>
        <v>LOYER - PIECES</v>
      </c>
      <c r="N414" s="657">
        <f>+IF(OR($Q414=Parametres!$G$2,$Q414=Parametres!$G$3),I414,C414)</f>
        <v>27000</v>
      </c>
      <c r="O414" s="657">
        <f>+IF(OR($Q414=Parametres!$G$2,$Q414=Parametres!$G$3),J414,D414)</f>
        <v>9000</v>
      </c>
      <c r="P414" s="657">
        <f>+IF(OR($Q414=Parametres!$G$2,$Q414=Parametres!$G$3),K414,E414)</f>
        <v>36000</v>
      </c>
      <c r="Q414" s="656" t="str">
        <f t="shared" si="188"/>
        <v>7-Dépenses</v>
      </c>
      <c r="R414" s="655" t="str">
        <f t="shared" si="189"/>
        <v>6182</v>
      </c>
      <c r="S414" s="656">
        <f t="shared" si="190"/>
        <v>0</v>
      </c>
      <c r="T414" s="658" t="str">
        <f>+VLOOKUP($L414,Data_Validation!$A:$D,1,0)</f>
        <v>6782</v>
      </c>
      <c r="U414" s="658" t="str">
        <f>+VLOOKUP($L414,Data_Validation!$A:$D,3,0)</f>
        <v>Pièces</v>
      </c>
      <c r="V414" s="658" t="str">
        <f>+VLOOKUP($L414,Data_Validation!$A:$D,4,0)</f>
        <v>Loyer</v>
      </c>
      <c r="W414" s="658" t="str">
        <f>+VLOOKUP($L414,Data_Validation!$A:$E,5,0)</f>
        <v>$</v>
      </c>
      <c r="X414" s="658">
        <f>+VLOOKUP($L414,Data_Validation!$A:$F,6,0)</f>
        <v>0</v>
      </c>
    </row>
    <row r="415" spans="1:24" ht="15.75" customHeight="1">
      <c r="A415" s="1190" t="s">
        <v>1283</v>
      </c>
      <c r="B415" s="1190" t="s">
        <v>2733</v>
      </c>
      <c r="C415" s="1192">
        <v>2919.78</v>
      </c>
      <c r="D415" s="1192">
        <v>973.26</v>
      </c>
      <c r="E415" s="1192">
        <v>3893.04</v>
      </c>
      <c r="F415" s="1190" t="s">
        <v>1156</v>
      </c>
      <c r="G415" s="1190" t="s">
        <v>1220</v>
      </c>
      <c r="I415" s="1027"/>
      <c r="J415" s="1027"/>
      <c r="K415" s="1027"/>
      <c r="L415" s="655" t="str">
        <f t="shared" si="186"/>
        <v>6786</v>
      </c>
      <c r="M415" s="656" t="str">
        <f t="shared" si="187"/>
        <v>ASSURANCE BATISSE &amp; AMEL.-PIECES</v>
      </c>
      <c r="N415" s="657">
        <f>+IF(OR($Q415=Parametres!$G$2,$Q415=Parametres!$G$3),I415,C415)</f>
        <v>2919.78</v>
      </c>
      <c r="O415" s="657">
        <f>+IF(OR($Q415=Parametres!$G$2,$Q415=Parametres!$G$3),J415,D415)</f>
        <v>973.26</v>
      </c>
      <c r="P415" s="657">
        <f>+IF(OR($Q415=Parametres!$G$2,$Q415=Parametres!$G$3),K415,E415)</f>
        <v>3893.04</v>
      </c>
      <c r="Q415" s="656" t="str">
        <f t="shared" si="188"/>
        <v>7-Dépenses</v>
      </c>
      <c r="R415" s="655" t="str">
        <f t="shared" si="189"/>
        <v>6186</v>
      </c>
      <c r="S415" s="656">
        <f t="shared" si="190"/>
        <v>0</v>
      </c>
      <c r="T415" s="658" t="str">
        <f>+VLOOKUP($L415,Data_Validation!$A:$D,1,0)</f>
        <v>6786</v>
      </c>
      <c r="U415" s="658" t="str">
        <f>+VLOOKUP($L415,Data_Validation!$A:$D,3,0)</f>
        <v>Pièces</v>
      </c>
      <c r="V415" s="658" t="str">
        <f>+VLOOKUP($L415,Data_Validation!$A:$D,4,0)</f>
        <v>Assurances</v>
      </c>
      <c r="W415" s="658" t="str">
        <f>+VLOOKUP($L415,Data_Validation!$A:$E,5,0)</f>
        <v>$</v>
      </c>
      <c r="X415" s="658">
        <f>+VLOOKUP($L415,Data_Validation!$A:$F,6,0)</f>
        <v>0</v>
      </c>
    </row>
    <row r="416" spans="1:24" ht="15.75" customHeight="1">
      <c r="A416" s="1190" t="s">
        <v>1284</v>
      </c>
      <c r="B416" s="1190" t="s">
        <v>2736</v>
      </c>
      <c r="C416" s="1192">
        <v>3882.75</v>
      </c>
      <c r="D416" s="1192">
        <v>1294.25</v>
      </c>
      <c r="E416" s="1192">
        <v>5177</v>
      </c>
      <c r="F416" s="1190" t="s">
        <v>1156</v>
      </c>
      <c r="G416" s="1190" t="s">
        <v>1222</v>
      </c>
      <c r="I416" s="1027"/>
      <c r="J416" s="1027"/>
      <c r="K416" s="1027"/>
      <c r="L416" s="655" t="str">
        <f t="shared" si="186"/>
        <v>6787</v>
      </c>
      <c r="M416" s="656" t="str">
        <f t="shared" si="187"/>
        <v>TAXES FONCIERES - PIECES</v>
      </c>
      <c r="N416" s="657">
        <f>+IF(OR($Q416=Parametres!$G$2,$Q416=Parametres!$G$3),I416,C416)</f>
        <v>3882.75</v>
      </c>
      <c r="O416" s="657">
        <f>+IF(OR($Q416=Parametres!$G$2,$Q416=Parametres!$G$3),J416,D416)</f>
        <v>1294.25</v>
      </c>
      <c r="P416" s="657">
        <f>+IF(OR($Q416=Parametres!$G$2,$Q416=Parametres!$G$3),K416,E416)</f>
        <v>5177</v>
      </c>
      <c r="Q416" s="656" t="str">
        <f t="shared" si="188"/>
        <v>7-Dépenses</v>
      </c>
      <c r="R416" s="655" t="str">
        <f t="shared" si="189"/>
        <v>6187</v>
      </c>
      <c r="S416" s="656">
        <f t="shared" si="190"/>
        <v>0</v>
      </c>
      <c r="T416" s="658" t="str">
        <f>+VLOOKUP($L416,Data_Validation!$A:$D,1,0)</f>
        <v>6787</v>
      </c>
      <c r="U416" s="658" t="str">
        <f>+VLOOKUP($L416,Data_Validation!$A:$D,3,0)</f>
        <v>Pièces</v>
      </c>
      <c r="V416" s="658" t="str">
        <f>+VLOOKUP($L416,Data_Validation!$A:$D,4,0)</f>
        <v>Taxes foncières</v>
      </c>
      <c r="W416" s="658" t="str">
        <f>+VLOOKUP($L416,Data_Validation!$A:$E,5,0)</f>
        <v>$</v>
      </c>
      <c r="X416" s="658">
        <f>+VLOOKUP($L416,Data_Validation!$A:$F,6,0)</f>
        <v>0</v>
      </c>
    </row>
    <row r="417" spans="1:24" ht="15.75" customHeight="1">
      <c r="A417" s="1190" t="s">
        <v>1285</v>
      </c>
      <c r="B417" s="1190" t="s">
        <v>2739</v>
      </c>
      <c r="C417" s="1192">
        <v>2583.75</v>
      </c>
      <c r="D417" s="1192">
        <v>861.25</v>
      </c>
      <c r="E417" s="1192">
        <v>3445</v>
      </c>
      <c r="F417" s="1190" t="s">
        <v>1156</v>
      </c>
      <c r="G417" s="1190" t="s">
        <v>1224</v>
      </c>
      <c r="H417" s="1171"/>
      <c r="I417" s="1171"/>
      <c r="J417" s="1171"/>
      <c r="K417" s="1171"/>
      <c r="L417" s="655" t="str">
        <f t="shared" si="186"/>
        <v>6793</v>
      </c>
      <c r="M417" s="656" t="str">
        <f t="shared" si="187"/>
        <v>AUTRES TAXES - PIECES</v>
      </c>
      <c r="N417" s="657">
        <f>+IF(OR($Q417=Parametres!$G$2,$Q417=Parametres!$G$3),I417,C417)</f>
        <v>2583.75</v>
      </c>
      <c r="O417" s="657">
        <f>+IF(OR($Q417=Parametres!$G$2,$Q417=Parametres!$G$3),J417,D417)</f>
        <v>861.25</v>
      </c>
      <c r="P417" s="657">
        <f>+IF(OR($Q417=Parametres!$G$2,$Q417=Parametres!$G$3),K417,E417)</f>
        <v>3445</v>
      </c>
      <c r="Q417" s="656" t="str">
        <f t="shared" si="188"/>
        <v>7-Dépenses</v>
      </c>
      <c r="R417" s="655" t="str">
        <f t="shared" si="189"/>
        <v>6193</v>
      </c>
      <c r="S417" s="656">
        <f t="shared" si="190"/>
        <v>0</v>
      </c>
      <c r="T417" s="658" t="str">
        <f>+VLOOKUP($L417,Data_Validation!$A:$D,1,0)</f>
        <v>6793</v>
      </c>
      <c r="U417" s="658" t="str">
        <f>+VLOOKUP($L417,Data_Validation!$A:$D,3,0)</f>
        <v>Pièces</v>
      </c>
      <c r="V417" s="658" t="str">
        <f>+VLOOKUP($L417,Data_Validation!$A:$D,4,0)</f>
        <v>Taxes d`affaires</v>
      </c>
      <c r="W417" s="658" t="str">
        <f>+VLOOKUP($L417,Data_Validation!$A:$E,5,0)</f>
        <v>$</v>
      </c>
      <c r="X417" s="658">
        <f>+VLOOKUP($L417,Data_Validation!$A:$F,6,0)</f>
        <v>0</v>
      </c>
    </row>
    <row r="418" spans="1:24" ht="15.75" customHeight="1">
      <c r="A418" s="1190" t="s">
        <v>1286</v>
      </c>
      <c r="B418" s="1190" t="s">
        <v>2742</v>
      </c>
      <c r="C418" s="1192">
        <v>4817.49</v>
      </c>
      <c r="D418" s="1192">
        <v>1605.83</v>
      </c>
      <c r="E418" s="1192">
        <v>6423.32</v>
      </c>
      <c r="F418" s="1190" t="s">
        <v>1156</v>
      </c>
      <c r="G418" s="1190" t="s">
        <v>1226</v>
      </c>
      <c r="H418" s="1171"/>
      <c r="I418" s="1171"/>
      <c r="J418" s="1171"/>
      <c r="K418" s="1171"/>
      <c r="L418" s="655" t="str">
        <f t="shared" si="186"/>
        <v>6794</v>
      </c>
      <c r="M418" s="656" t="str">
        <f t="shared" si="187"/>
        <v>FRAIS PROFESSIONNEL-PIECES</v>
      </c>
      <c r="N418" s="657">
        <f>+IF(OR($Q418=Parametres!$G$2,$Q418=Parametres!$G$3),I418,C418)</f>
        <v>4817.49</v>
      </c>
      <c r="O418" s="657">
        <f>+IF(OR($Q418=Parametres!$G$2,$Q418=Parametres!$G$3),J418,D418)</f>
        <v>1605.83</v>
      </c>
      <c r="P418" s="657">
        <f>+IF(OR($Q418=Parametres!$G$2,$Q418=Parametres!$G$3),K418,E418)</f>
        <v>6423.32</v>
      </c>
      <c r="Q418" s="656" t="str">
        <f t="shared" si="188"/>
        <v>7-Dépenses</v>
      </c>
      <c r="R418" s="655" t="str">
        <f t="shared" si="189"/>
        <v>6194</v>
      </c>
      <c r="S418" s="656">
        <f t="shared" si="190"/>
        <v>0</v>
      </c>
      <c r="T418" s="658" t="str">
        <f>+VLOOKUP($L418,Data_Validation!$A:$D,1,0)</f>
        <v>6794</v>
      </c>
      <c r="U418" s="658" t="str">
        <f>+VLOOKUP($L418,Data_Validation!$A:$D,3,0)</f>
        <v>Pièces</v>
      </c>
      <c r="V418" s="658" t="str">
        <f>+VLOOKUP($L418,Data_Validation!$A:$D,4,0)</f>
        <v>Honoraires</v>
      </c>
      <c r="W418" s="658" t="str">
        <f>+VLOOKUP($L418,Data_Validation!$A:$E,5,0)</f>
        <v>$</v>
      </c>
      <c r="X418" s="658">
        <f>+VLOOKUP($L418,Data_Validation!$A:$F,6,0)</f>
        <v>0</v>
      </c>
    </row>
    <row r="419" spans="1:24" ht="15.75" customHeight="1">
      <c r="A419" s="1190" t="s">
        <v>1289</v>
      </c>
      <c r="B419" s="1190" t="s">
        <v>2753</v>
      </c>
      <c r="C419" s="1192">
        <v>-226959.85</v>
      </c>
      <c r="D419" s="1192">
        <v>-106078.85</v>
      </c>
      <c r="E419" s="1192">
        <v>-333038.7</v>
      </c>
      <c r="F419" s="1190" t="s">
        <v>1287</v>
      </c>
      <c r="G419" s="1190" t="s">
        <v>1288</v>
      </c>
      <c r="H419" s="1171"/>
      <c r="I419" s="1171"/>
      <c r="J419" s="1171"/>
      <c r="K419" s="1171"/>
      <c r="L419" s="655" t="str">
        <f t="shared" si="186"/>
        <v>9149</v>
      </c>
      <c r="M419" s="656" t="str">
        <f t="shared" si="187"/>
        <v>REVENU RESERVE VOLKS</v>
      </c>
      <c r="N419" s="657">
        <f>+IF(OR($Q419=Parametres!$G$2,$Q419=Parametres!$G$3),I419,C419)</f>
        <v>-226959.85</v>
      </c>
      <c r="O419" s="657">
        <f>+IF(OR($Q419=Parametres!$G$2,$Q419=Parametres!$G$3),J419,D419)</f>
        <v>-106078.85</v>
      </c>
      <c r="P419" s="657">
        <f>+IF(OR($Q419=Parametres!$G$2,$Q419=Parametres!$G$3),K419,E419)</f>
        <v>-333038.7</v>
      </c>
      <c r="Q419" s="656" t="str">
        <f t="shared" si="188"/>
        <v>8-Autres revenus</v>
      </c>
      <c r="R419" s="655" t="str">
        <f t="shared" si="189"/>
        <v>9101</v>
      </c>
      <c r="S419" s="656">
        <f t="shared" si="190"/>
        <v>0</v>
      </c>
      <c r="T419" s="658" t="str">
        <f>+VLOOKUP($L419,Data_Validation!$A:$D,1,0)</f>
        <v>9149</v>
      </c>
      <c r="U419" s="658" t="str">
        <f>+VLOOKUP($L419,Data_Validation!$A:$D,3,0)</f>
        <v>Véhicules neufs</v>
      </c>
      <c r="V419" s="658" t="str">
        <f>+VLOOKUP($L419,Data_Validation!$A:$D,4,0)</f>
        <v>Holdbacks</v>
      </c>
      <c r="W419" s="658" t="str">
        <f>+VLOOKUP($L419,Data_Validation!$A:$E,5,0)</f>
        <v>$</v>
      </c>
      <c r="X419" s="658">
        <f>+VLOOKUP($L419,Data_Validation!$A:$F,6,0)</f>
        <v>0</v>
      </c>
    </row>
    <row r="420" spans="1:24" ht="15.75" customHeight="1">
      <c r="A420" s="1190" t="s">
        <v>1290</v>
      </c>
      <c r="B420" s="1190" t="s">
        <v>1291</v>
      </c>
      <c r="C420" s="1192">
        <v>-18532.95</v>
      </c>
      <c r="D420" s="1192">
        <v>-17517.95</v>
      </c>
      <c r="E420" s="1192">
        <v>-36050.9</v>
      </c>
      <c r="F420" s="1190" t="s">
        <v>1287</v>
      </c>
      <c r="G420" s="1190" t="s">
        <v>1291</v>
      </c>
      <c r="H420" s="1171"/>
      <c r="I420" s="1171"/>
      <c r="J420" s="1171"/>
      <c r="K420" s="1171"/>
      <c r="L420" s="655" t="str">
        <f t="shared" si="186"/>
        <v>9152</v>
      </c>
      <c r="M420" s="656" t="str">
        <f t="shared" si="187"/>
        <v>ESCOMPTES SUR ACHAT PIECES</v>
      </c>
      <c r="N420" s="657">
        <f>+IF(OR($Q420=Parametres!$G$2,$Q420=Parametres!$G$3),I420,C420)</f>
        <v>-18532.95</v>
      </c>
      <c r="O420" s="657">
        <f>+IF(OR($Q420=Parametres!$G$2,$Q420=Parametres!$G$3),J420,D420)</f>
        <v>-17517.95</v>
      </c>
      <c r="P420" s="657">
        <f>+IF(OR($Q420=Parametres!$G$2,$Q420=Parametres!$G$3),K420,E420)</f>
        <v>-36050.9</v>
      </c>
      <c r="Q420" s="656" t="str">
        <f t="shared" si="188"/>
        <v>8-Autres revenus</v>
      </c>
      <c r="R420" s="655" t="str">
        <f t="shared" si="189"/>
        <v>9152</v>
      </c>
      <c r="S420" s="656">
        <f t="shared" si="190"/>
        <v>0</v>
      </c>
      <c r="T420" s="658" t="str">
        <f>+VLOOKUP($L420,Data_Validation!$A:$D,1,0)</f>
        <v>9152</v>
      </c>
      <c r="U420" s="658" t="str">
        <f>+VLOOKUP($L420,Data_Validation!$A:$D,3,0)</f>
        <v>Pièces</v>
      </c>
      <c r="V420" s="658" t="str">
        <f>+VLOOKUP($L420,Data_Validation!$A:$D,4,0)</f>
        <v>Escomptes</v>
      </c>
      <c r="W420" s="658" t="str">
        <f>+VLOOKUP($L420,Data_Validation!$A:$E,5,0)</f>
        <v>$</v>
      </c>
      <c r="X420" s="658">
        <f>+VLOOKUP($L420,Data_Validation!$A:$F,6,0)</f>
        <v>0</v>
      </c>
    </row>
    <row r="421" spans="1:24" ht="15.75" customHeight="1">
      <c r="A421" s="1190" t="s">
        <v>3419</v>
      </c>
      <c r="B421" s="1190" t="s">
        <v>2758</v>
      </c>
      <c r="C421" s="1192">
        <v>0</v>
      </c>
      <c r="D421" s="1192">
        <v>-695</v>
      </c>
      <c r="E421" s="1192">
        <v>-695</v>
      </c>
      <c r="F421" s="1190" t="s">
        <v>1287</v>
      </c>
      <c r="G421" s="1190" t="s">
        <v>3420</v>
      </c>
      <c r="H421" s="1171"/>
      <c r="I421" s="1171"/>
      <c r="J421" s="1171"/>
      <c r="K421" s="1171"/>
      <c r="L421" s="655" t="str">
        <f t="shared" si="186"/>
        <v>9157</v>
      </c>
      <c r="M421" s="656" t="str">
        <f t="shared" si="187"/>
        <v>BONUS EXPERIENCE + - NV</v>
      </c>
      <c r="N421" s="657">
        <f>+IF(OR($Q421=Parametres!$G$2,$Q421=Parametres!$G$3),I421,C421)</f>
        <v>0</v>
      </c>
      <c r="O421" s="657">
        <f>+IF(OR($Q421=Parametres!$G$2,$Q421=Parametres!$G$3),J421,D421)</f>
        <v>-695</v>
      </c>
      <c r="P421" s="657">
        <f>+IF(OR($Q421=Parametres!$G$2,$Q421=Parametres!$G$3),K421,E421)</f>
        <v>-695</v>
      </c>
      <c r="Q421" s="656" t="str">
        <f t="shared" si="188"/>
        <v>8-Autres revenus</v>
      </c>
      <c r="R421" s="655" t="str">
        <f t="shared" si="189"/>
        <v>915</v>
      </c>
      <c r="S421" s="656">
        <f t="shared" si="190"/>
        <v>0</v>
      </c>
      <c r="T421" s="658" t="str">
        <f>+VLOOKUP($L421,Data_Validation!$A:$D,1,0)</f>
        <v>9157</v>
      </c>
      <c r="U421" s="658" t="str">
        <f>+VLOOKUP($L421,Data_Validation!$A:$D,3,0)</f>
        <v>Véhicules neufs</v>
      </c>
      <c r="V421" s="658" t="str">
        <f>+VLOOKUP($L421,Data_Validation!$A:$D,4,0)</f>
        <v>Programme neuf 1</v>
      </c>
      <c r="W421" s="658" t="str">
        <f>+VLOOKUP($L421,Data_Validation!$A:$E,5,0)</f>
        <v>$</v>
      </c>
      <c r="X421" s="658">
        <f>+VLOOKUP($L421,Data_Validation!$A:$F,6,0)</f>
        <v>0</v>
      </c>
    </row>
    <row r="422" spans="1:24" ht="15.75" customHeight="1">
      <c r="A422" s="1190" t="s">
        <v>1292</v>
      </c>
      <c r="B422" s="1190" t="s">
        <v>1293</v>
      </c>
      <c r="C422" s="1192">
        <v>-8728.1200000000008</v>
      </c>
      <c r="D422" s="1192">
        <v>0</v>
      </c>
      <c r="E422" s="1192">
        <v>-8728.1200000000008</v>
      </c>
      <c r="F422" s="1190" t="s">
        <v>1287</v>
      </c>
      <c r="G422" s="1190" t="s">
        <v>1293</v>
      </c>
      <c r="H422" s="1171"/>
      <c r="I422" s="1172"/>
      <c r="J422" s="1172"/>
      <c r="K422" s="1172"/>
      <c r="L422" s="655" t="str">
        <f t="shared" si="186"/>
        <v>9161</v>
      </c>
      <c r="M422" s="656" t="str">
        <f t="shared" si="187"/>
        <v>REVENU FIN ET ASS NEUF</v>
      </c>
      <c r="N422" s="657">
        <f>+IF(OR($Q422=Parametres!$G$2,$Q422=Parametres!$G$3),I422,C422)</f>
        <v>-8728.1200000000008</v>
      </c>
      <c r="O422" s="657">
        <f>+IF(OR($Q422=Parametres!$G$2,$Q422=Parametres!$G$3),J422,D422)</f>
        <v>0</v>
      </c>
      <c r="P422" s="657">
        <f>+IF(OR($Q422=Parametres!$G$2,$Q422=Parametres!$G$3),K422,E422)</f>
        <v>-8728.1200000000008</v>
      </c>
      <c r="Q422" s="656" t="str">
        <f t="shared" si="188"/>
        <v>8-Autres revenus</v>
      </c>
      <c r="R422" s="655" t="str">
        <f t="shared" si="189"/>
        <v>9161</v>
      </c>
      <c r="S422" s="656">
        <f t="shared" si="190"/>
        <v>0</v>
      </c>
      <c r="T422" s="658" t="str">
        <f>+VLOOKUP($L422,Data_Validation!$A:$D,1,0)</f>
        <v>9161</v>
      </c>
      <c r="U422" s="658" t="str">
        <f>+VLOOKUP($L422,Data_Validation!$A:$D,3,0)</f>
        <v>Véhicules neufs</v>
      </c>
      <c r="V422" s="658" t="str">
        <f>+VLOOKUP($L422,Data_Validation!$A:$D,4,0)</f>
        <v>Rev. Finances</v>
      </c>
      <c r="W422" s="658" t="str">
        <f>+VLOOKUP($L422,Data_Validation!$A:$E,5,0)</f>
        <v>$</v>
      </c>
      <c r="X422" s="658" t="str">
        <f>+VLOOKUP($L422,Data_Validation!$A:$F,6,0)</f>
        <v>Oui</v>
      </c>
    </row>
    <row r="423" spans="1:24" ht="15.75" customHeight="1">
      <c r="A423" s="1190" t="s">
        <v>1296</v>
      </c>
      <c r="B423" s="1190" t="s">
        <v>1297</v>
      </c>
      <c r="C423" s="1192">
        <v>-6322.89</v>
      </c>
      <c r="D423" s="1192">
        <v>-8282.2800000000007</v>
      </c>
      <c r="E423" s="1192">
        <v>-14605.17</v>
      </c>
      <c r="F423" s="1190" t="s">
        <v>1287</v>
      </c>
      <c r="G423" s="1190" t="s">
        <v>1297</v>
      </c>
      <c r="H423" s="1171"/>
      <c r="I423" s="1172"/>
      <c r="J423" s="1172"/>
      <c r="K423" s="1172"/>
      <c r="L423" s="655" t="str">
        <f t="shared" si="186"/>
        <v>9163</v>
      </c>
      <c r="M423" s="656" t="str">
        <f t="shared" si="187"/>
        <v>RESERVE FIN ET ASS VEH OCCASION</v>
      </c>
      <c r="N423" s="657">
        <f>+IF(OR($Q423=Parametres!$G$2,$Q423=Parametres!$G$3),I423,C423)</f>
        <v>-6322.89</v>
      </c>
      <c r="O423" s="657">
        <f>+IF(OR($Q423=Parametres!$G$2,$Q423=Parametres!$G$3),J423,D423)</f>
        <v>-8282.2800000000007</v>
      </c>
      <c r="P423" s="657">
        <f>+IF(OR($Q423=Parametres!$G$2,$Q423=Parametres!$G$3),K423,E423)</f>
        <v>-14605.17</v>
      </c>
      <c r="Q423" s="656" t="str">
        <f t="shared" si="188"/>
        <v>8-Autres revenus</v>
      </c>
      <c r="R423" s="655" t="str">
        <f t="shared" si="189"/>
        <v>9163</v>
      </c>
      <c r="S423" s="656">
        <f t="shared" si="190"/>
        <v>0</v>
      </c>
      <c r="T423" s="658" t="str">
        <f>+VLOOKUP($L423,Data_Validation!$A:$D,1,0)</f>
        <v>9163</v>
      </c>
      <c r="U423" s="658" t="str">
        <f>+VLOOKUP($L423,Data_Validation!$A:$D,3,0)</f>
        <v>Véhicules usagés</v>
      </c>
      <c r="V423" s="658" t="str">
        <f>+VLOOKUP($L423,Data_Validation!$A:$D,4,0)</f>
        <v>Rev. Finances</v>
      </c>
      <c r="W423" s="658" t="str">
        <f>+VLOOKUP($L423,Data_Validation!$A:$E,5,0)</f>
        <v>$</v>
      </c>
      <c r="X423" s="658" t="str">
        <f>+VLOOKUP($L423,Data_Validation!$A:$F,6,0)</f>
        <v>Oui</v>
      </c>
    </row>
    <row r="424" spans="1:24" ht="15.75" customHeight="1">
      <c r="A424" s="1190" t="s">
        <v>1299</v>
      </c>
      <c r="B424" s="1190" t="s">
        <v>2765</v>
      </c>
      <c r="C424" s="1192">
        <v>0</v>
      </c>
      <c r="D424" s="1192">
        <v>-1358.23</v>
      </c>
      <c r="E424" s="1192">
        <v>-1358.23</v>
      </c>
      <c r="F424" s="1190" t="s">
        <v>1287</v>
      </c>
      <c r="G424" s="1190" t="s">
        <v>1293</v>
      </c>
      <c r="H424" s="1171"/>
      <c r="I424" s="1172"/>
      <c r="J424" s="1172"/>
      <c r="K424" s="1172"/>
      <c r="L424" s="655" t="str">
        <f t="shared" si="186"/>
        <v>9165</v>
      </c>
      <c r="M424" s="656" t="str">
        <f t="shared" si="187"/>
        <v>REV. ASSURANCES NEUF</v>
      </c>
      <c r="N424" s="657">
        <f>+IF(OR($Q424=Parametres!$G$2,$Q424=Parametres!$G$3),I424,C424)</f>
        <v>0</v>
      </c>
      <c r="O424" s="657">
        <f>+IF(OR($Q424=Parametres!$G$2,$Q424=Parametres!$G$3),J424,D424)</f>
        <v>-1358.23</v>
      </c>
      <c r="P424" s="657">
        <f>+IF(OR($Q424=Parametres!$G$2,$Q424=Parametres!$G$3),K424,E424)</f>
        <v>-1358.23</v>
      </c>
      <c r="Q424" s="656" t="str">
        <f t="shared" si="188"/>
        <v>8-Autres revenus</v>
      </c>
      <c r="R424" s="655" t="str">
        <f t="shared" si="189"/>
        <v>9161</v>
      </c>
      <c r="S424" s="656">
        <f t="shared" si="190"/>
        <v>0</v>
      </c>
      <c r="T424" s="658" t="str">
        <f>+VLOOKUP($L424,Data_Validation!$A:$D,1,0)</f>
        <v>9165</v>
      </c>
      <c r="U424" s="658" t="str">
        <f>+VLOOKUP($L424,Data_Validation!$A:$D,3,0)</f>
        <v>Véhicules neufs</v>
      </c>
      <c r="V424" s="658" t="str">
        <f>+VLOOKUP($L424,Data_Validation!$A:$D,4,0)</f>
        <v>Rev. Autres</v>
      </c>
      <c r="W424" s="658" t="str">
        <f>+VLOOKUP($L424,Data_Validation!$A:$E,5,0)</f>
        <v>$</v>
      </c>
      <c r="X424" s="658" t="str">
        <f>+VLOOKUP($L424,Data_Validation!$A:$F,6,0)</f>
        <v>Oui</v>
      </c>
    </row>
    <row r="425" spans="1:24" ht="15.75" customHeight="1">
      <c r="A425" s="1190" t="s">
        <v>1300</v>
      </c>
      <c r="B425" s="1190" t="s">
        <v>2768</v>
      </c>
      <c r="C425" s="1192">
        <v>-544.63</v>
      </c>
      <c r="D425" s="1192">
        <v>-655.39</v>
      </c>
      <c r="E425" s="1192">
        <v>-1200.02</v>
      </c>
      <c r="F425" s="1190" t="s">
        <v>1287</v>
      </c>
      <c r="G425" s="1190" t="s">
        <v>1297</v>
      </c>
      <c r="H425" s="1171"/>
      <c r="I425" s="1172"/>
      <c r="J425" s="1172"/>
      <c r="K425" s="1172"/>
      <c r="L425" s="655" t="str">
        <f t="shared" si="186"/>
        <v>9167</v>
      </c>
      <c r="M425" s="656" t="str">
        <f t="shared" si="187"/>
        <v>REV ASSURANCE USAGE</v>
      </c>
      <c r="N425" s="657">
        <f>+IF(OR($Q425=Parametres!$G$2,$Q425=Parametres!$G$3),I425,C425)</f>
        <v>-544.63</v>
      </c>
      <c r="O425" s="657">
        <f>+IF(OR($Q425=Parametres!$G$2,$Q425=Parametres!$G$3),J425,D425)</f>
        <v>-655.39</v>
      </c>
      <c r="P425" s="657">
        <f>+IF(OR($Q425=Parametres!$G$2,$Q425=Parametres!$G$3),K425,E425)</f>
        <v>-1200.02</v>
      </c>
      <c r="Q425" s="656" t="str">
        <f t="shared" si="188"/>
        <v>8-Autres revenus</v>
      </c>
      <c r="R425" s="655" t="str">
        <f t="shared" si="189"/>
        <v>9163</v>
      </c>
      <c r="S425" s="656">
        <f t="shared" si="190"/>
        <v>0</v>
      </c>
      <c r="T425" s="658" t="str">
        <f>+VLOOKUP($L425,Data_Validation!$A:$D,1,0)</f>
        <v>9167</v>
      </c>
      <c r="U425" s="658" t="str">
        <f>+VLOOKUP($L425,Data_Validation!$A:$D,3,0)</f>
        <v>Véhicules usagés</v>
      </c>
      <c r="V425" s="658" t="str">
        <f>+VLOOKUP($L425,Data_Validation!$A:$D,4,0)</f>
        <v>Rev. Autres</v>
      </c>
      <c r="W425" s="658" t="str">
        <f>+VLOOKUP($L425,Data_Validation!$A:$E,5,0)</f>
        <v>$</v>
      </c>
      <c r="X425" s="658" t="str">
        <f>+VLOOKUP($L425,Data_Validation!$A:$F,6,0)</f>
        <v>Oui</v>
      </c>
    </row>
    <row r="426" spans="1:24" ht="15.75" customHeight="1">
      <c r="A426" s="1190" t="s">
        <v>1303</v>
      </c>
      <c r="B426" s="1190" t="s">
        <v>2771</v>
      </c>
      <c r="C426" s="1192">
        <v>-34834</v>
      </c>
      <c r="D426" s="1192">
        <v>-10433</v>
      </c>
      <c r="E426" s="1192">
        <v>-45267</v>
      </c>
      <c r="F426" s="1190" t="s">
        <v>1287</v>
      </c>
      <c r="G426" s="1190" t="s">
        <v>1293</v>
      </c>
      <c r="H426" s="1171"/>
      <c r="I426" s="1172"/>
      <c r="J426" s="1172"/>
      <c r="K426" s="1172"/>
      <c r="L426" s="655" t="str">
        <f t="shared" si="186"/>
        <v>9169</v>
      </c>
      <c r="M426" s="656" t="str">
        <f t="shared" si="187"/>
        <v>REV GARANTIE PROLONGEE NEUF</v>
      </c>
      <c r="N426" s="657">
        <f>+IF(OR($Q426=Parametres!$G$2,$Q426=Parametres!$G$3),I426,C426)</f>
        <v>-34834</v>
      </c>
      <c r="O426" s="657">
        <f>+IF(OR($Q426=Parametres!$G$2,$Q426=Parametres!$G$3),J426,D426)</f>
        <v>-10433</v>
      </c>
      <c r="P426" s="657">
        <f>+IF(OR($Q426=Parametres!$G$2,$Q426=Parametres!$G$3),K426,E426)</f>
        <v>-45267</v>
      </c>
      <c r="Q426" s="656" t="str">
        <f t="shared" si="188"/>
        <v>8-Autres revenus</v>
      </c>
      <c r="R426" s="655" t="str">
        <f t="shared" si="189"/>
        <v>9161</v>
      </c>
      <c r="S426" s="656">
        <f t="shared" si="190"/>
        <v>0</v>
      </c>
      <c r="T426" s="658" t="str">
        <f>+VLOOKUP($L426,Data_Validation!$A:$D,1,0)</f>
        <v>9169</v>
      </c>
      <c r="U426" s="658" t="str">
        <f>+VLOOKUP($L426,Data_Validation!$A:$D,3,0)</f>
        <v>Véhicules neufs</v>
      </c>
      <c r="V426" s="658" t="str">
        <f>+VLOOKUP($L426,Data_Validation!$A:$D,4,0)</f>
        <v>Rev. Protections</v>
      </c>
      <c r="W426" s="658" t="str">
        <f>+VLOOKUP($L426,Data_Validation!$A:$E,5,0)</f>
        <v>$</v>
      </c>
      <c r="X426" s="658" t="str">
        <f>+VLOOKUP($L426,Data_Validation!$A:$F,6,0)</f>
        <v>Oui</v>
      </c>
    </row>
    <row r="427" spans="1:24" ht="15.75" customHeight="1">
      <c r="A427" s="1190" t="s">
        <v>1304</v>
      </c>
      <c r="B427" s="1190" t="s">
        <v>2774</v>
      </c>
      <c r="C427" s="1192">
        <v>-139997.57</v>
      </c>
      <c r="D427" s="1192">
        <v>-45479.32</v>
      </c>
      <c r="E427" s="1192">
        <v>-185476.89</v>
      </c>
      <c r="F427" s="1190" t="s">
        <v>1287</v>
      </c>
      <c r="G427" s="1190" t="s">
        <v>1293</v>
      </c>
      <c r="H427" s="1171"/>
      <c r="I427" s="1172"/>
      <c r="J427" s="1172"/>
      <c r="K427" s="1172"/>
      <c r="L427" s="655" t="str">
        <f t="shared" si="186"/>
        <v>9170</v>
      </c>
      <c r="M427" s="656" t="str">
        <f t="shared" si="187"/>
        <v>PROFIT PROTECTIONS - NEUFS</v>
      </c>
      <c r="N427" s="657">
        <f>+IF(OR($Q427=Parametres!$G$2,$Q427=Parametres!$G$3),I427,C427)</f>
        <v>-139997.57</v>
      </c>
      <c r="O427" s="657">
        <f>+IF(OR($Q427=Parametres!$G$2,$Q427=Parametres!$G$3),J427,D427)</f>
        <v>-45479.32</v>
      </c>
      <c r="P427" s="657">
        <f>+IF(OR($Q427=Parametres!$G$2,$Q427=Parametres!$G$3),K427,E427)</f>
        <v>-185476.89</v>
      </c>
      <c r="Q427" s="656" t="str">
        <f t="shared" si="188"/>
        <v>8-Autres revenus</v>
      </c>
      <c r="R427" s="655" t="str">
        <f t="shared" si="189"/>
        <v>9161</v>
      </c>
      <c r="S427" s="656">
        <f t="shared" si="190"/>
        <v>0</v>
      </c>
      <c r="T427" s="658" t="str">
        <f>+VLOOKUP($L427,Data_Validation!$A:$D,1,0)</f>
        <v>9170</v>
      </c>
      <c r="U427" s="658" t="str">
        <f>+VLOOKUP($L427,Data_Validation!$A:$D,3,0)</f>
        <v>Véhicules neufs</v>
      </c>
      <c r="V427" s="658" t="str">
        <f>+VLOOKUP($L427,Data_Validation!$A:$D,4,0)</f>
        <v>Rev. Protections</v>
      </c>
      <c r="W427" s="658" t="str">
        <f>+VLOOKUP($L427,Data_Validation!$A:$E,5,0)</f>
        <v>$</v>
      </c>
      <c r="X427" s="658" t="str">
        <f>+VLOOKUP($L427,Data_Validation!$A:$F,6,0)</f>
        <v>Oui</v>
      </c>
    </row>
    <row r="428" spans="1:24" ht="15.75" customHeight="1">
      <c r="A428" s="1190" t="s">
        <v>1305</v>
      </c>
      <c r="B428" s="1190" t="s">
        <v>2777</v>
      </c>
      <c r="C428" s="1192">
        <v>-45800</v>
      </c>
      <c r="D428" s="1192">
        <v>-16775</v>
      </c>
      <c r="E428" s="1192">
        <v>-62575</v>
      </c>
      <c r="F428" s="1190" t="s">
        <v>1287</v>
      </c>
      <c r="G428" s="1190" t="s">
        <v>1297</v>
      </c>
      <c r="H428" s="1171"/>
      <c r="I428" s="1172"/>
      <c r="J428" s="1172"/>
      <c r="K428" s="1172"/>
      <c r="L428" s="655" t="str">
        <f t="shared" si="186"/>
        <v>9171</v>
      </c>
      <c r="M428" s="656" t="str">
        <f t="shared" si="187"/>
        <v>REV GARANTIE PROLONGEE USAGE</v>
      </c>
      <c r="N428" s="657">
        <f>+IF(OR($Q428=Parametres!$G$2,$Q428=Parametres!$G$3),I428,C428)</f>
        <v>-45800</v>
      </c>
      <c r="O428" s="657">
        <f>+IF(OR($Q428=Parametres!$G$2,$Q428=Parametres!$G$3),J428,D428)</f>
        <v>-16775</v>
      </c>
      <c r="P428" s="657">
        <f>+IF(OR($Q428=Parametres!$G$2,$Q428=Parametres!$G$3),K428,E428)</f>
        <v>-62575</v>
      </c>
      <c r="Q428" s="656" t="str">
        <f t="shared" si="188"/>
        <v>8-Autres revenus</v>
      </c>
      <c r="R428" s="655" t="str">
        <f t="shared" si="189"/>
        <v>9163</v>
      </c>
      <c r="S428" s="656">
        <f t="shared" si="190"/>
        <v>0</v>
      </c>
      <c r="T428" s="658" t="str">
        <f>+VLOOKUP($L428,Data_Validation!$A:$D,1,0)</f>
        <v>9171</v>
      </c>
      <c r="U428" s="658" t="str">
        <f>+VLOOKUP($L428,Data_Validation!$A:$D,3,0)</f>
        <v>Véhicules usagés</v>
      </c>
      <c r="V428" s="658" t="str">
        <f>+VLOOKUP($L428,Data_Validation!$A:$D,4,0)</f>
        <v>Rev. Protections</v>
      </c>
      <c r="W428" s="658" t="str">
        <f>+VLOOKUP($L428,Data_Validation!$A:$E,5,0)</f>
        <v>$</v>
      </c>
      <c r="X428" s="658" t="str">
        <f>+VLOOKUP($L428,Data_Validation!$A:$F,6,0)</f>
        <v>Oui</v>
      </c>
    </row>
    <row r="429" spans="1:24" ht="15.75" customHeight="1">
      <c r="A429" s="1190" t="s">
        <v>1308</v>
      </c>
      <c r="B429" s="1190" t="s">
        <v>2780</v>
      </c>
      <c r="C429" s="1192">
        <v>-15318.07</v>
      </c>
      <c r="D429" s="1192">
        <v>-10213.31</v>
      </c>
      <c r="E429" s="1192">
        <v>-25531.38</v>
      </c>
      <c r="F429" s="1190" t="s">
        <v>1287</v>
      </c>
      <c r="G429" s="1190" t="s">
        <v>1297</v>
      </c>
      <c r="H429" s="1171"/>
      <c r="I429" s="1172"/>
      <c r="J429" s="1172"/>
      <c r="K429" s="1172"/>
      <c r="L429" s="655" t="str">
        <f t="shared" si="186"/>
        <v>9172</v>
      </c>
      <c r="M429" s="656" t="str">
        <f t="shared" si="187"/>
        <v>PROFIT PROTECTIONS - USAGES</v>
      </c>
      <c r="N429" s="657">
        <f>+IF(OR($Q429=Parametres!$G$2,$Q429=Parametres!$G$3),I429,C429)</f>
        <v>-15318.07</v>
      </c>
      <c r="O429" s="657">
        <f>+IF(OR($Q429=Parametres!$G$2,$Q429=Parametres!$G$3),J429,D429)</f>
        <v>-10213.31</v>
      </c>
      <c r="P429" s="657">
        <f>+IF(OR($Q429=Parametres!$G$2,$Q429=Parametres!$G$3),K429,E429)</f>
        <v>-25531.38</v>
      </c>
      <c r="Q429" s="656" t="str">
        <f t="shared" si="188"/>
        <v>8-Autres revenus</v>
      </c>
      <c r="R429" s="655" t="str">
        <f t="shared" si="189"/>
        <v>9163</v>
      </c>
      <c r="S429" s="656">
        <f t="shared" si="190"/>
        <v>0</v>
      </c>
      <c r="T429" s="658" t="str">
        <f>+VLOOKUP($L429,Data_Validation!$A:$D,1,0)</f>
        <v>9172</v>
      </c>
      <c r="U429" s="658" t="str">
        <f>+VLOOKUP($L429,Data_Validation!$A:$D,3,0)</f>
        <v>Véhicules usagés</v>
      </c>
      <c r="V429" s="658" t="str">
        <f>+VLOOKUP($L429,Data_Validation!$A:$D,4,0)</f>
        <v>Rev. Protections</v>
      </c>
      <c r="W429" s="658" t="str">
        <f>+VLOOKUP($L429,Data_Validation!$A:$E,5,0)</f>
        <v>$</v>
      </c>
      <c r="X429" s="658" t="str">
        <f>+VLOOKUP($L429,Data_Validation!$A:$F,6,0)</f>
        <v>Oui</v>
      </c>
    </row>
    <row r="430" spans="1:24" ht="15.75" customHeight="1">
      <c r="A430" s="1190" t="s">
        <v>1311</v>
      </c>
      <c r="B430" s="1190" t="s">
        <v>2783</v>
      </c>
      <c r="C430" s="1192">
        <v>-89776</v>
      </c>
      <c r="D430" s="1192">
        <v>-36038</v>
      </c>
      <c r="E430" s="1192">
        <v>-125814</v>
      </c>
      <c r="F430" s="1190" t="s">
        <v>1287</v>
      </c>
      <c r="G430" s="1190" t="s">
        <v>1312</v>
      </c>
      <c r="H430" s="1171"/>
      <c r="I430" s="1172"/>
      <c r="J430" s="1172"/>
      <c r="K430" s="1172"/>
      <c r="L430" s="655" t="str">
        <f t="shared" si="186"/>
        <v>9173</v>
      </c>
      <c r="M430" s="656" t="str">
        <f t="shared" si="187"/>
        <v>FRAIS ADMIN. VOLKS</v>
      </c>
      <c r="N430" s="657">
        <f>+IF(OR($Q430=Parametres!$G$2,$Q430=Parametres!$G$3),I430,C430)</f>
        <v>-89776</v>
      </c>
      <c r="O430" s="657">
        <f>+IF(OR($Q430=Parametres!$G$2,$Q430=Parametres!$G$3),J430,D430)</f>
        <v>-36038</v>
      </c>
      <c r="P430" s="657">
        <f>+IF(OR($Q430=Parametres!$G$2,$Q430=Parametres!$G$3),K430,E430)</f>
        <v>-125814</v>
      </c>
      <c r="Q430" s="656" t="str">
        <f t="shared" si="188"/>
        <v>8-Autres revenus</v>
      </c>
      <c r="R430" s="655" t="str">
        <f t="shared" si="189"/>
        <v>9191</v>
      </c>
      <c r="S430" s="656">
        <f t="shared" si="190"/>
        <v>0</v>
      </c>
      <c r="T430" s="658" t="str">
        <f>+VLOOKUP($L430,Data_Validation!$A:$D,1,0)</f>
        <v>9173</v>
      </c>
      <c r="U430" s="658" t="str">
        <f>+VLOOKUP($L430,Data_Validation!$A:$D,3,0)</f>
        <v>Véhicules neufs</v>
      </c>
      <c r="V430" s="658" t="str">
        <f>+VLOOKUP($L430,Data_Validation!$A:$D,4,0)</f>
        <v>Frais administration</v>
      </c>
      <c r="W430" s="658" t="str">
        <f>+VLOOKUP($L430,Data_Validation!$A:$E,5,0)</f>
        <v>$</v>
      </c>
      <c r="X430" s="658">
        <f>+VLOOKUP($L430,Data_Validation!$A:$F,6,0)</f>
        <v>0</v>
      </c>
    </row>
    <row r="431" spans="1:24" ht="15.75" customHeight="1">
      <c r="A431" s="1190" t="s">
        <v>1313</v>
      </c>
      <c r="B431" s="1190" t="s">
        <v>3408</v>
      </c>
      <c r="C431" s="1192">
        <v>-17745</v>
      </c>
      <c r="D431" s="1192">
        <v>-6428</v>
      </c>
      <c r="E431" s="1192">
        <v>-24173</v>
      </c>
      <c r="F431" s="1190" t="s">
        <v>1287</v>
      </c>
      <c r="G431" s="1190" t="s">
        <v>1312</v>
      </c>
      <c r="H431" s="1171"/>
      <c r="I431" s="1172"/>
      <c r="J431" s="1172"/>
      <c r="K431" s="1172"/>
      <c r="L431" s="655" t="str">
        <f t="shared" si="186"/>
        <v>9174</v>
      </c>
      <c r="M431" s="656" t="str">
        <f t="shared" si="187"/>
        <v>FRAIS ADMIN. VW USAGE</v>
      </c>
      <c r="N431" s="657">
        <f>+IF(OR($Q431=Parametres!$G$2,$Q431=Parametres!$G$3),I431,C431)</f>
        <v>-17745</v>
      </c>
      <c r="O431" s="657">
        <f>+IF(OR($Q431=Parametres!$G$2,$Q431=Parametres!$G$3),J431,D431)</f>
        <v>-6428</v>
      </c>
      <c r="P431" s="657">
        <f>+IF(OR($Q431=Parametres!$G$2,$Q431=Parametres!$G$3),K431,E431)</f>
        <v>-24173</v>
      </c>
      <c r="Q431" s="656" t="str">
        <f t="shared" si="188"/>
        <v>8-Autres revenus</v>
      </c>
      <c r="R431" s="655" t="str">
        <f t="shared" si="189"/>
        <v>9191</v>
      </c>
      <c r="S431" s="656">
        <f t="shared" si="190"/>
        <v>0</v>
      </c>
      <c r="T431" s="658" t="str">
        <f>+VLOOKUP($L431,Data_Validation!$A:$D,1,0)</f>
        <v>9174</v>
      </c>
      <c r="U431" s="658" t="str">
        <f>+VLOOKUP($L431,Data_Validation!$A:$D,3,0)</f>
        <v>Véhicules usagés</v>
      </c>
      <c r="V431" s="658" t="str">
        <f>+VLOOKUP($L431,Data_Validation!$A:$D,4,0)</f>
        <v>Frais administration</v>
      </c>
      <c r="W431" s="658" t="str">
        <f>+VLOOKUP($L431,Data_Validation!$A:$E,5,0)</f>
        <v>$</v>
      </c>
      <c r="X431" s="658">
        <f>+VLOOKUP($L431,Data_Validation!$A:$F,6,0)</f>
        <v>0</v>
      </c>
    </row>
    <row r="432" spans="1:24" ht="15.75" customHeight="1">
      <c r="A432" s="1190" t="s">
        <v>1314</v>
      </c>
      <c r="B432" s="1190" t="s">
        <v>1312</v>
      </c>
      <c r="C432" s="1192">
        <v>-32559.52</v>
      </c>
      <c r="D432" s="1192">
        <v>-39288.01</v>
      </c>
      <c r="E432" s="1192">
        <v>-71847.53</v>
      </c>
      <c r="F432" s="1190" t="s">
        <v>1287</v>
      </c>
      <c r="G432" s="1190" t="s">
        <v>1312</v>
      </c>
      <c r="H432" s="1171"/>
      <c r="I432" s="1172"/>
      <c r="J432" s="1172"/>
      <c r="K432" s="1172"/>
      <c r="L432" s="655" t="str">
        <f t="shared" si="186"/>
        <v>9191</v>
      </c>
      <c r="M432" s="656" t="str">
        <f t="shared" si="187"/>
        <v>REVENUS DIVERS</v>
      </c>
      <c r="N432" s="657">
        <f>+IF(OR($Q432=Parametres!$G$2,$Q432=Parametres!$G$3),I432,C432)</f>
        <v>-32559.52</v>
      </c>
      <c r="O432" s="657">
        <f>+IF(OR($Q432=Parametres!$G$2,$Q432=Parametres!$G$3),J432,D432)</f>
        <v>-39288.01</v>
      </c>
      <c r="P432" s="657">
        <f>+IF(OR($Q432=Parametres!$G$2,$Q432=Parametres!$G$3),K432,E432)</f>
        <v>-71847.53</v>
      </c>
      <c r="Q432" s="656" t="str">
        <f t="shared" si="188"/>
        <v>8-Autres revenus</v>
      </c>
      <c r="R432" s="655" t="str">
        <f t="shared" si="189"/>
        <v>9191</v>
      </c>
      <c r="S432" s="656">
        <f t="shared" si="190"/>
        <v>0</v>
      </c>
      <c r="T432" s="658" t="str">
        <f>+VLOOKUP($L432,Data_Validation!$A:$D,1,0)</f>
        <v>9191</v>
      </c>
      <c r="U432" s="658" t="str">
        <f>+VLOOKUP($L432,Data_Validation!$A:$D,3,0)</f>
        <v>TOTAL  DES  REVENUS  ET  DÉPENSES</v>
      </c>
      <c r="V432" s="658" t="str">
        <f>+VLOOKUP($L432,Data_Validation!$A:$D,4,0)</f>
        <v>Revenus autres</v>
      </c>
      <c r="W432" s="658" t="str">
        <f>+VLOOKUP($L432,Data_Validation!$A:$E,5,0)</f>
        <v>$</v>
      </c>
      <c r="X432" s="658">
        <f>+VLOOKUP($L432,Data_Validation!$A:$F,6,0)</f>
        <v>0</v>
      </c>
    </row>
    <row r="433" spans="1:24" ht="15.75" customHeight="1">
      <c r="A433" s="1190" t="s">
        <v>1315</v>
      </c>
      <c r="B433" s="1190" t="s">
        <v>1317</v>
      </c>
      <c r="C433" s="1192">
        <v>0</v>
      </c>
      <c r="D433" s="1192">
        <v>-917.02</v>
      </c>
      <c r="E433" s="1192">
        <v>-917.02</v>
      </c>
      <c r="F433" s="1190" t="s">
        <v>1316</v>
      </c>
      <c r="G433" s="1190" t="s">
        <v>1317</v>
      </c>
      <c r="H433" s="1191"/>
      <c r="I433" s="1191"/>
      <c r="J433" s="1191"/>
      <c r="K433" s="1191"/>
      <c r="L433" s="655" t="str">
        <f t="shared" si="186"/>
        <v>9402</v>
      </c>
      <c r="M433" s="656" t="str">
        <f t="shared" si="187"/>
        <v>DEPENSE D'INTERETS</v>
      </c>
      <c r="N433" s="657">
        <f>+IF(OR($Q433=Parametres!$G$2,$Q433=Parametres!$G$3),I433,C433)</f>
        <v>0</v>
      </c>
      <c r="O433" s="657">
        <f>+IF(OR($Q433=Parametres!$G$2,$Q433=Parametres!$G$3),J433,D433)</f>
        <v>-917.02</v>
      </c>
      <c r="P433" s="657">
        <f>+IF(OR($Q433=Parametres!$G$2,$Q433=Parametres!$G$3),K433,E433)</f>
        <v>-917.02</v>
      </c>
      <c r="Q433" s="656" t="str">
        <f t="shared" si="188"/>
        <v>9-Autres déductions</v>
      </c>
      <c r="R433" s="655" t="str">
        <f t="shared" si="189"/>
        <v>9402</v>
      </c>
      <c r="S433" s="656">
        <f t="shared" si="190"/>
        <v>0</v>
      </c>
      <c r="T433" s="658" t="str">
        <f>+VLOOKUP($L433,Data_Validation!$A:$D,1,0)</f>
        <v>9402</v>
      </c>
      <c r="U433" s="658" t="str">
        <f>+VLOOKUP($L433,Data_Validation!$A:$D,3,0)</f>
        <v>TOTAL  DES  REVENUS  ET  DÉPENSES</v>
      </c>
      <c r="V433" s="658" t="str">
        <f>+VLOOKUP($L433,Data_Validation!$A:$D,4,0)</f>
        <v>Intérêts sur prêt</v>
      </c>
      <c r="W433" s="658" t="str">
        <f>+VLOOKUP($L433,Data_Validation!$A:$E,5,0)</f>
        <v>$</v>
      </c>
      <c r="X433" s="658">
        <f>+VLOOKUP($L433,Data_Validation!$A:$F,6,0)</f>
        <v>0</v>
      </c>
    </row>
    <row r="434" spans="1:24" ht="15.75" customHeight="1">
      <c r="A434" s="1190" t="s">
        <v>3903</v>
      </c>
      <c r="B434" s="1190" t="s">
        <v>3904</v>
      </c>
      <c r="C434" s="1192">
        <v>-15812.66</v>
      </c>
      <c r="D434" s="1192">
        <v>-4354.1000000000004</v>
      </c>
      <c r="E434" s="1192">
        <v>-20166.759999999998</v>
      </c>
      <c r="F434" s="1190" t="s">
        <v>1316</v>
      </c>
      <c r="G434" s="1190" t="s">
        <v>3955</v>
      </c>
      <c r="H434" s="1191"/>
      <c r="I434" s="1191"/>
      <c r="J434" s="1191"/>
      <c r="K434" s="1191"/>
      <c r="L434" s="655" t="str">
        <f t="shared" si="186"/>
        <v>9405</v>
      </c>
      <c r="M434" s="656" t="str">
        <f t="shared" si="187"/>
        <v>Revenus d'interets floor plan</v>
      </c>
      <c r="N434" s="657">
        <f>+IF(OR($Q434=Parametres!$G$2,$Q434=Parametres!$G$3),I434,C434)</f>
        <v>-15812.66</v>
      </c>
      <c r="O434" s="657">
        <f>+IF(OR($Q434=Parametres!$G$2,$Q434=Parametres!$G$3),J434,D434)</f>
        <v>-4354.1000000000004</v>
      </c>
      <c r="P434" s="657">
        <f>+IF(OR($Q434=Parametres!$G$2,$Q434=Parametres!$G$3),K434,E434)</f>
        <v>-20166.759999999998</v>
      </c>
      <c r="Q434" s="656" t="str">
        <f t="shared" si="188"/>
        <v>9-Autres déductions</v>
      </c>
      <c r="R434" s="655" t="str">
        <f t="shared" si="189"/>
        <v>940</v>
      </c>
      <c r="S434" s="656">
        <f t="shared" si="190"/>
        <v>0</v>
      </c>
      <c r="T434" s="658" t="str">
        <f>+VLOOKUP($L434,Data_Validation!$A:$D,1,0)</f>
        <v>9405</v>
      </c>
      <c r="U434" s="658" t="str">
        <f>+VLOOKUP($L434,Data_Validation!$A:$D,3,0)</f>
        <v>Autres</v>
      </c>
      <c r="V434" s="658" t="str">
        <f>+VLOOKUP($L434,Data_Validation!$A:$D,4,0)</f>
        <v>Revenus d'intérêts floor plan</v>
      </c>
      <c r="W434" s="658" t="str">
        <f>+VLOOKUP($L434,Data_Validation!$A:$E,5,0)</f>
        <v>$</v>
      </c>
      <c r="X434" s="658">
        <f>+VLOOKUP($L434,Data_Validation!$A:$F,6,0)</f>
        <v>0</v>
      </c>
    </row>
    <row r="435" spans="1:24" ht="15.75" customHeight="1">
      <c r="A435" s="1190" t="s">
        <v>1301</v>
      </c>
      <c r="B435" s="1190" t="s">
        <v>1302</v>
      </c>
      <c r="C435" s="1191"/>
      <c r="D435" s="1191"/>
      <c r="E435" s="1191"/>
      <c r="F435" s="1190" t="s">
        <v>7</v>
      </c>
      <c r="G435" s="1190" t="s">
        <v>1297</v>
      </c>
      <c r="H435" s="1191"/>
      <c r="I435" s="1192">
        <v>-1</v>
      </c>
      <c r="J435" s="1192">
        <v>-1</v>
      </c>
      <c r="K435" s="1192">
        <v>-2</v>
      </c>
      <c r="L435" s="655" t="str">
        <f t="shared" si="186"/>
        <v>9167@</v>
      </c>
      <c r="M435" s="656" t="str">
        <f t="shared" si="187"/>
        <v>ASSURANCE VIE USAGE</v>
      </c>
      <c r="N435" s="657">
        <f>+IF(OR($Q435=Parametres!$G$2,$Q435=Parametres!$G$3),I435,C435)</f>
        <v>-1</v>
      </c>
      <c r="O435" s="657">
        <f>+IF(OR($Q435=Parametres!$G$2,$Q435=Parametres!$G$3),J435,D435)</f>
        <v>-1</v>
      </c>
      <c r="P435" s="657">
        <f>+IF(OR($Q435=Parametres!$G$2,$Q435=Parametres!$G$3),K435,E435)</f>
        <v>-2</v>
      </c>
      <c r="Q435" s="656" t="str">
        <f t="shared" si="188"/>
        <v>10-Compte compteur</v>
      </c>
      <c r="R435" s="655" t="str">
        <f t="shared" si="189"/>
        <v>9163</v>
      </c>
      <c r="S435" s="656">
        <f t="shared" si="190"/>
        <v>0</v>
      </c>
      <c r="T435" s="658" t="str">
        <f>+VLOOKUP($L435,Data_Validation!$A:$D,1,0)</f>
        <v>9167@</v>
      </c>
      <c r="U435" s="658" t="str">
        <f>+VLOOKUP($L435,Data_Validation!$A:$D,3,0)</f>
        <v>Véhicules usagés</v>
      </c>
      <c r="V435" s="658">
        <f>+VLOOKUP($L435,Data_Validation!$A:$D,4,0)</f>
        <v>0</v>
      </c>
      <c r="W435" s="658" t="str">
        <f>+VLOOKUP($L435,Data_Validation!$A:$E,5,0)</f>
        <v>NB</v>
      </c>
      <c r="X435" s="658">
        <f>+VLOOKUP($L435,Data_Validation!$A:$F,6,0)</f>
        <v>0</v>
      </c>
    </row>
    <row r="436" spans="1:24" ht="15.75" customHeight="1">
      <c r="A436" s="1190" t="s">
        <v>3349</v>
      </c>
      <c r="B436" s="1190" t="s">
        <v>3350</v>
      </c>
      <c r="C436" s="1191"/>
      <c r="D436" s="1191"/>
      <c r="E436" s="1191"/>
      <c r="F436" s="1190" t="s">
        <v>7</v>
      </c>
      <c r="G436" s="1190" t="s">
        <v>1293</v>
      </c>
      <c r="H436" s="1191"/>
      <c r="I436" s="1192">
        <v>-27</v>
      </c>
      <c r="J436" s="1192">
        <v>-7</v>
      </c>
      <c r="K436" s="1192">
        <v>-34</v>
      </c>
      <c r="L436" s="655" t="str">
        <f t="shared" ref="L436:L449" si="191">TEXT(B436,0)</f>
        <v>9169@</v>
      </c>
      <c r="M436" s="656" t="str">
        <f t="shared" ref="M436:M449" si="192">+A436</f>
        <v>VENTES PEINTURE</v>
      </c>
      <c r="N436" s="657">
        <f>+IF(OR($Q436=Parametres!$G$2,$Q436=Parametres!$G$3),I436,C436)</f>
        <v>-27</v>
      </c>
      <c r="O436" s="657">
        <f>+IF(OR($Q436=Parametres!$G$2,$Q436=Parametres!$G$3),J436,D436)</f>
        <v>-7</v>
      </c>
      <c r="P436" s="657">
        <f>+IF(OR($Q436=Parametres!$G$2,$Q436=Parametres!$G$3),K436,E436)</f>
        <v>-34</v>
      </c>
      <c r="Q436" s="656" t="str">
        <f t="shared" ref="Q436:Q449" si="193">+F436</f>
        <v>10-Compte compteur</v>
      </c>
      <c r="R436" s="655" t="str">
        <f t="shared" ref="R436:R449" si="194">+G436</f>
        <v>9161</v>
      </c>
      <c r="S436" s="656">
        <f t="shared" ref="S436:S449" si="195">+H436</f>
        <v>0</v>
      </c>
      <c r="T436" s="658" t="str">
        <f>+VLOOKUP($L436,Data_Validation!$A:$D,1,0)</f>
        <v>9169@</v>
      </c>
      <c r="U436" s="658">
        <f>+VLOOKUP($L436,Data_Validation!$A:$D,3,0)</f>
        <v>0</v>
      </c>
      <c r="V436" s="658">
        <f>+VLOOKUP($L436,Data_Validation!$A:$D,4,0)</f>
        <v>0</v>
      </c>
      <c r="W436" s="658" t="str">
        <f>+VLOOKUP($L436,Data_Validation!$A:$E,5,0)</f>
        <v>NB</v>
      </c>
      <c r="X436" s="658">
        <f>+VLOOKUP($L436,Data_Validation!$A:$F,6,0)</f>
        <v>0</v>
      </c>
    </row>
    <row r="437" spans="1:24" ht="15.75" customHeight="1">
      <c r="A437" s="1190" t="s">
        <v>1306</v>
      </c>
      <c r="B437" s="1190" t="s">
        <v>1307</v>
      </c>
      <c r="C437" s="1191"/>
      <c r="D437" s="1191"/>
      <c r="E437" s="1191"/>
      <c r="F437" s="1190" t="s">
        <v>7</v>
      </c>
      <c r="G437" s="1190" t="s">
        <v>1297</v>
      </c>
      <c r="H437" s="1191"/>
      <c r="I437" s="1192">
        <v>-33</v>
      </c>
      <c r="J437" s="1192">
        <v>-12</v>
      </c>
      <c r="K437" s="1192">
        <v>-45</v>
      </c>
      <c r="L437" s="655" t="str">
        <f t="shared" si="191"/>
        <v>9171@</v>
      </c>
      <c r="M437" s="656" t="str">
        <f t="shared" si="192"/>
        <v>VENTE CHIMIQUE USAGE</v>
      </c>
      <c r="N437" s="657">
        <f>+IF(OR($Q437=Parametres!$G$2,$Q437=Parametres!$G$3),I437,C437)</f>
        <v>-33</v>
      </c>
      <c r="O437" s="657">
        <f>+IF(OR($Q437=Parametres!$G$2,$Q437=Parametres!$G$3),J437,D437)</f>
        <v>-12</v>
      </c>
      <c r="P437" s="657">
        <f>+IF(OR($Q437=Parametres!$G$2,$Q437=Parametres!$G$3),K437,E437)</f>
        <v>-45</v>
      </c>
      <c r="Q437" s="656" t="str">
        <f t="shared" si="193"/>
        <v>10-Compte compteur</v>
      </c>
      <c r="R437" s="655" t="str">
        <f t="shared" si="194"/>
        <v>9163</v>
      </c>
      <c r="S437" s="656">
        <f t="shared" si="195"/>
        <v>0</v>
      </c>
      <c r="T437" s="658" t="str">
        <f>+VLOOKUP($L437,Data_Validation!$A:$D,1,0)</f>
        <v>9171@</v>
      </c>
      <c r="U437" s="658" t="str">
        <f>+VLOOKUP($L437,Data_Validation!$A:$D,3,0)</f>
        <v>Véhicules usagés</v>
      </c>
      <c r="V437" s="658">
        <f>+VLOOKUP($L437,Data_Validation!$A:$D,4,0)</f>
        <v>0</v>
      </c>
      <c r="W437" s="658" t="str">
        <f>+VLOOKUP($L437,Data_Validation!$A:$E,5,0)</f>
        <v>NB</v>
      </c>
      <c r="X437" s="658">
        <f>+VLOOKUP($L437,Data_Validation!$A:$F,6,0)</f>
        <v>0</v>
      </c>
    </row>
    <row r="438" spans="1:24" ht="15.75" customHeight="1">
      <c r="A438" s="1190" t="s">
        <v>844</v>
      </c>
      <c r="B438" s="1190" t="s">
        <v>845</v>
      </c>
      <c r="C438" s="1191"/>
      <c r="D438" s="1191"/>
      <c r="E438" s="1191"/>
      <c r="F438" s="1190" t="s">
        <v>7</v>
      </c>
      <c r="G438" s="1190" t="s">
        <v>843</v>
      </c>
      <c r="H438" s="1191"/>
      <c r="I438" s="1192">
        <v>103</v>
      </c>
      <c r="J438" s="1192">
        <v>46</v>
      </c>
      <c r="K438" s="1192">
        <v>149</v>
      </c>
      <c r="L438" s="655" t="str">
        <f t="shared" si="191"/>
        <v>1402@</v>
      </c>
      <c r="M438" s="656" t="str">
        <f t="shared" si="192"/>
        <v># DE INVENTAIRE VEH.NEUFS VW</v>
      </c>
      <c r="N438" s="657">
        <f>+IF(OR($Q438=Parametres!$G$2,$Q438=Parametres!$G$3),I438,C438)</f>
        <v>103</v>
      </c>
      <c r="O438" s="657">
        <f>+IF(OR($Q438=Parametres!$G$2,$Q438=Parametres!$G$3),J438,D438)</f>
        <v>46</v>
      </c>
      <c r="P438" s="657">
        <f>+IF(OR($Q438=Parametres!$G$2,$Q438=Parametres!$G$3),K438,E438)</f>
        <v>149</v>
      </c>
      <c r="Q438" s="656" t="str">
        <f t="shared" si="193"/>
        <v>10-Compte compteur</v>
      </c>
      <c r="R438" s="655" t="str">
        <f t="shared" si="194"/>
        <v>1402</v>
      </c>
      <c r="S438" s="656">
        <f t="shared" si="195"/>
        <v>0</v>
      </c>
      <c r="T438" s="658" t="str">
        <f>+VLOOKUP($L438,Data_Validation!$A:$D,1,0)</f>
        <v>1402@</v>
      </c>
      <c r="U438" s="658" t="str">
        <f>+VLOOKUP($L438,Data_Validation!$A:$D,3,0)</f>
        <v>Bilan</v>
      </c>
      <c r="V438" s="658">
        <f>+VLOOKUP($L438,Data_Validation!$A:$D,4,0)</f>
        <v>0</v>
      </c>
      <c r="W438" s="658" t="str">
        <f>+VLOOKUP($L438,Data_Validation!$A:$E,5,0)</f>
        <v>NB</v>
      </c>
      <c r="X438" s="658">
        <f>+VLOOKUP($L438,Data_Validation!$A:$F,6,0)</f>
        <v>0</v>
      </c>
    </row>
    <row r="439" spans="1:24" ht="15.75" customHeight="1">
      <c r="A439" s="1190" t="s">
        <v>851</v>
      </c>
      <c r="B439" s="1190" t="s">
        <v>852</v>
      </c>
      <c r="C439" s="1191"/>
      <c r="D439" s="1191"/>
      <c r="E439" s="1191"/>
      <c r="F439" s="1190" t="s">
        <v>7</v>
      </c>
      <c r="G439" s="1190" t="s">
        <v>850</v>
      </c>
      <c r="H439" s="1191"/>
      <c r="I439" s="1192">
        <v>112</v>
      </c>
      <c r="J439" s="1192">
        <v>7</v>
      </c>
      <c r="K439" s="1192">
        <v>119</v>
      </c>
      <c r="L439" s="655" t="str">
        <f t="shared" si="191"/>
        <v>1416@</v>
      </c>
      <c r="M439" s="656" t="str">
        <f t="shared" si="192"/>
        <v># DE INV. VEH. USAGE VW</v>
      </c>
      <c r="N439" s="657">
        <f>+IF(OR($Q439=Parametres!$G$2,$Q439=Parametres!$G$3),I439,C439)</f>
        <v>112</v>
      </c>
      <c r="O439" s="657">
        <f>+IF(OR($Q439=Parametres!$G$2,$Q439=Parametres!$G$3),J439,D439)</f>
        <v>7</v>
      </c>
      <c r="P439" s="657">
        <f>+IF(OR($Q439=Parametres!$G$2,$Q439=Parametres!$G$3),K439,E439)</f>
        <v>119</v>
      </c>
      <c r="Q439" s="656" t="str">
        <f t="shared" si="193"/>
        <v>10-Compte compteur</v>
      </c>
      <c r="R439" s="655" t="str">
        <f t="shared" si="194"/>
        <v>1416</v>
      </c>
      <c r="S439" s="656">
        <f t="shared" si="195"/>
        <v>0</v>
      </c>
      <c r="T439" s="658" t="str">
        <f>+VLOOKUP($L439,Data_Validation!$A:$D,1,0)</f>
        <v>1416@</v>
      </c>
      <c r="U439" s="658" t="str">
        <f>+VLOOKUP($L439,Data_Validation!$A:$D,3,0)</f>
        <v>Bilan</v>
      </c>
      <c r="V439" s="658">
        <f>+VLOOKUP($L439,Data_Validation!$A:$D,4,0)</f>
        <v>0</v>
      </c>
      <c r="W439" s="658" t="str">
        <f>+VLOOKUP($L439,Data_Validation!$A:$E,5,0)</f>
        <v>NB</v>
      </c>
      <c r="X439" s="658">
        <f>+VLOOKUP($L439,Data_Validation!$A:$F,6,0)</f>
        <v>0</v>
      </c>
    </row>
    <row r="440" spans="1:24" ht="15.75" customHeight="1">
      <c r="A440" s="1190" t="s">
        <v>967</v>
      </c>
      <c r="B440" s="1190" t="s">
        <v>968</v>
      </c>
      <c r="C440" s="1191"/>
      <c r="D440" s="1191"/>
      <c r="E440" s="1191"/>
      <c r="F440" s="1190" t="s">
        <v>7</v>
      </c>
      <c r="G440" s="1190" t="s">
        <v>966</v>
      </c>
      <c r="H440" s="1191"/>
      <c r="I440" s="1192">
        <v>-31</v>
      </c>
      <c r="J440" s="1192">
        <v>-10</v>
      </c>
      <c r="K440" s="1192">
        <v>-41</v>
      </c>
      <c r="L440" s="655" t="str">
        <f t="shared" si="191"/>
        <v>4100@</v>
      </c>
      <c r="M440" s="656" t="str">
        <f t="shared" si="192"/>
        <v>RESERVE</v>
      </c>
      <c r="N440" s="657">
        <f>+IF(OR($Q440=Parametres!$G$2,$Q440=Parametres!$G$3),I440,C440)</f>
        <v>-31</v>
      </c>
      <c r="O440" s="657">
        <f>+IF(OR($Q440=Parametres!$G$2,$Q440=Parametres!$G$3),J440,D440)</f>
        <v>-10</v>
      </c>
      <c r="P440" s="657">
        <f>+IF(OR($Q440=Parametres!$G$2,$Q440=Parametres!$G$3),K440,E440)</f>
        <v>-41</v>
      </c>
      <c r="Q440" s="656" t="str">
        <f t="shared" si="193"/>
        <v>10-Compte compteur</v>
      </c>
      <c r="R440" s="655" t="str">
        <f t="shared" si="194"/>
        <v>4100</v>
      </c>
      <c r="S440" s="656">
        <f t="shared" si="195"/>
        <v>0</v>
      </c>
      <c r="T440" s="658" t="str">
        <f>+VLOOKUP($L440,Data_Validation!$A:$D,1,0)</f>
        <v>4100@</v>
      </c>
      <c r="U440" s="658" t="str">
        <f>+VLOOKUP($L440,Data_Validation!$A:$D,3,0)</f>
        <v>Véhicules neufs</v>
      </c>
      <c r="V440" s="658" t="str">
        <f>+VLOOKUP($L440,Data_Validation!$A:$D,4,0)</f>
        <v>Rachat bail</v>
      </c>
      <c r="W440" s="658" t="str">
        <f>+VLOOKUP($L440,Data_Validation!$A:$E,5,0)</f>
        <v>NB</v>
      </c>
      <c r="X440" s="658">
        <f>+VLOOKUP($L440,Data_Validation!$A:$F,6,0)</f>
        <v>0</v>
      </c>
    </row>
    <row r="441" spans="1:24" ht="15.75" customHeight="1">
      <c r="A441" s="1190" t="s">
        <v>971</v>
      </c>
      <c r="B441" s="1190" t="s">
        <v>972</v>
      </c>
      <c r="C441" s="1191"/>
      <c r="D441" s="1191"/>
      <c r="E441" s="1191"/>
      <c r="F441" s="1190" t="s">
        <v>7</v>
      </c>
      <c r="G441" s="1190" t="s">
        <v>970</v>
      </c>
      <c r="H441" s="1191"/>
      <c r="I441" s="1192">
        <v>-11</v>
      </c>
      <c r="J441" s="1192">
        <v>-3</v>
      </c>
      <c r="K441" s="1192">
        <v>-14</v>
      </c>
      <c r="L441" s="655" t="str">
        <f t="shared" si="191"/>
        <v>4109@</v>
      </c>
      <c r="M441" s="656" t="str">
        <f t="shared" si="192"/>
        <v># DE VENTE - GOLF R</v>
      </c>
      <c r="N441" s="657">
        <f>+IF(OR($Q441=Parametres!$G$2,$Q441=Parametres!$G$3),I441,C441)</f>
        <v>-11</v>
      </c>
      <c r="O441" s="657">
        <f>+IF(OR($Q441=Parametres!$G$2,$Q441=Parametres!$G$3),J441,D441)</f>
        <v>-3</v>
      </c>
      <c r="P441" s="657">
        <f>+IF(OR($Q441=Parametres!$G$2,$Q441=Parametres!$G$3),K441,E441)</f>
        <v>-14</v>
      </c>
      <c r="Q441" s="656" t="str">
        <f t="shared" si="193"/>
        <v>10-Compte compteur</v>
      </c>
      <c r="R441" s="655" t="str">
        <f t="shared" si="194"/>
        <v>4109</v>
      </c>
      <c r="S441" s="656">
        <f t="shared" si="195"/>
        <v>0</v>
      </c>
      <c r="T441" s="658" t="str">
        <f>+VLOOKUP($L441,Data_Validation!$A:$D,1,0)</f>
        <v>4109@</v>
      </c>
      <c r="U441" s="658" t="str">
        <f>+VLOOKUP($L441,Data_Validation!$A:$D,3,0)</f>
        <v>Véhicules neufs</v>
      </c>
      <c r="V441" s="658" t="str">
        <f>+VLOOKUP($L441,Data_Validation!$A:$D,4,0)</f>
        <v>Autos détail</v>
      </c>
      <c r="W441" s="658" t="str">
        <f>+VLOOKUP($L441,Data_Validation!$A:$E,5,0)</f>
        <v>NB</v>
      </c>
      <c r="X441" s="658">
        <f>+VLOOKUP($L441,Data_Validation!$A:$F,6,0)</f>
        <v>0</v>
      </c>
    </row>
    <row r="442" spans="1:24" ht="15.75" customHeight="1">
      <c r="A442" s="1190" t="s">
        <v>973</v>
      </c>
      <c r="B442" s="1190" t="s">
        <v>975</v>
      </c>
      <c r="C442" s="1191"/>
      <c r="D442" s="1191"/>
      <c r="E442" s="1191"/>
      <c r="F442" s="1190" t="s">
        <v>7</v>
      </c>
      <c r="G442" s="1190" t="s">
        <v>974</v>
      </c>
      <c r="H442" s="1191"/>
      <c r="I442" s="1192">
        <v>-17</v>
      </c>
      <c r="J442" s="1192">
        <v>-7</v>
      </c>
      <c r="K442" s="1192">
        <v>-24</v>
      </c>
      <c r="L442" s="655" t="str">
        <f t="shared" si="191"/>
        <v>4111@</v>
      </c>
      <c r="M442" s="656" t="str">
        <f t="shared" si="192"/>
        <v>JETTA/ JETTA GLI</v>
      </c>
      <c r="N442" s="657">
        <f>+IF(OR($Q442=Parametres!$G$2,$Q442=Parametres!$G$3),I442,C442)</f>
        <v>-17</v>
      </c>
      <c r="O442" s="657">
        <f>+IF(OR($Q442=Parametres!$G$2,$Q442=Parametres!$G$3),J442,D442)</f>
        <v>-7</v>
      </c>
      <c r="P442" s="657">
        <f>+IF(OR($Q442=Parametres!$G$2,$Q442=Parametres!$G$3),K442,E442)</f>
        <v>-24</v>
      </c>
      <c r="Q442" s="656" t="str">
        <f t="shared" si="193"/>
        <v>10-Compte compteur</v>
      </c>
      <c r="R442" s="655" t="str">
        <f t="shared" si="194"/>
        <v>4111</v>
      </c>
      <c r="S442" s="656">
        <f t="shared" si="195"/>
        <v>0</v>
      </c>
      <c r="T442" s="658" t="str">
        <f>+VLOOKUP($L442,Data_Validation!$A:$D,1,0)</f>
        <v>4111@</v>
      </c>
      <c r="U442" s="658" t="str">
        <f>+VLOOKUP($L442,Data_Validation!$A:$D,3,0)</f>
        <v>Véhicules neufs</v>
      </c>
      <c r="V442" s="658" t="str">
        <f>+VLOOKUP($L442,Data_Validation!$A:$D,4,0)</f>
        <v>Autos détail</v>
      </c>
      <c r="W442" s="658" t="str">
        <f>+VLOOKUP($L442,Data_Validation!$A:$E,5,0)</f>
        <v>NB</v>
      </c>
      <c r="X442" s="658">
        <f>+VLOOKUP($L442,Data_Validation!$A:$F,6,0)</f>
        <v>0</v>
      </c>
    </row>
    <row r="443" spans="1:24" ht="15.75" customHeight="1">
      <c r="A443" s="1190" t="s">
        <v>978</v>
      </c>
      <c r="B443" s="1190" t="s">
        <v>979</v>
      </c>
      <c r="C443" s="1191"/>
      <c r="D443" s="1191"/>
      <c r="E443" s="1191"/>
      <c r="F443" s="1190" t="s">
        <v>7</v>
      </c>
      <c r="G443" s="1190" t="s">
        <v>980</v>
      </c>
      <c r="H443" s="1191"/>
      <c r="I443" s="1192">
        <v>-41</v>
      </c>
      <c r="J443" s="1192">
        <v>-11</v>
      </c>
      <c r="K443" s="1192">
        <v>-52</v>
      </c>
      <c r="L443" s="655" t="str">
        <f t="shared" si="191"/>
        <v>4118@</v>
      </c>
      <c r="M443" s="656" t="str">
        <f t="shared" si="192"/>
        <v>TAOS</v>
      </c>
      <c r="N443" s="657">
        <f>+IF(OR($Q443=Parametres!$G$2,$Q443=Parametres!$G$3),I443,C443)</f>
        <v>-41</v>
      </c>
      <c r="O443" s="657">
        <f>+IF(OR($Q443=Parametres!$G$2,$Q443=Parametres!$G$3),J443,D443)</f>
        <v>-11</v>
      </c>
      <c r="P443" s="657">
        <f>+IF(OR($Q443=Parametres!$G$2,$Q443=Parametres!$G$3),K443,E443)</f>
        <v>-52</v>
      </c>
      <c r="Q443" s="656" t="str">
        <f t="shared" si="193"/>
        <v>10-Compte compteur</v>
      </c>
      <c r="R443" s="655" t="str">
        <f t="shared" si="194"/>
        <v>411</v>
      </c>
      <c r="S443" s="656">
        <f t="shared" si="195"/>
        <v>0</v>
      </c>
      <c r="T443" s="658" t="str">
        <f>+VLOOKUP($L443,Data_Validation!$A:$D,1,0)</f>
        <v>4118@</v>
      </c>
      <c r="U443" s="658" t="str">
        <f>+VLOOKUP($L443,Data_Validation!$A:$D,3,0)</f>
        <v>Véhicules neufs</v>
      </c>
      <c r="V443" s="658" t="str">
        <f>+VLOOKUP($L443,Data_Validation!$A:$D,4,0)</f>
        <v>Camions détail</v>
      </c>
      <c r="W443" s="658" t="str">
        <f>+VLOOKUP($L443,Data_Validation!$A:$E,5,0)</f>
        <v>NB</v>
      </c>
      <c r="X443" s="658">
        <f>+VLOOKUP($L443,Data_Validation!$A:$F,6,0)</f>
        <v>0</v>
      </c>
    </row>
    <row r="444" spans="1:24" ht="15.75" customHeight="1">
      <c r="A444" s="1190" t="s">
        <v>983</v>
      </c>
      <c r="B444" s="1190" t="s">
        <v>984</v>
      </c>
      <c r="C444" s="1191"/>
      <c r="D444" s="1191"/>
      <c r="E444" s="1191"/>
      <c r="F444" s="1190" t="s">
        <v>7</v>
      </c>
      <c r="G444" s="1190" t="s">
        <v>982</v>
      </c>
      <c r="H444" s="1191"/>
      <c r="I444" s="1192">
        <v>-19</v>
      </c>
      <c r="J444" s="1192">
        <v>-5</v>
      </c>
      <c r="K444" s="1192">
        <v>-24</v>
      </c>
      <c r="L444" s="655" t="str">
        <f t="shared" si="191"/>
        <v>4119@</v>
      </c>
      <c r="M444" s="656" t="str">
        <f t="shared" si="192"/>
        <v># DE VTE - ATLAS</v>
      </c>
      <c r="N444" s="657">
        <f>+IF(OR($Q444=Parametres!$G$2,$Q444=Parametres!$G$3),I444,C444)</f>
        <v>-19</v>
      </c>
      <c r="O444" s="657">
        <f>+IF(OR($Q444=Parametres!$G$2,$Q444=Parametres!$G$3),J444,D444)</f>
        <v>-5</v>
      </c>
      <c r="P444" s="657">
        <f>+IF(OR($Q444=Parametres!$G$2,$Q444=Parametres!$G$3),K444,E444)</f>
        <v>-24</v>
      </c>
      <c r="Q444" s="656" t="str">
        <f t="shared" si="193"/>
        <v>10-Compte compteur</v>
      </c>
      <c r="R444" s="655" t="str">
        <f t="shared" si="194"/>
        <v>4119</v>
      </c>
      <c r="S444" s="656">
        <f t="shared" si="195"/>
        <v>0</v>
      </c>
      <c r="T444" s="658" t="str">
        <f>+VLOOKUP($L444,Data_Validation!$A:$D,1,0)</f>
        <v>4119@</v>
      </c>
      <c r="U444" s="658" t="str">
        <f>+VLOOKUP($L444,Data_Validation!$A:$D,3,0)</f>
        <v>Véhicules neufs</v>
      </c>
      <c r="V444" s="658" t="str">
        <f>+VLOOKUP($L444,Data_Validation!$A:$D,4,0)</f>
        <v>Camions détail</v>
      </c>
      <c r="W444" s="658" t="str">
        <f>+VLOOKUP($L444,Data_Validation!$A:$E,5,0)</f>
        <v>NB</v>
      </c>
      <c r="X444" s="658">
        <f>+VLOOKUP($L444,Data_Validation!$A:$F,6,0)</f>
        <v>0</v>
      </c>
    </row>
    <row r="445" spans="1:24" ht="15.75" customHeight="1">
      <c r="A445" s="1190" t="s">
        <v>990</v>
      </c>
      <c r="B445" s="1190" t="s">
        <v>991</v>
      </c>
      <c r="C445" s="1191"/>
      <c r="D445" s="1191"/>
      <c r="E445" s="1191"/>
      <c r="F445" s="1190" t="s">
        <v>7</v>
      </c>
      <c r="G445" s="1190" t="s">
        <v>989</v>
      </c>
      <c r="H445" s="1191"/>
      <c r="I445" s="1192">
        <v>-16</v>
      </c>
      <c r="J445" s="1192">
        <v>-6</v>
      </c>
      <c r="K445" s="1192">
        <v>-22</v>
      </c>
      <c r="L445" s="655" t="str">
        <f t="shared" si="191"/>
        <v>4127@</v>
      </c>
      <c r="M445" s="656" t="str">
        <f t="shared" si="192"/>
        <v># DE VENTE - GOLF GTI</v>
      </c>
      <c r="N445" s="657">
        <f>+IF(OR($Q445=Parametres!$G$2,$Q445=Parametres!$G$3),I445,C445)</f>
        <v>-16</v>
      </c>
      <c r="O445" s="657">
        <f>+IF(OR($Q445=Parametres!$G$2,$Q445=Parametres!$G$3),J445,D445)</f>
        <v>-6</v>
      </c>
      <c r="P445" s="657">
        <f>+IF(OR($Q445=Parametres!$G$2,$Q445=Parametres!$G$3),K445,E445)</f>
        <v>-22</v>
      </c>
      <c r="Q445" s="656" t="str">
        <f t="shared" si="193"/>
        <v>10-Compte compteur</v>
      </c>
      <c r="R445" s="655" t="str">
        <f t="shared" si="194"/>
        <v>4127</v>
      </c>
      <c r="S445" s="656">
        <f t="shared" si="195"/>
        <v>0</v>
      </c>
      <c r="T445" s="658" t="str">
        <f>+VLOOKUP($L445,Data_Validation!$A:$D,1,0)</f>
        <v>4127@</v>
      </c>
      <c r="U445" s="658" t="str">
        <f>+VLOOKUP($L445,Data_Validation!$A:$D,3,0)</f>
        <v>Véhicules neufs</v>
      </c>
      <c r="V445" s="658" t="str">
        <f>+VLOOKUP($L445,Data_Validation!$A:$D,4,0)</f>
        <v>Autos détail</v>
      </c>
      <c r="W445" s="658" t="str">
        <f>+VLOOKUP($L445,Data_Validation!$A:$E,5,0)</f>
        <v>NB</v>
      </c>
      <c r="X445" s="658">
        <f>+VLOOKUP($L445,Data_Validation!$A:$F,6,0)</f>
        <v>0</v>
      </c>
    </row>
    <row r="446" spans="1:24" ht="15.75" customHeight="1">
      <c r="A446" s="1190" t="s">
        <v>994</v>
      </c>
      <c r="B446" s="1190" t="s">
        <v>995</v>
      </c>
      <c r="C446" s="1191"/>
      <c r="D446" s="1191"/>
      <c r="E446" s="1191"/>
      <c r="F446" s="1190" t="s">
        <v>7</v>
      </c>
      <c r="G446" s="1190" t="s">
        <v>993</v>
      </c>
      <c r="H446" s="1191"/>
      <c r="I446" s="1192">
        <v>-37</v>
      </c>
      <c r="J446" s="1192">
        <v>-13</v>
      </c>
      <c r="K446" s="1192">
        <v>-50</v>
      </c>
      <c r="L446" s="655" t="str">
        <f t="shared" si="191"/>
        <v>4131@</v>
      </c>
      <c r="M446" s="656" t="str">
        <f t="shared" si="192"/>
        <v># DE VTE - TIGUAN LWB</v>
      </c>
      <c r="N446" s="657">
        <f>+IF(OR($Q446=Parametres!$G$2,$Q446=Parametres!$G$3),I446,C446)</f>
        <v>-37</v>
      </c>
      <c r="O446" s="657">
        <f>+IF(OR($Q446=Parametres!$G$2,$Q446=Parametres!$G$3),J446,D446)</f>
        <v>-13</v>
      </c>
      <c r="P446" s="657">
        <f>+IF(OR($Q446=Parametres!$G$2,$Q446=Parametres!$G$3),K446,E446)</f>
        <v>-50</v>
      </c>
      <c r="Q446" s="656" t="str">
        <f t="shared" si="193"/>
        <v>10-Compte compteur</v>
      </c>
      <c r="R446" s="655" t="str">
        <f t="shared" si="194"/>
        <v>4131</v>
      </c>
      <c r="S446" s="656">
        <f t="shared" si="195"/>
        <v>0</v>
      </c>
      <c r="T446" s="658" t="str">
        <f>+VLOOKUP($L446,Data_Validation!$A:$D,1,0)</f>
        <v>4131@</v>
      </c>
      <c r="U446" s="658" t="str">
        <f>+VLOOKUP($L446,Data_Validation!$A:$D,3,0)</f>
        <v>Véhicules neufs</v>
      </c>
      <c r="V446" s="658" t="str">
        <f>+VLOOKUP($L446,Data_Validation!$A:$D,4,0)</f>
        <v>Camions détail</v>
      </c>
      <c r="W446" s="658" t="str">
        <f>+VLOOKUP($L446,Data_Validation!$A:$E,5,0)</f>
        <v>NB</v>
      </c>
      <c r="X446" s="658">
        <f>+VLOOKUP($L446,Data_Validation!$A:$F,6,0)</f>
        <v>0</v>
      </c>
    </row>
    <row r="447" spans="1:24" ht="15.75" customHeight="1">
      <c r="A447" s="1190" t="s">
        <v>998</v>
      </c>
      <c r="B447" s="1190" t="s">
        <v>999</v>
      </c>
      <c r="C447" s="1191"/>
      <c r="D447" s="1191"/>
      <c r="E447" s="1191"/>
      <c r="F447" s="1190" t="s">
        <v>7</v>
      </c>
      <c r="G447" s="1190" t="s">
        <v>997</v>
      </c>
      <c r="H447" s="1191"/>
      <c r="I447" s="1192">
        <v>-2</v>
      </c>
      <c r="J447" s="1192">
        <v>0</v>
      </c>
      <c r="K447" s="1192">
        <v>-2</v>
      </c>
      <c r="L447" s="655" t="str">
        <f t="shared" si="191"/>
        <v>4137@</v>
      </c>
      <c r="M447" s="656" t="str">
        <f t="shared" si="192"/>
        <v>VW FLOTTE/VENTE ENTR/EMPLOYE/VEH DEMONST</v>
      </c>
      <c r="N447" s="657">
        <f>+IF(OR($Q447=Parametres!$G$2,$Q447=Parametres!$G$3),I447,C447)</f>
        <v>-2</v>
      </c>
      <c r="O447" s="657">
        <f>+IF(OR($Q447=Parametres!$G$2,$Q447=Parametres!$G$3),J447,D447)</f>
        <v>0</v>
      </c>
      <c r="P447" s="657">
        <f>+IF(OR($Q447=Parametres!$G$2,$Q447=Parametres!$G$3),K447,E447)</f>
        <v>-2</v>
      </c>
      <c r="Q447" s="656" t="str">
        <f t="shared" si="193"/>
        <v>10-Compte compteur</v>
      </c>
      <c r="R447" s="655" t="str">
        <f t="shared" si="194"/>
        <v>4137</v>
      </c>
      <c r="S447" s="656">
        <f t="shared" si="195"/>
        <v>0</v>
      </c>
      <c r="T447" s="658" t="str">
        <f>+VLOOKUP($L447,Data_Validation!$A:$D,1,0)</f>
        <v>4137@</v>
      </c>
      <c r="U447" s="658" t="str">
        <f>+VLOOKUP($L447,Data_Validation!$A:$D,3,0)</f>
        <v>Véhicules neufs</v>
      </c>
      <c r="V447" s="658" t="str">
        <f>+VLOOKUP($L447,Data_Validation!$A:$D,4,0)</f>
        <v>Flottes</v>
      </c>
      <c r="W447" s="658" t="str">
        <f>+VLOOKUP($L447,Data_Validation!$A:$E,5,0)</f>
        <v>NB</v>
      </c>
      <c r="X447" s="658">
        <f>+VLOOKUP($L447,Data_Validation!$A:$F,6,0)</f>
        <v>0</v>
      </c>
    </row>
    <row r="448" spans="1:24" ht="15.75" customHeight="1">
      <c r="A448" s="1190" t="s">
        <v>1002</v>
      </c>
      <c r="B448" s="1190" t="s">
        <v>1003</v>
      </c>
      <c r="C448" s="1191"/>
      <c r="D448" s="1191"/>
      <c r="E448" s="1191"/>
      <c r="F448" s="1190" t="s">
        <v>7</v>
      </c>
      <c r="G448" s="1190" t="s">
        <v>1001</v>
      </c>
      <c r="H448" s="1191"/>
      <c r="I448" s="1192">
        <v>-8</v>
      </c>
      <c r="J448" s="1192">
        <v>-4</v>
      </c>
      <c r="K448" s="1192">
        <v>-12</v>
      </c>
      <c r="L448" s="655" t="str">
        <f t="shared" si="191"/>
        <v>4139@</v>
      </c>
      <c r="M448" s="656" t="str">
        <f t="shared" si="192"/>
        <v>VENTES A PARK AVENUE LOCATION</v>
      </c>
      <c r="N448" s="657">
        <f>+IF(OR($Q448=Parametres!$G$2,$Q448=Parametres!$G$3),I448,C448)</f>
        <v>-8</v>
      </c>
      <c r="O448" s="657">
        <f>+IF(OR($Q448=Parametres!$G$2,$Q448=Parametres!$G$3),J448,D448)</f>
        <v>-4</v>
      </c>
      <c r="P448" s="657">
        <f>+IF(OR($Q448=Parametres!$G$2,$Q448=Parametres!$G$3),K448,E448)</f>
        <v>-12</v>
      </c>
      <c r="Q448" s="656" t="str">
        <f t="shared" si="193"/>
        <v>10-Compte compteur</v>
      </c>
      <c r="R448" s="655" t="str">
        <f t="shared" si="194"/>
        <v>4139</v>
      </c>
      <c r="S448" s="656">
        <f t="shared" si="195"/>
        <v>0</v>
      </c>
      <c r="T448" s="658" t="str">
        <f>+VLOOKUP($L448,Data_Validation!$A:$D,1,0)</f>
        <v>4139@</v>
      </c>
      <c r="U448" s="658" t="str">
        <f>+VLOOKUP($L448,Data_Validation!$A:$D,3,0)</f>
        <v>Véhicules neufs</v>
      </c>
      <c r="V448" s="658" t="str">
        <f>+VLOOKUP($L448,Data_Validation!$A:$D,4,0)</f>
        <v>Ex-Démos et courtoisies</v>
      </c>
      <c r="W448" s="658" t="str">
        <f>+VLOOKUP($L448,Data_Validation!$A:$E,5,0)</f>
        <v>NB</v>
      </c>
      <c r="X448" s="658">
        <f>+VLOOKUP($L448,Data_Validation!$A:$F,6,0)</f>
        <v>0</v>
      </c>
    </row>
    <row r="449" spans="1:24" ht="15.75" customHeight="1">
      <c r="A449" s="1190" t="s">
        <v>3925</v>
      </c>
      <c r="B449" s="1190" t="s">
        <v>3926</v>
      </c>
      <c r="C449" s="1191"/>
      <c r="D449" s="1191"/>
      <c r="E449" s="1191"/>
      <c r="F449" s="1190" t="s">
        <v>7</v>
      </c>
      <c r="G449" s="1190" t="s">
        <v>3921</v>
      </c>
      <c r="H449" s="1191"/>
      <c r="I449" s="1192">
        <v>-40</v>
      </c>
      <c r="J449" s="1192">
        <v>-22</v>
      </c>
      <c r="K449" s="1192">
        <v>-62</v>
      </c>
      <c r="L449" s="655" t="str">
        <f t="shared" si="191"/>
        <v>4141@</v>
      </c>
      <c r="M449" s="656" t="str">
        <f t="shared" si="192"/>
        <v># DE VTW - ID4</v>
      </c>
      <c r="N449" s="657">
        <f>+IF(OR($Q449=Parametres!$G$2,$Q449=Parametres!$G$3),I449,C449)</f>
        <v>-40</v>
      </c>
      <c r="O449" s="657">
        <f>+IF(OR($Q449=Parametres!$G$2,$Q449=Parametres!$G$3),J449,D449)</f>
        <v>-22</v>
      </c>
      <c r="P449" s="657">
        <f>+IF(OR($Q449=Parametres!$G$2,$Q449=Parametres!$G$3),K449,E449)</f>
        <v>-62</v>
      </c>
      <c r="Q449" s="656" t="str">
        <f t="shared" si="193"/>
        <v>10-Compte compteur</v>
      </c>
      <c r="R449" s="655" t="str">
        <f t="shared" si="194"/>
        <v>4141</v>
      </c>
      <c r="S449" s="656">
        <f t="shared" si="195"/>
        <v>0</v>
      </c>
      <c r="T449" s="658" t="str">
        <f>+VLOOKUP($L449,Data_Validation!$A:$D,1,0)</f>
        <v>4141@</v>
      </c>
      <c r="U449" s="658" t="str">
        <f>+VLOOKUP($L449,Data_Validation!$A:$D,3,0)</f>
        <v>Véhicules neufs</v>
      </c>
      <c r="V449" s="658" t="str">
        <f>+VLOOKUP($L449,Data_Validation!$A:$D,4,0)</f>
        <v>Camions détail</v>
      </c>
      <c r="W449" s="658" t="str">
        <f>+VLOOKUP($L449,Data_Validation!$A:$E,5,0)</f>
        <v>NB</v>
      </c>
      <c r="X449" s="658">
        <f>+VLOOKUP($L449,Data_Validation!$A:$F,6,0)</f>
        <v>0</v>
      </c>
    </row>
    <row r="450" spans="1:24" ht="15.75" customHeight="1">
      <c r="A450" s="1190" t="s">
        <v>1006</v>
      </c>
      <c r="B450" s="1190" t="s">
        <v>1007</v>
      </c>
      <c r="C450" s="1191"/>
      <c r="D450" s="1191"/>
      <c r="E450" s="1191"/>
      <c r="F450" s="1190" t="s">
        <v>7</v>
      </c>
      <c r="G450" s="1190" t="s">
        <v>1005</v>
      </c>
      <c r="H450" s="1191"/>
      <c r="I450" s="1192">
        <v>-4</v>
      </c>
      <c r="J450" s="1192">
        <v>-2</v>
      </c>
      <c r="K450" s="1192">
        <v>-6</v>
      </c>
      <c r="L450" s="655" t="str">
        <f t="shared" ref="L450" si="196">TEXT(B450,0)</f>
        <v>4144@</v>
      </c>
      <c r="M450" s="656" t="str">
        <f t="shared" ref="M450" si="197">+A450</f>
        <v># OF VTES -JETTA GLI</v>
      </c>
      <c r="N450" s="657">
        <f>+IF(OR($Q450=Parametres!$G$2,$Q450=Parametres!$G$3),I450,C450)</f>
        <v>-4</v>
      </c>
      <c r="O450" s="657">
        <f>+IF(OR($Q450=Parametres!$G$2,$Q450=Parametres!$G$3),J450,D450)</f>
        <v>-2</v>
      </c>
      <c r="P450" s="657">
        <f>+IF(OR($Q450=Parametres!$G$2,$Q450=Parametres!$G$3),K450,E450)</f>
        <v>-6</v>
      </c>
      <c r="Q450" s="656" t="str">
        <f t="shared" ref="Q450" si="198">+F450</f>
        <v>10-Compte compteur</v>
      </c>
      <c r="R450" s="655" t="str">
        <f t="shared" ref="R450" si="199">+G450</f>
        <v>414</v>
      </c>
      <c r="S450" s="656">
        <f t="shared" ref="S450" si="200">+H450</f>
        <v>0</v>
      </c>
      <c r="T450" s="658" t="str">
        <f>+VLOOKUP($L450,Data_Validation!$A:$D,1,0)</f>
        <v>4144@</v>
      </c>
      <c r="U450" s="658" t="str">
        <f>+VLOOKUP($L450,Data_Validation!$A:$D,3,0)</f>
        <v>Véhicules neufs</v>
      </c>
      <c r="V450" s="658" t="str">
        <f>+VLOOKUP($L450,Data_Validation!$A:$D,4,0)</f>
        <v>Autos détail</v>
      </c>
      <c r="W450" s="658" t="str">
        <f>+VLOOKUP($L450,Data_Validation!$A:$E,5,0)</f>
        <v>NB</v>
      </c>
      <c r="X450" s="658">
        <f>+VLOOKUP($L450,Data_Validation!$A:$F,6,0)</f>
        <v>0</v>
      </c>
    </row>
    <row r="451" spans="1:24" ht="15.75" customHeight="1">
      <c r="A451" s="1190" t="s">
        <v>1010</v>
      </c>
      <c r="B451" s="1190" t="s">
        <v>1011</v>
      </c>
      <c r="C451" s="1191"/>
      <c r="D451" s="1191"/>
      <c r="E451" s="1191"/>
      <c r="F451" s="1190" t="s">
        <v>7</v>
      </c>
      <c r="G451" s="1190" t="s">
        <v>1009</v>
      </c>
      <c r="H451" s="1191"/>
      <c r="I451" s="1192">
        <v>-58</v>
      </c>
      <c r="J451" s="1192">
        <v>-22</v>
      </c>
      <c r="K451" s="1192">
        <v>-80</v>
      </c>
      <c r="L451" s="655" t="str">
        <f t="shared" ref="L451:L466" si="201">TEXT(B451,0)</f>
        <v>4201@</v>
      </c>
      <c r="M451" s="656" t="str">
        <f t="shared" ref="M451:M466" si="202">+A451</f>
        <v># DE VTE - VEH.USAGE VW DET.CERT.</v>
      </c>
      <c r="N451" s="657">
        <f>+IF(OR($Q451=Parametres!$G$2,$Q451=Parametres!$G$3),I451,C451)</f>
        <v>-58</v>
      </c>
      <c r="O451" s="657">
        <f>+IF(OR($Q451=Parametres!$G$2,$Q451=Parametres!$G$3),J451,D451)</f>
        <v>-22</v>
      </c>
      <c r="P451" s="657">
        <f>+IF(OR($Q451=Parametres!$G$2,$Q451=Parametres!$G$3),K451,E451)</f>
        <v>-80</v>
      </c>
      <c r="Q451" s="656" t="str">
        <f t="shared" ref="Q451:Q466" si="203">+F451</f>
        <v>10-Compte compteur</v>
      </c>
      <c r="R451" s="655" t="str">
        <f t="shared" ref="R451:R466" si="204">+G451</f>
        <v>4201</v>
      </c>
      <c r="S451" s="656">
        <f t="shared" ref="S451:S466" si="205">+H451</f>
        <v>0</v>
      </c>
      <c r="T451" s="658" t="str">
        <f>+VLOOKUP($L451,Data_Validation!$A:$D,1,0)</f>
        <v>4201@</v>
      </c>
      <c r="U451" s="658" t="str">
        <f>+VLOOKUP($L451,Data_Validation!$A:$D,3,0)</f>
        <v>Véhicules usagés</v>
      </c>
      <c r="V451" s="658" t="str">
        <f>+VLOOKUP($L451,Data_Validation!$A:$D,4,0)</f>
        <v>Certifié</v>
      </c>
      <c r="W451" s="658" t="str">
        <f>+VLOOKUP($L451,Data_Validation!$A:$E,5,0)</f>
        <v>NB</v>
      </c>
      <c r="X451" s="658">
        <f>+VLOOKUP($L451,Data_Validation!$A:$F,6,0)</f>
        <v>0</v>
      </c>
    </row>
    <row r="452" spans="1:24" ht="15.75" customHeight="1">
      <c r="A452" s="1190" t="s">
        <v>1014</v>
      </c>
      <c r="B452" s="1190" t="s">
        <v>1015</v>
      </c>
      <c r="C452" s="1191"/>
      <c r="D452" s="1191"/>
      <c r="E452" s="1191"/>
      <c r="F452" s="1190" t="s">
        <v>7</v>
      </c>
      <c r="G452" s="1190" t="s">
        <v>1013</v>
      </c>
      <c r="H452" s="1191"/>
      <c r="I452" s="1192">
        <v>-1</v>
      </c>
      <c r="J452" s="1192">
        <v>0</v>
      </c>
      <c r="K452" s="1192">
        <v>-1</v>
      </c>
      <c r="L452" s="655" t="str">
        <f t="shared" si="201"/>
        <v>4211@</v>
      </c>
      <c r="M452" s="656" t="str">
        <f t="shared" si="202"/>
        <v>VENTES USED DET. CHAMBLY</v>
      </c>
      <c r="N452" s="657">
        <f>+IF(OR($Q452=Parametres!$G$2,$Q452=Parametres!$G$3),I452,C452)</f>
        <v>-1</v>
      </c>
      <c r="O452" s="657">
        <f>+IF(OR($Q452=Parametres!$G$2,$Q452=Parametres!$G$3),J452,D452)</f>
        <v>0</v>
      </c>
      <c r="P452" s="657">
        <f>+IF(OR($Q452=Parametres!$G$2,$Q452=Parametres!$G$3),K452,E452)</f>
        <v>-1</v>
      </c>
      <c r="Q452" s="656" t="str">
        <f t="shared" si="203"/>
        <v>10-Compte compteur</v>
      </c>
      <c r="R452" s="655" t="str">
        <f t="shared" si="204"/>
        <v>4211</v>
      </c>
      <c r="S452" s="656">
        <f t="shared" si="205"/>
        <v>0</v>
      </c>
      <c r="T452" s="658" t="str">
        <f>+VLOOKUP($L452,Data_Validation!$A:$D,1,0)</f>
        <v>4211@</v>
      </c>
      <c r="U452" s="658" t="str">
        <f>+VLOOKUP($L452,Data_Validation!$A:$D,3,0)</f>
        <v>Véhicules usagés</v>
      </c>
      <c r="V452" s="658" t="str">
        <f>+VLOOKUP($L452,Data_Validation!$A:$D,4,0)</f>
        <v>Non Certifié</v>
      </c>
      <c r="W452" s="658" t="str">
        <f>+VLOOKUP($L452,Data_Validation!$A:$E,5,0)</f>
        <v>NB</v>
      </c>
      <c r="X452" s="658">
        <f>+VLOOKUP($L452,Data_Validation!$A:$F,6,0)</f>
        <v>0</v>
      </c>
    </row>
    <row r="453" spans="1:24" ht="15.75" customHeight="1">
      <c r="A453" s="1190" t="s">
        <v>1018</v>
      </c>
      <c r="B453" s="1190" t="s">
        <v>1019</v>
      </c>
      <c r="C453" s="1191"/>
      <c r="D453" s="1191"/>
      <c r="E453" s="1191"/>
      <c r="F453" s="1190" t="s">
        <v>7</v>
      </c>
      <c r="G453" s="1190" t="s">
        <v>1017</v>
      </c>
      <c r="H453" s="1191"/>
      <c r="I453" s="1192">
        <v>-2</v>
      </c>
      <c r="J453" s="1192">
        <v>-1</v>
      </c>
      <c r="K453" s="1192">
        <v>-3</v>
      </c>
      <c r="L453" s="655" t="str">
        <f t="shared" si="201"/>
        <v>4285@</v>
      </c>
      <c r="M453" s="656" t="str">
        <f t="shared" si="202"/>
        <v>AUTRE MARQUES DETAIL - USAGE</v>
      </c>
      <c r="N453" s="657">
        <f>+IF(OR($Q453=Parametres!$G$2,$Q453=Parametres!$G$3),I453,C453)</f>
        <v>-2</v>
      </c>
      <c r="O453" s="657">
        <f>+IF(OR($Q453=Parametres!$G$2,$Q453=Parametres!$G$3),J453,D453)</f>
        <v>-1</v>
      </c>
      <c r="P453" s="657">
        <f>+IF(OR($Q453=Parametres!$G$2,$Q453=Parametres!$G$3),K453,E453)</f>
        <v>-3</v>
      </c>
      <c r="Q453" s="656" t="str">
        <f t="shared" si="203"/>
        <v>10-Compte compteur</v>
      </c>
      <c r="R453" s="655" t="str">
        <f t="shared" si="204"/>
        <v>4261</v>
      </c>
      <c r="S453" s="656">
        <f t="shared" si="205"/>
        <v>0</v>
      </c>
      <c r="T453" s="658" t="str">
        <f>+VLOOKUP($L453,Data_Validation!$A:$D,1,0)</f>
        <v>4285@</v>
      </c>
      <c r="U453" s="658" t="str">
        <f>+VLOOKUP($L453,Data_Validation!$A:$D,3,0)</f>
        <v>Véhicules usagés</v>
      </c>
      <c r="V453" s="658" t="str">
        <f>+VLOOKUP($L453,Data_Validation!$A:$D,4,0)</f>
        <v>Non Certifié</v>
      </c>
      <c r="W453" s="658" t="str">
        <f>+VLOOKUP($L453,Data_Validation!$A:$E,5,0)</f>
        <v>NB</v>
      </c>
      <c r="X453" s="658">
        <f>+VLOOKUP($L453,Data_Validation!$A:$F,6,0)</f>
        <v>0</v>
      </c>
    </row>
    <row r="454" spans="1:24" ht="15.75" customHeight="1">
      <c r="A454" s="1190" t="s">
        <v>1022</v>
      </c>
      <c r="B454" s="1190" t="s">
        <v>1023</v>
      </c>
      <c r="C454" s="1191"/>
      <c r="D454" s="1191"/>
      <c r="E454" s="1191"/>
      <c r="F454" s="1190" t="s">
        <v>7</v>
      </c>
      <c r="G454" s="1190" t="s">
        <v>1021</v>
      </c>
      <c r="H454" s="1191"/>
      <c r="I454" s="1192">
        <v>-112</v>
      </c>
      <c r="J454" s="1192">
        <v>-31</v>
      </c>
      <c r="K454" s="1192">
        <v>-143</v>
      </c>
      <c r="L454" s="655" t="str">
        <f t="shared" si="201"/>
        <v>4291@</v>
      </c>
      <c r="M454" s="656" t="str">
        <f t="shared" si="202"/>
        <v>VENTE AU GROS - USAGES</v>
      </c>
      <c r="N454" s="657">
        <f>+IF(OR($Q454=Parametres!$G$2,$Q454=Parametres!$G$3),I454,C454)</f>
        <v>-112</v>
      </c>
      <c r="O454" s="657">
        <f>+IF(OR($Q454=Parametres!$G$2,$Q454=Parametres!$G$3),J454,D454)</f>
        <v>-31</v>
      </c>
      <c r="P454" s="657">
        <f>+IF(OR($Q454=Parametres!$G$2,$Q454=Parametres!$G$3),K454,E454)</f>
        <v>-143</v>
      </c>
      <c r="Q454" s="656" t="str">
        <f t="shared" si="203"/>
        <v>10-Compte compteur</v>
      </c>
      <c r="R454" s="655" t="str">
        <f t="shared" si="204"/>
        <v>4281</v>
      </c>
      <c r="S454" s="656">
        <f t="shared" si="205"/>
        <v>0</v>
      </c>
      <c r="T454" s="658" t="str">
        <f>+VLOOKUP($L454,Data_Validation!$A:$D,1,0)</f>
        <v>4291@</v>
      </c>
      <c r="U454" s="658" t="str">
        <f>+VLOOKUP($L454,Data_Validation!$A:$D,3,0)</f>
        <v>Véhicules usagés</v>
      </c>
      <c r="V454" s="658" t="str">
        <f>+VLOOKUP($L454,Data_Validation!$A:$D,4,0)</f>
        <v>Ventes au Gros</v>
      </c>
      <c r="W454" s="658" t="str">
        <f>+VLOOKUP($L454,Data_Validation!$A:$E,5,0)</f>
        <v>NB</v>
      </c>
      <c r="X454" s="658">
        <f>+VLOOKUP($L454,Data_Validation!$A:$F,6,0)</f>
        <v>0</v>
      </c>
    </row>
    <row r="455" spans="1:24" ht="15.75" customHeight="1">
      <c r="A455" s="1190" t="s">
        <v>3675</v>
      </c>
      <c r="B455" s="1190" t="s">
        <v>1026</v>
      </c>
      <c r="C455" s="1191"/>
      <c r="D455" s="1191"/>
      <c r="E455" s="1191"/>
      <c r="F455" s="1190" t="s">
        <v>7</v>
      </c>
      <c r="G455" s="1190" t="s">
        <v>1025</v>
      </c>
      <c r="H455" s="1191"/>
      <c r="I455" s="1192">
        <v>-904</v>
      </c>
      <c r="J455" s="1192">
        <v>-724</v>
      </c>
      <c r="K455" s="1192">
        <v>-1628</v>
      </c>
      <c r="L455" s="655" t="str">
        <f t="shared" si="201"/>
        <v>4401@</v>
      </c>
      <c r="M455" s="656" t="str">
        <f t="shared" si="202"/>
        <v>MAIN-D'OEUVRE - CLIENT VW - MCI</v>
      </c>
      <c r="N455" s="657">
        <f>+IF(OR($Q455=Parametres!$G$2,$Q455=Parametres!$G$3),I455,C455)</f>
        <v>-904</v>
      </c>
      <c r="O455" s="657">
        <f>+IF(OR($Q455=Parametres!$G$2,$Q455=Parametres!$G$3),J455,D455)</f>
        <v>-724</v>
      </c>
      <c r="P455" s="657">
        <f>+IF(OR($Q455=Parametres!$G$2,$Q455=Parametres!$G$3),K455,E455)</f>
        <v>-1628</v>
      </c>
      <c r="Q455" s="656" t="str">
        <f t="shared" si="203"/>
        <v>10-Compte compteur</v>
      </c>
      <c r="R455" s="655" t="str">
        <f t="shared" si="204"/>
        <v>4401</v>
      </c>
      <c r="S455" s="656">
        <f t="shared" si="205"/>
        <v>0</v>
      </c>
      <c r="T455" s="658" t="str">
        <f>+VLOOKUP($L455,Data_Validation!$A:$D,1,0)</f>
        <v>4401@</v>
      </c>
      <c r="U455" s="658" t="str">
        <f>+VLOOKUP($L455,Data_Validation!$A:$D,3,0)</f>
        <v>Service</v>
      </c>
      <c r="V455" s="658" t="str">
        <f>+VLOOKUP($L455,Data_Validation!$A:$D,4,0)</f>
        <v>M/O Client</v>
      </c>
      <c r="W455" s="658" t="str">
        <f>+VLOOKUP($L455,Data_Validation!$A:$E,5,0)</f>
        <v>NB</v>
      </c>
      <c r="X455" s="658">
        <f>+VLOOKUP($L455,Data_Validation!$A:$F,6,0)</f>
        <v>0</v>
      </c>
    </row>
    <row r="456" spans="1:24" ht="15.75" customHeight="1">
      <c r="A456" s="1190" t="s">
        <v>3676</v>
      </c>
      <c r="B456" s="1190" t="s">
        <v>1031</v>
      </c>
      <c r="C456" s="1191"/>
      <c r="D456" s="1191"/>
      <c r="E456" s="1191"/>
      <c r="F456" s="1190" t="s">
        <v>7</v>
      </c>
      <c r="G456" s="1190" t="s">
        <v>1030</v>
      </c>
      <c r="H456" s="1191"/>
      <c r="I456" s="1192">
        <v>-287</v>
      </c>
      <c r="J456" s="1192">
        <v>-99</v>
      </c>
      <c r="K456" s="1192">
        <v>-386</v>
      </c>
      <c r="L456" s="655" t="str">
        <f t="shared" si="201"/>
        <v>4403@</v>
      </c>
      <c r="M456" s="656" t="str">
        <f t="shared" si="202"/>
        <v>MAIN-D'OEUVRE - GARANTIE VW - MCI</v>
      </c>
      <c r="N456" s="657">
        <f>+IF(OR($Q456=Parametres!$G$2,$Q456=Parametres!$G$3),I456,C456)</f>
        <v>-287</v>
      </c>
      <c r="O456" s="657">
        <f>+IF(OR($Q456=Parametres!$G$2,$Q456=Parametres!$G$3),J456,D456)</f>
        <v>-99</v>
      </c>
      <c r="P456" s="657">
        <f>+IF(OR($Q456=Parametres!$G$2,$Q456=Parametres!$G$3),K456,E456)</f>
        <v>-386</v>
      </c>
      <c r="Q456" s="656" t="str">
        <f t="shared" si="203"/>
        <v>10-Compte compteur</v>
      </c>
      <c r="R456" s="655" t="str">
        <f t="shared" si="204"/>
        <v>4403</v>
      </c>
      <c r="S456" s="656">
        <f t="shared" si="205"/>
        <v>0</v>
      </c>
      <c r="T456" s="658" t="str">
        <f>+VLOOKUP($L456,Data_Validation!$A:$D,1,0)</f>
        <v>4403@</v>
      </c>
      <c r="U456" s="658" t="str">
        <f>+VLOOKUP($L456,Data_Validation!$A:$D,3,0)</f>
        <v>Service</v>
      </c>
      <c r="V456" s="658" t="str">
        <f>+VLOOKUP($L456,Data_Validation!$A:$D,4,0)</f>
        <v>M/O Garantie</v>
      </c>
      <c r="W456" s="658" t="str">
        <f>+VLOOKUP($L456,Data_Validation!$A:$E,5,0)</f>
        <v>NB</v>
      </c>
      <c r="X456" s="658">
        <f>+VLOOKUP($L456,Data_Validation!$A:$F,6,0)</f>
        <v>0</v>
      </c>
    </row>
    <row r="457" spans="1:24" ht="15.75" customHeight="1">
      <c r="A457" s="1190" t="s">
        <v>3677</v>
      </c>
      <c r="B457" s="1190" t="s">
        <v>1034</v>
      </c>
      <c r="C457" s="1191"/>
      <c r="D457" s="1191"/>
      <c r="E457" s="1191"/>
      <c r="F457" s="1190" t="s">
        <v>7</v>
      </c>
      <c r="G457" s="1190" t="s">
        <v>1033</v>
      </c>
      <c r="H457" s="1191"/>
      <c r="I457" s="1192">
        <v>-754</v>
      </c>
      <c r="J457" s="1192">
        <v>-232</v>
      </c>
      <c r="K457" s="1192">
        <v>-986</v>
      </c>
      <c r="L457" s="655" t="str">
        <f t="shared" si="201"/>
        <v>4405@</v>
      </c>
      <c r="M457" s="656" t="str">
        <f t="shared" si="202"/>
        <v>MAIN-D'OEUVRE - INTERNE VW - MCI</v>
      </c>
      <c r="N457" s="657">
        <f>+IF(OR($Q457=Parametres!$G$2,$Q457=Parametres!$G$3),I457,C457)</f>
        <v>-754</v>
      </c>
      <c r="O457" s="657">
        <f>+IF(OR($Q457=Parametres!$G$2,$Q457=Parametres!$G$3),J457,D457)</f>
        <v>-232</v>
      </c>
      <c r="P457" s="657">
        <f>+IF(OR($Q457=Parametres!$G$2,$Q457=Parametres!$G$3),K457,E457)</f>
        <v>-986</v>
      </c>
      <c r="Q457" s="656" t="str">
        <f t="shared" si="203"/>
        <v>10-Compte compteur</v>
      </c>
      <c r="R457" s="655" t="str">
        <f t="shared" si="204"/>
        <v>4405</v>
      </c>
      <c r="S457" s="656">
        <f t="shared" si="205"/>
        <v>0</v>
      </c>
      <c r="T457" s="658" t="str">
        <f>+VLOOKUP($L457,Data_Validation!$A:$D,1,0)</f>
        <v>4405@</v>
      </c>
      <c r="U457" s="658" t="str">
        <f>+VLOOKUP($L457,Data_Validation!$A:$D,3,0)</f>
        <v>Service</v>
      </c>
      <c r="V457" s="658" t="str">
        <f>+VLOOKUP($L457,Data_Validation!$A:$D,4,0)</f>
        <v>M/O Interne</v>
      </c>
      <c r="W457" s="658" t="str">
        <f>+VLOOKUP($L457,Data_Validation!$A:$E,5,0)</f>
        <v>NB</v>
      </c>
      <c r="X457" s="658">
        <f>+VLOOKUP($L457,Data_Validation!$A:$F,6,0)</f>
        <v>0</v>
      </c>
    </row>
    <row r="458" spans="1:24" ht="15.75" customHeight="1">
      <c r="A458" s="1190" t="s">
        <v>1035</v>
      </c>
      <c r="B458" s="1190" t="s">
        <v>1037</v>
      </c>
      <c r="C458" s="1191"/>
      <c r="D458" s="1191"/>
      <c r="E458" s="1191"/>
      <c r="F458" s="1190" t="s">
        <v>7</v>
      </c>
      <c r="G458" s="1190" t="s">
        <v>1036</v>
      </c>
      <c r="H458" s="1191"/>
      <c r="I458" s="1192">
        <v>-827</v>
      </c>
      <c r="J458" s="1192">
        <v>-399</v>
      </c>
      <c r="K458" s="1192">
        <v>-1226</v>
      </c>
      <c r="L458" s="655" t="str">
        <f t="shared" si="201"/>
        <v>4451@</v>
      </c>
      <c r="M458" s="656" t="str">
        <f t="shared" si="202"/>
        <v>CARBURANT/HUILE/GRAISSE</v>
      </c>
      <c r="N458" s="657">
        <f>+IF(OR($Q458=Parametres!$G$2,$Q458=Parametres!$G$3),I458,C458)</f>
        <v>-827</v>
      </c>
      <c r="O458" s="657">
        <f>+IF(OR($Q458=Parametres!$G$2,$Q458=Parametres!$G$3),J458,D458)</f>
        <v>-399</v>
      </c>
      <c r="P458" s="657">
        <f>+IF(OR($Q458=Parametres!$G$2,$Q458=Parametres!$G$3),K458,E458)</f>
        <v>-1226</v>
      </c>
      <c r="Q458" s="656" t="str">
        <f t="shared" si="203"/>
        <v>10-Compte compteur</v>
      </c>
      <c r="R458" s="655" t="str">
        <f t="shared" si="204"/>
        <v>4782</v>
      </c>
      <c r="S458" s="656">
        <f t="shared" si="205"/>
        <v>0</v>
      </c>
      <c r="T458" s="658" t="str">
        <f>+VLOOKUP($L458,Data_Validation!$A:$D,1,0)</f>
        <v>4451@</v>
      </c>
      <c r="U458" s="658" t="str">
        <f>+VLOOKUP($L458,Data_Validation!$A:$D,3,0)</f>
        <v>Pièces</v>
      </c>
      <c r="V458" s="658" t="str">
        <f>+VLOOKUP($L458,Data_Validation!$A:$D,4,0)</f>
        <v>Huiles et Graisse</v>
      </c>
      <c r="W458" s="658" t="str">
        <f>+VLOOKUP($L458,Data_Validation!$A:$E,5,0)</f>
        <v>NB</v>
      </c>
      <c r="X458" s="658">
        <f>+VLOOKUP($L458,Data_Validation!$A:$F,6,0)</f>
        <v>0</v>
      </c>
    </row>
    <row r="459" spans="1:24" ht="15.75" customHeight="1">
      <c r="A459" s="1190" t="s">
        <v>1038</v>
      </c>
      <c r="B459" s="1190" t="s">
        <v>1040</v>
      </c>
      <c r="C459" s="1191"/>
      <c r="D459" s="1191"/>
      <c r="E459" s="1191"/>
      <c r="F459" s="1190" t="s">
        <v>7</v>
      </c>
      <c r="G459" s="1190" t="s">
        <v>1039</v>
      </c>
      <c r="H459" s="1191"/>
      <c r="I459" s="1192">
        <v>-122</v>
      </c>
      <c r="J459" s="1192">
        <v>-70</v>
      </c>
      <c r="K459" s="1192">
        <v>-192</v>
      </c>
      <c r="L459" s="655" t="str">
        <f t="shared" si="201"/>
        <v>4491@</v>
      </c>
      <c r="M459" s="656" t="str">
        <f t="shared" si="202"/>
        <v>REPARATION SOUS-LOC. - GENERAL</v>
      </c>
      <c r="N459" s="657">
        <f>+IF(OR($Q459=Parametres!$G$2,$Q459=Parametres!$G$3),I459,C459)</f>
        <v>-122</v>
      </c>
      <c r="O459" s="657">
        <f>+IF(OR($Q459=Parametres!$G$2,$Q459=Parametres!$G$3),J459,D459)</f>
        <v>-70</v>
      </c>
      <c r="P459" s="657">
        <f>+IF(OR($Q459=Parametres!$G$2,$Q459=Parametres!$G$3),K459,E459)</f>
        <v>-192</v>
      </c>
      <c r="Q459" s="656" t="str">
        <f t="shared" si="203"/>
        <v>10-Compte compteur</v>
      </c>
      <c r="R459" s="655" t="str">
        <f t="shared" si="204"/>
        <v>4491</v>
      </c>
      <c r="S459" s="656">
        <f t="shared" si="205"/>
        <v>0</v>
      </c>
      <c r="T459" s="658" t="str">
        <f>+VLOOKUP($L459,Data_Validation!$A:$D,1,0)</f>
        <v>4491@</v>
      </c>
      <c r="U459" s="658" t="str">
        <f>+VLOOKUP($L459,Data_Validation!$A:$D,3,0)</f>
        <v>Service</v>
      </c>
      <c r="V459" s="658" t="str">
        <f>+VLOOKUP($L459,Data_Validation!$A:$D,4,0)</f>
        <v>Sous-traitement</v>
      </c>
      <c r="W459" s="658" t="str">
        <f>+VLOOKUP($L459,Data_Validation!$A:$E,5,0)</f>
        <v>NB</v>
      </c>
      <c r="X459" s="658">
        <f>+VLOOKUP($L459,Data_Validation!$A:$F,6,0)</f>
        <v>0</v>
      </c>
    </row>
    <row r="460" spans="1:24" ht="15.75" customHeight="1">
      <c r="A460" s="1190" t="s">
        <v>1043</v>
      </c>
      <c r="B460" s="1190" t="s">
        <v>1044</v>
      </c>
      <c r="C460" s="1191"/>
      <c r="D460" s="1191"/>
      <c r="E460" s="1191"/>
      <c r="F460" s="1190" t="s">
        <v>7</v>
      </c>
      <c r="G460" s="1190" t="s">
        <v>1042</v>
      </c>
      <c r="H460" s="1191"/>
      <c r="I460" s="1192">
        <v>-2</v>
      </c>
      <c r="J460" s="1192">
        <v>0</v>
      </c>
      <c r="K460" s="1192">
        <v>-2</v>
      </c>
      <c r="L460" s="655" t="str">
        <f t="shared" si="201"/>
        <v>4493@</v>
      </c>
      <c r="M460" s="656" t="str">
        <f t="shared" si="202"/>
        <v># DE VTE - SOUS-TRAITANCE GARANTIE</v>
      </c>
      <c r="N460" s="657">
        <f>+IF(OR($Q460=Parametres!$G$2,$Q460=Parametres!$G$3),I460,C460)</f>
        <v>-2</v>
      </c>
      <c r="O460" s="657">
        <f>+IF(OR($Q460=Parametres!$G$2,$Q460=Parametres!$G$3),J460,D460)</f>
        <v>0</v>
      </c>
      <c r="P460" s="657">
        <f>+IF(OR($Q460=Parametres!$G$2,$Q460=Parametres!$G$3),K460,E460)</f>
        <v>-2</v>
      </c>
      <c r="Q460" s="656" t="str">
        <f t="shared" si="203"/>
        <v>10-Compte compteur</v>
      </c>
      <c r="R460" s="655" t="str">
        <f t="shared" si="204"/>
        <v>4493</v>
      </c>
      <c r="S460" s="656">
        <f t="shared" si="205"/>
        <v>0</v>
      </c>
      <c r="T460" s="658" t="str">
        <f>+VLOOKUP($L460,Data_Validation!$A:$D,1,0)</f>
        <v>4493@</v>
      </c>
      <c r="U460" s="658" t="str">
        <f>+VLOOKUP($L460,Data_Validation!$A:$D,3,0)</f>
        <v>Service</v>
      </c>
      <c r="V460" s="658" t="str">
        <f>+VLOOKUP($L460,Data_Validation!$A:$D,4,0)</f>
        <v>Sous-traitement</v>
      </c>
      <c r="W460" s="658" t="str">
        <f>+VLOOKUP($L460,Data_Validation!$A:$E,5,0)</f>
        <v>NB</v>
      </c>
      <c r="X460" s="658">
        <f>+VLOOKUP($L460,Data_Validation!$A:$F,6,0)</f>
        <v>0</v>
      </c>
    </row>
    <row r="461" spans="1:24" ht="15.75" customHeight="1">
      <c r="A461" s="1190" t="s">
        <v>1047</v>
      </c>
      <c r="B461" s="1190" t="s">
        <v>1048</v>
      </c>
      <c r="C461" s="1191"/>
      <c r="D461" s="1191"/>
      <c r="E461" s="1191"/>
      <c r="F461" s="1190" t="s">
        <v>7</v>
      </c>
      <c r="G461" s="1190" t="s">
        <v>1046</v>
      </c>
      <c r="H461" s="1191"/>
      <c r="I461" s="1192">
        <v>-132</v>
      </c>
      <c r="J461" s="1192">
        <v>-39</v>
      </c>
      <c r="K461" s="1192">
        <v>-171</v>
      </c>
      <c r="L461" s="655" t="str">
        <f t="shared" si="201"/>
        <v>4495@</v>
      </c>
      <c r="M461" s="656" t="str">
        <f t="shared" si="202"/>
        <v># DE VTE - S-TRAITANCE MEC.INTERNE VW</v>
      </c>
      <c r="N461" s="657">
        <f>+IF(OR($Q461=Parametres!$G$2,$Q461=Parametres!$G$3),I461,C461)</f>
        <v>-132</v>
      </c>
      <c r="O461" s="657">
        <f>+IF(OR($Q461=Parametres!$G$2,$Q461=Parametres!$G$3),J461,D461)</f>
        <v>-39</v>
      </c>
      <c r="P461" s="657">
        <f>+IF(OR($Q461=Parametres!$G$2,$Q461=Parametres!$G$3),K461,E461)</f>
        <v>-171</v>
      </c>
      <c r="Q461" s="656" t="str">
        <f t="shared" si="203"/>
        <v>10-Compte compteur</v>
      </c>
      <c r="R461" s="655" t="str">
        <f t="shared" si="204"/>
        <v>4495</v>
      </c>
      <c r="S461" s="656">
        <f t="shared" si="205"/>
        <v>0</v>
      </c>
      <c r="T461" s="658" t="str">
        <f>+VLOOKUP($L461,Data_Validation!$A:$D,1,0)</f>
        <v>4495@</v>
      </c>
      <c r="U461" s="658" t="str">
        <f>+VLOOKUP($L461,Data_Validation!$A:$D,3,0)</f>
        <v>Service</v>
      </c>
      <c r="V461" s="658" t="str">
        <f>+VLOOKUP($L461,Data_Validation!$A:$D,4,0)</f>
        <v>Sous-traitement</v>
      </c>
      <c r="W461" s="658" t="str">
        <f>+VLOOKUP($L461,Data_Validation!$A:$E,5,0)</f>
        <v>NB</v>
      </c>
      <c r="X461" s="658">
        <f>+VLOOKUP($L461,Data_Validation!$A:$F,6,0)</f>
        <v>0</v>
      </c>
    </row>
    <row r="462" spans="1:24" ht="15.75" customHeight="1">
      <c r="A462" s="1190" t="s">
        <v>3434</v>
      </c>
      <c r="B462" s="1190" t="s">
        <v>3435</v>
      </c>
      <c r="C462" s="1191"/>
      <c r="D462" s="1191"/>
      <c r="E462" s="1191"/>
      <c r="F462" s="1190" t="s">
        <v>7</v>
      </c>
      <c r="G462" s="1190" t="s">
        <v>3431</v>
      </c>
      <c r="H462" s="1191"/>
      <c r="I462" s="1192">
        <v>-90</v>
      </c>
      <c r="J462" s="1192">
        <v>-42</v>
      </c>
      <c r="K462" s="1192">
        <v>-132</v>
      </c>
      <c r="L462" s="655" t="str">
        <f t="shared" si="201"/>
        <v>4505@</v>
      </c>
      <c r="M462" s="656" t="str">
        <f t="shared" si="202"/>
        <v># DE VTE - M.O. INTERNE CARROSSERIE</v>
      </c>
      <c r="N462" s="657">
        <f>+IF(OR($Q462=Parametres!$G$2,$Q462=Parametres!$G$3),I462,C462)</f>
        <v>-90</v>
      </c>
      <c r="O462" s="657">
        <f>+IF(OR($Q462=Parametres!$G$2,$Q462=Parametres!$G$3),J462,D462)</f>
        <v>-42</v>
      </c>
      <c r="P462" s="657">
        <f>+IF(OR($Q462=Parametres!$G$2,$Q462=Parametres!$G$3),K462,E462)</f>
        <v>-132</v>
      </c>
      <c r="Q462" s="656" t="str">
        <f t="shared" si="203"/>
        <v>10-Compte compteur</v>
      </c>
      <c r="R462" s="655" t="str">
        <f t="shared" si="204"/>
        <v>4505</v>
      </c>
      <c r="S462" s="656">
        <f t="shared" si="205"/>
        <v>0</v>
      </c>
      <c r="T462" s="658" t="str">
        <f>+VLOOKUP($L462,Data_Validation!$A:$D,1,0)</f>
        <v>4505@</v>
      </c>
      <c r="U462" s="658" t="str">
        <f>+VLOOKUP($L462,Data_Validation!$A:$D,3,0)</f>
        <v>Service</v>
      </c>
      <c r="V462" s="658" t="str">
        <f>+VLOOKUP($L462,Data_Validation!$A:$D,4,0)</f>
        <v>M.O. Recond. MCPA</v>
      </c>
      <c r="W462" s="658" t="str">
        <f>+VLOOKUP($L462,Data_Validation!$A:$E,5,0)</f>
        <v>NB</v>
      </c>
      <c r="X462" s="658">
        <f>+VLOOKUP($L462,Data_Validation!$A:$F,6,0)</f>
        <v>0</v>
      </c>
    </row>
    <row r="463" spans="1:24" ht="15.75" customHeight="1">
      <c r="A463" s="1190" t="s">
        <v>1054</v>
      </c>
      <c r="B463" s="1190" t="s">
        <v>1055</v>
      </c>
      <c r="C463" s="1191"/>
      <c r="D463" s="1191"/>
      <c r="E463" s="1191"/>
      <c r="F463" s="1190" t="s">
        <v>7</v>
      </c>
      <c r="G463" s="1190" t="s">
        <v>1053</v>
      </c>
      <c r="H463" s="1191"/>
      <c r="I463" s="1192">
        <v>-26</v>
      </c>
      <c r="J463" s="1192">
        <v>-3</v>
      </c>
      <c r="K463" s="1192">
        <v>-29</v>
      </c>
      <c r="L463" s="655" t="str">
        <f t="shared" si="201"/>
        <v>4591@</v>
      </c>
      <c r="M463" s="656" t="str">
        <f t="shared" si="202"/>
        <v>REPARATION SOUS-LOC.-PEINT/DEB</v>
      </c>
      <c r="N463" s="657">
        <f>+IF(OR($Q463=Parametres!$G$2,$Q463=Parametres!$G$3),I463,C463)</f>
        <v>-26</v>
      </c>
      <c r="O463" s="657">
        <f>+IF(OR($Q463=Parametres!$G$2,$Q463=Parametres!$G$3),J463,D463)</f>
        <v>-3</v>
      </c>
      <c r="P463" s="657">
        <f>+IF(OR($Q463=Parametres!$G$2,$Q463=Parametres!$G$3),K463,E463)</f>
        <v>-29</v>
      </c>
      <c r="Q463" s="656" t="str">
        <f t="shared" si="203"/>
        <v>10-Compte compteur</v>
      </c>
      <c r="R463" s="655" t="str">
        <f t="shared" si="204"/>
        <v>4591</v>
      </c>
      <c r="S463" s="656">
        <f t="shared" si="205"/>
        <v>0</v>
      </c>
      <c r="T463" s="658" t="str">
        <f>+VLOOKUP($L463,Data_Validation!$A:$D,1,0)</f>
        <v>4591@</v>
      </c>
      <c r="U463" s="658" t="str">
        <f>+VLOOKUP($L463,Data_Validation!$A:$D,3,0)</f>
        <v>Carrosserie</v>
      </c>
      <c r="V463" s="658" t="str">
        <f>+VLOOKUP($L463,Data_Validation!$A:$D,4,0)</f>
        <v>M/O Sous-traitement</v>
      </c>
      <c r="W463" s="658" t="str">
        <f>+VLOOKUP($L463,Data_Validation!$A:$E,5,0)</f>
        <v>NB</v>
      </c>
      <c r="X463" s="658">
        <f>+VLOOKUP($L463,Data_Validation!$A:$F,6,0)</f>
        <v>0</v>
      </c>
    </row>
    <row r="464" spans="1:24" ht="15.75" customHeight="1">
      <c r="A464" s="1190" t="s">
        <v>1058</v>
      </c>
      <c r="B464" s="1190" t="s">
        <v>1059</v>
      </c>
      <c r="C464" s="1191"/>
      <c r="D464" s="1191"/>
      <c r="E464" s="1191"/>
      <c r="F464" s="1190" t="s">
        <v>7</v>
      </c>
      <c r="G464" s="1190" t="s">
        <v>1057</v>
      </c>
      <c r="H464" s="1191"/>
      <c r="I464" s="1192">
        <v>-62</v>
      </c>
      <c r="J464" s="1192">
        <v>-19</v>
      </c>
      <c r="K464" s="1192">
        <v>-81</v>
      </c>
      <c r="L464" s="655" t="str">
        <f t="shared" si="201"/>
        <v>4593@</v>
      </c>
      <c r="M464" s="656" t="str">
        <f t="shared" si="202"/>
        <v># DE VTE - S-TRAITANCE GAR.CARR.</v>
      </c>
      <c r="N464" s="657">
        <f>+IF(OR($Q464=Parametres!$G$2,$Q464=Parametres!$G$3),I464,C464)</f>
        <v>-62</v>
      </c>
      <c r="O464" s="657">
        <f>+IF(OR($Q464=Parametres!$G$2,$Q464=Parametres!$G$3),J464,D464)</f>
        <v>-19</v>
      </c>
      <c r="P464" s="657">
        <f>+IF(OR($Q464=Parametres!$G$2,$Q464=Parametres!$G$3),K464,E464)</f>
        <v>-81</v>
      </c>
      <c r="Q464" s="656" t="str">
        <f t="shared" si="203"/>
        <v>10-Compte compteur</v>
      </c>
      <c r="R464" s="655" t="str">
        <f t="shared" si="204"/>
        <v>4593</v>
      </c>
      <c r="S464" s="656">
        <f t="shared" si="205"/>
        <v>0</v>
      </c>
      <c r="T464" s="658" t="str">
        <f>+VLOOKUP($L464,Data_Validation!$A:$D,1,0)</f>
        <v>4593@</v>
      </c>
      <c r="U464" s="658" t="str">
        <f>+VLOOKUP($L464,Data_Validation!$A:$D,3,0)</f>
        <v>Carrosserie</v>
      </c>
      <c r="V464" s="658" t="str">
        <f>+VLOOKUP($L464,Data_Validation!$A:$D,4,0)</f>
        <v>M/O Sous-traitement</v>
      </c>
      <c r="W464" s="658" t="str">
        <f>+VLOOKUP($L464,Data_Validation!$A:$E,5,0)</f>
        <v>NB</v>
      </c>
      <c r="X464" s="658">
        <f>+VLOOKUP($L464,Data_Validation!$A:$F,6,0)</f>
        <v>0</v>
      </c>
    </row>
    <row r="465" spans="1:24" ht="15.75" customHeight="1">
      <c r="A465" s="1190" t="s">
        <v>1062</v>
      </c>
      <c r="B465" s="1190" t="s">
        <v>1063</v>
      </c>
      <c r="C465" s="1191"/>
      <c r="D465" s="1191"/>
      <c r="E465" s="1191"/>
      <c r="F465" s="1190" t="s">
        <v>7</v>
      </c>
      <c r="G465" s="1190" t="s">
        <v>1061</v>
      </c>
      <c r="H465" s="1191"/>
      <c r="I465" s="1192">
        <v>-5</v>
      </c>
      <c r="J465" s="1192">
        <v>0</v>
      </c>
      <c r="K465" s="1192">
        <v>-5</v>
      </c>
      <c r="L465" s="655" t="str">
        <f t="shared" si="201"/>
        <v>4595@</v>
      </c>
      <c r="M465" s="656" t="str">
        <f t="shared" si="202"/>
        <v># DE VTE - S-TRAIT.INTERNE CARR.</v>
      </c>
      <c r="N465" s="657">
        <f>+IF(OR($Q465=Parametres!$G$2,$Q465=Parametres!$G$3),I465,C465)</f>
        <v>-5</v>
      </c>
      <c r="O465" s="657">
        <f>+IF(OR($Q465=Parametres!$G$2,$Q465=Parametres!$G$3),J465,D465)</f>
        <v>0</v>
      </c>
      <c r="P465" s="657">
        <f>+IF(OR($Q465=Parametres!$G$2,$Q465=Parametres!$G$3),K465,E465)</f>
        <v>-5</v>
      </c>
      <c r="Q465" s="656" t="str">
        <f t="shared" si="203"/>
        <v>10-Compte compteur</v>
      </c>
      <c r="R465" s="655" t="str">
        <f t="shared" si="204"/>
        <v>4595</v>
      </c>
      <c r="S465" s="656">
        <f t="shared" si="205"/>
        <v>0</v>
      </c>
      <c r="T465" s="658" t="str">
        <f>+VLOOKUP($L465,Data_Validation!$A:$D,1,0)</f>
        <v>4595@</v>
      </c>
      <c r="U465" s="658" t="str">
        <f>+VLOOKUP($L465,Data_Validation!$A:$D,3,0)</f>
        <v>Carrosserie</v>
      </c>
      <c r="V465" s="658" t="str">
        <f>+VLOOKUP($L465,Data_Validation!$A:$D,4,0)</f>
        <v>M/O Sous-traitement</v>
      </c>
      <c r="W465" s="658" t="str">
        <f>+VLOOKUP($L465,Data_Validation!$A:$E,5,0)</f>
        <v>NB</v>
      </c>
      <c r="X465" s="658">
        <f>+VLOOKUP($L465,Data_Validation!$A:$F,6,0)</f>
        <v>0</v>
      </c>
    </row>
    <row r="466" spans="1:24" ht="15.75" customHeight="1">
      <c r="A466" s="1190" t="s">
        <v>3678</v>
      </c>
      <c r="B466" s="1190" t="s">
        <v>1067</v>
      </c>
      <c r="C466" s="1191"/>
      <c r="D466" s="1191"/>
      <c r="E466" s="1191"/>
      <c r="F466" s="1190" t="s">
        <v>7</v>
      </c>
      <c r="G466" s="1190" t="s">
        <v>1065</v>
      </c>
      <c r="H466" s="1191"/>
      <c r="I466" s="1192">
        <v>-902</v>
      </c>
      <c r="J466" s="1192">
        <v>-735</v>
      </c>
      <c r="K466" s="1192">
        <v>-1637</v>
      </c>
      <c r="L466" s="655" t="str">
        <f t="shared" si="201"/>
        <v>4701@</v>
      </c>
      <c r="M466" s="656" t="str">
        <f t="shared" si="202"/>
        <v>VW P&amp;A - BR - CLIENT - MCI</v>
      </c>
      <c r="N466" s="657">
        <f>+IF(OR($Q466=Parametres!$G$2,$Q466=Parametres!$G$3),I466,C466)</f>
        <v>-902</v>
      </c>
      <c r="O466" s="657">
        <f>+IF(OR($Q466=Parametres!$G$2,$Q466=Parametres!$G$3),J466,D466)</f>
        <v>-735</v>
      </c>
      <c r="P466" s="657">
        <f>+IF(OR($Q466=Parametres!$G$2,$Q466=Parametres!$G$3),K466,E466)</f>
        <v>-1637</v>
      </c>
      <c r="Q466" s="656" t="str">
        <f t="shared" si="203"/>
        <v>10-Compte compteur</v>
      </c>
      <c r="R466" s="655" t="str">
        <f t="shared" si="204"/>
        <v>4701</v>
      </c>
      <c r="S466" s="656">
        <f t="shared" si="205"/>
        <v>0</v>
      </c>
      <c r="T466" s="658" t="str">
        <f>+VLOOKUP($L466,Data_Validation!$A:$D,1,0)</f>
        <v>4701@</v>
      </c>
      <c r="U466" s="658" t="str">
        <f>+VLOOKUP($L466,Data_Validation!$A:$D,3,0)</f>
        <v>Pièces</v>
      </c>
      <c r="V466" s="658" t="str">
        <f>+VLOOKUP($L466,Data_Validation!$A:$D,4,0)</f>
        <v>Pièces Ro Clients</v>
      </c>
      <c r="W466" s="658" t="str">
        <f>+VLOOKUP($L466,Data_Validation!$A:$E,5,0)</f>
        <v>NB</v>
      </c>
      <c r="X466" s="658">
        <f>+VLOOKUP($L466,Data_Validation!$A:$F,6,0)</f>
        <v>0</v>
      </c>
    </row>
    <row r="467" spans="1:24" ht="15.75" customHeight="1">
      <c r="A467" s="1190" t="s">
        <v>3679</v>
      </c>
      <c r="B467" s="1190" t="s">
        <v>1073</v>
      </c>
      <c r="C467" s="1191"/>
      <c r="D467" s="1191"/>
      <c r="E467" s="1191"/>
      <c r="F467" s="1190" t="s">
        <v>7</v>
      </c>
      <c r="G467" s="1190" t="s">
        <v>1071</v>
      </c>
      <c r="H467" s="1191"/>
      <c r="I467" s="1192">
        <v>-234</v>
      </c>
      <c r="J467" s="1192">
        <v>-71</v>
      </c>
      <c r="K467" s="1192">
        <v>-305</v>
      </c>
      <c r="L467" s="655" t="str">
        <f t="shared" ref="L467:L474" si="206">TEXT(B467,0)</f>
        <v>4703@</v>
      </c>
      <c r="M467" s="656" t="str">
        <f t="shared" ref="M467:M474" si="207">+A467</f>
        <v>VW P&amp;A - BR - GARANTIE - MCI</v>
      </c>
      <c r="N467" s="657">
        <f>+IF(OR($Q467=Parametres!$G$2,$Q467=Parametres!$G$3),I467,C467)</f>
        <v>-234</v>
      </c>
      <c r="O467" s="657">
        <f>+IF(OR($Q467=Parametres!$G$2,$Q467=Parametres!$G$3),J467,D467)</f>
        <v>-71</v>
      </c>
      <c r="P467" s="657">
        <f>+IF(OR($Q467=Parametres!$G$2,$Q467=Parametres!$G$3),K467,E467)</f>
        <v>-305</v>
      </c>
      <c r="Q467" s="656" t="str">
        <f t="shared" ref="Q467:Q474" si="208">+F467</f>
        <v>10-Compte compteur</v>
      </c>
      <c r="R467" s="655" t="str">
        <f t="shared" ref="R467:R474" si="209">+G467</f>
        <v>4703</v>
      </c>
      <c r="S467" s="656">
        <f t="shared" ref="S467:S474" si="210">+H467</f>
        <v>0</v>
      </c>
      <c r="T467" s="658" t="str">
        <f>+VLOOKUP($L467,Data_Validation!$A:$D,1,0)</f>
        <v>4703@</v>
      </c>
      <c r="U467" s="658" t="str">
        <f>+VLOOKUP($L467,Data_Validation!$A:$D,3,0)</f>
        <v>Pièces</v>
      </c>
      <c r="V467" s="658" t="str">
        <f>+VLOOKUP($L467,Data_Validation!$A:$D,4,0)</f>
        <v>P/A Garantie</v>
      </c>
      <c r="W467" s="658" t="str">
        <f>+VLOOKUP($L467,Data_Validation!$A:$E,5,0)</f>
        <v>NB</v>
      </c>
      <c r="X467" s="658">
        <f>+VLOOKUP($L467,Data_Validation!$A:$F,6,0)</f>
        <v>0</v>
      </c>
    </row>
    <row r="468" spans="1:24" ht="15.75" customHeight="1">
      <c r="A468" s="1190" t="s">
        <v>3680</v>
      </c>
      <c r="B468" s="1190" t="s">
        <v>1077</v>
      </c>
      <c r="C468" s="1191"/>
      <c r="D468" s="1191"/>
      <c r="E468" s="1191"/>
      <c r="F468" s="1190" t="s">
        <v>7</v>
      </c>
      <c r="G468" s="1190" t="s">
        <v>1075</v>
      </c>
      <c r="H468" s="1191"/>
      <c r="I468" s="1192">
        <v>-740</v>
      </c>
      <c r="J468" s="1192">
        <v>-231</v>
      </c>
      <c r="K468" s="1192">
        <v>-971</v>
      </c>
      <c r="L468" s="655" t="str">
        <f t="shared" si="206"/>
        <v>4705@</v>
      </c>
      <c r="M468" s="656" t="str">
        <f t="shared" si="207"/>
        <v>VW P&amp;A - BR - INTERNE - MCI</v>
      </c>
      <c r="N468" s="657">
        <f>+IF(OR($Q468=Parametres!$G$2,$Q468=Parametres!$G$3),I468,C468)</f>
        <v>-740</v>
      </c>
      <c r="O468" s="657">
        <f>+IF(OR($Q468=Parametres!$G$2,$Q468=Parametres!$G$3),J468,D468)</f>
        <v>-231</v>
      </c>
      <c r="P468" s="657">
        <f>+IF(OR($Q468=Parametres!$G$2,$Q468=Parametres!$G$3),K468,E468)</f>
        <v>-971</v>
      </c>
      <c r="Q468" s="656" t="str">
        <f t="shared" si="208"/>
        <v>10-Compte compteur</v>
      </c>
      <c r="R468" s="655" t="str">
        <f t="shared" si="209"/>
        <v>4705</v>
      </c>
      <c r="S468" s="656">
        <f t="shared" si="210"/>
        <v>0</v>
      </c>
      <c r="T468" s="658" t="str">
        <f>+VLOOKUP($L468,Data_Validation!$A:$D,1,0)</f>
        <v>4705@</v>
      </c>
      <c r="U468" s="658" t="str">
        <f>+VLOOKUP($L468,Data_Validation!$A:$D,3,0)</f>
        <v>Pièces</v>
      </c>
      <c r="V468" s="658" t="str">
        <f>+VLOOKUP($L468,Data_Validation!$A:$D,4,0)</f>
        <v>Ventes Internes</v>
      </c>
      <c r="W468" s="658" t="str">
        <f>+VLOOKUP($L468,Data_Validation!$A:$E,5,0)</f>
        <v>NB</v>
      </c>
      <c r="X468" s="658">
        <f>+VLOOKUP($L468,Data_Validation!$A:$F,6,0)</f>
        <v>0</v>
      </c>
    </row>
    <row r="469" spans="1:24" ht="15.75" customHeight="1">
      <c r="A469" s="1190" t="s">
        <v>1081</v>
      </c>
      <c r="B469" s="1190" t="s">
        <v>1082</v>
      </c>
      <c r="C469" s="1191"/>
      <c r="D469" s="1191"/>
      <c r="E469" s="1191"/>
      <c r="F469" s="1190" t="s">
        <v>7</v>
      </c>
      <c r="G469" s="1190" t="s">
        <v>1080</v>
      </c>
      <c r="H469" s="1191"/>
      <c r="I469" s="1192">
        <v>-419</v>
      </c>
      <c r="J469" s="1192">
        <v>-322</v>
      </c>
      <c r="K469" s="1192">
        <v>-741</v>
      </c>
      <c r="L469" s="655" t="str">
        <f t="shared" si="206"/>
        <v>4711@</v>
      </c>
      <c r="M469" s="656" t="str">
        <f t="shared" si="207"/>
        <v># DE VTE - P&amp;A B.T. CLIENT AUDI</v>
      </c>
      <c r="N469" s="657">
        <f>+IF(OR($Q469=Parametres!$G$2,$Q469=Parametres!$G$3),I469,C469)</f>
        <v>-419</v>
      </c>
      <c r="O469" s="657">
        <f>+IF(OR($Q469=Parametres!$G$2,$Q469=Parametres!$G$3),J469,D469)</f>
        <v>-322</v>
      </c>
      <c r="P469" s="657">
        <f>+IF(OR($Q469=Parametres!$G$2,$Q469=Parametres!$G$3),K469,E469)</f>
        <v>-741</v>
      </c>
      <c r="Q469" s="656" t="str">
        <f t="shared" si="208"/>
        <v>10-Compte compteur</v>
      </c>
      <c r="R469" s="655" t="str">
        <f t="shared" si="209"/>
        <v>84711</v>
      </c>
      <c r="S469" s="656">
        <f t="shared" si="210"/>
        <v>0</v>
      </c>
      <c r="T469" s="658" t="str">
        <f>+VLOOKUP($L469,Data_Validation!$A:$D,1,0)</f>
        <v>4711@</v>
      </c>
      <c r="U469" s="658" t="str">
        <f>+VLOOKUP($L469,Data_Validation!$A:$D,3,0)</f>
        <v>Pièces</v>
      </c>
      <c r="V469" s="658" t="str">
        <f>+VLOOKUP($L469,Data_Validation!$A:$D,4,0)</f>
        <v>Pièces Ro Clients</v>
      </c>
      <c r="W469" s="658" t="str">
        <f>+VLOOKUP($L469,Data_Validation!$A:$E,5,0)</f>
        <v>NB</v>
      </c>
      <c r="X469" s="658">
        <f>+VLOOKUP($L469,Data_Validation!$A:$F,6,0)</f>
        <v>0</v>
      </c>
    </row>
    <row r="470" spans="1:24" ht="15.75" customHeight="1">
      <c r="A470" s="1190" t="s">
        <v>1089</v>
      </c>
      <c r="B470" s="1190" t="s">
        <v>1090</v>
      </c>
      <c r="C470" s="1191"/>
      <c r="D470" s="1191"/>
      <c r="E470" s="1191"/>
      <c r="F470" s="1190" t="s">
        <v>7</v>
      </c>
      <c r="G470" s="1190" t="s">
        <v>1088</v>
      </c>
      <c r="H470" s="1191"/>
      <c r="I470" s="1192">
        <v>-19</v>
      </c>
      <c r="J470" s="1192">
        <v>-1</v>
      </c>
      <c r="K470" s="1192">
        <v>-20</v>
      </c>
      <c r="L470" s="655" t="str">
        <f t="shared" si="206"/>
        <v>4731@</v>
      </c>
      <c r="M470" s="656" t="str">
        <f t="shared" si="207"/>
        <v>PIECES-BON REPAR. PEINT/DEBOS</v>
      </c>
      <c r="N470" s="657">
        <f>+IF(OR($Q470=Parametres!$G$2,$Q470=Parametres!$G$3),I470,C470)</f>
        <v>-19</v>
      </c>
      <c r="O470" s="657">
        <f>+IF(OR($Q470=Parametres!$G$2,$Q470=Parametres!$G$3),J470,D470)</f>
        <v>-1</v>
      </c>
      <c r="P470" s="657">
        <f>+IF(OR($Q470=Parametres!$G$2,$Q470=Parametres!$G$3),K470,E470)</f>
        <v>-20</v>
      </c>
      <c r="Q470" s="656" t="str">
        <f t="shared" si="208"/>
        <v>10-Compte compteur</v>
      </c>
      <c r="R470" s="655" t="str">
        <f t="shared" si="209"/>
        <v>4731</v>
      </c>
      <c r="S470" s="656">
        <f t="shared" si="210"/>
        <v>0</v>
      </c>
      <c r="T470" s="658" t="str">
        <f>+VLOOKUP($L470,Data_Validation!$A:$D,1,0)</f>
        <v>4731@</v>
      </c>
      <c r="U470" s="658" t="str">
        <f>+VLOOKUP($L470,Data_Validation!$A:$D,3,0)</f>
        <v>Pièces</v>
      </c>
      <c r="V470" s="658" t="str">
        <f>+VLOOKUP($L470,Data_Validation!$A:$D,4,0)</f>
        <v>Pièces Ro Carrosserie</v>
      </c>
      <c r="W470" s="658" t="str">
        <f>+VLOOKUP($L470,Data_Validation!$A:$E,5,0)</f>
        <v>NB</v>
      </c>
      <c r="X470" s="658">
        <f>+VLOOKUP($L470,Data_Validation!$A:$F,6,0)</f>
        <v>0</v>
      </c>
    </row>
    <row r="471" spans="1:24" ht="15.75" customHeight="1">
      <c r="A471" s="1190" t="s">
        <v>1093</v>
      </c>
      <c r="B471" s="1190" t="s">
        <v>1094</v>
      </c>
      <c r="C471" s="1191"/>
      <c r="D471" s="1191"/>
      <c r="E471" s="1191"/>
      <c r="F471" s="1190" t="s">
        <v>7</v>
      </c>
      <c r="G471" s="1190" t="s">
        <v>1092</v>
      </c>
      <c r="H471" s="1191"/>
      <c r="I471" s="1192">
        <v>-49</v>
      </c>
      <c r="J471" s="1192">
        <v>-13</v>
      </c>
      <c r="K471" s="1192">
        <v>-62</v>
      </c>
      <c r="L471" s="655" t="str">
        <f t="shared" si="206"/>
        <v>4733@</v>
      </c>
      <c r="M471" s="656" t="str">
        <f t="shared" si="207"/>
        <v># DE VTE - P&amp;A B.T. GARANTIE CARR.</v>
      </c>
      <c r="N471" s="657">
        <f>+IF(OR($Q471=Parametres!$G$2,$Q471=Parametres!$G$3),I471,C471)</f>
        <v>-49</v>
      </c>
      <c r="O471" s="657">
        <f>+IF(OR($Q471=Parametres!$G$2,$Q471=Parametres!$G$3),J471,D471)</f>
        <v>-13</v>
      </c>
      <c r="P471" s="657">
        <f>+IF(OR($Q471=Parametres!$G$2,$Q471=Parametres!$G$3),K471,E471)</f>
        <v>-62</v>
      </c>
      <c r="Q471" s="656" t="str">
        <f t="shared" si="208"/>
        <v>10-Compte compteur</v>
      </c>
      <c r="R471" s="655" t="str">
        <f t="shared" si="209"/>
        <v>4733</v>
      </c>
      <c r="S471" s="656">
        <f t="shared" si="210"/>
        <v>0</v>
      </c>
      <c r="T471" s="658" t="str">
        <f>+VLOOKUP($L471,Data_Validation!$A:$D,1,0)</f>
        <v>4733@</v>
      </c>
      <c r="U471" s="658" t="str">
        <f>+VLOOKUP($L471,Data_Validation!$A:$D,3,0)</f>
        <v>Pièces</v>
      </c>
      <c r="V471" s="658" t="str">
        <f>+VLOOKUP($L471,Data_Validation!$A:$D,4,0)</f>
        <v>Pièces Ro Carrosserie</v>
      </c>
      <c r="W471" s="658" t="str">
        <f>+VLOOKUP($L471,Data_Validation!$A:$E,5,0)</f>
        <v>NB</v>
      </c>
      <c r="X471" s="658">
        <f>+VLOOKUP($L471,Data_Validation!$A:$F,6,0)</f>
        <v>0</v>
      </c>
    </row>
    <row r="472" spans="1:24" ht="15.75" customHeight="1">
      <c r="A472" s="1190" t="s">
        <v>1097</v>
      </c>
      <c r="B472" s="1190" t="s">
        <v>1098</v>
      </c>
      <c r="C472" s="1191"/>
      <c r="D472" s="1191"/>
      <c r="E472" s="1191"/>
      <c r="F472" s="1190" t="s">
        <v>7</v>
      </c>
      <c r="G472" s="1190" t="s">
        <v>1096</v>
      </c>
      <c r="H472" s="1191"/>
      <c r="I472" s="1192">
        <v>-10</v>
      </c>
      <c r="J472" s="1192">
        <v>-3</v>
      </c>
      <c r="K472" s="1192">
        <v>-13</v>
      </c>
      <c r="L472" s="655" t="str">
        <f t="shared" si="206"/>
        <v>4735@</v>
      </c>
      <c r="M472" s="656" t="str">
        <f t="shared" si="207"/>
        <v># DE VTE - P&amp;A B.T. INTERNE CARROS.</v>
      </c>
      <c r="N472" s="657">
        <f>+IF(OR($Q472=Parametres!$G$2,$Q472=Parametres!$G$3),I472,C472)</f>
        <v>-10</v>
      </c>
      <c r="O472" s="657">
        <f>+IF(OR($Q472=Parametres!$G$2,$Q472=Parametres!$G$3),J472,D472)</f>
        <v>-3</v>
      </c>
      <c r="P472" s="657">
        <f>+IF(OR($Q472=Parametres!$G$2,$Q472=Parametres!$G$3),K472,E472)</f>
        <v>-13</v>
      </c>
      <c r="Q472" s="656" t="str">
        <f t="shared" si="208"/>
        <v>10-Compte compteur</v>
      </c>
      <c r="R472" s="655" t="str">
        <f t="shared" si="209"/>
        <v>4735</v>
      </c>
      <c r="S472" s="656">
        <f t="shared" si="210"/>
        <v>0</v>
      </c>
      <c r="T472" s="658" t="str">
        <f>+VLOOKUP($L472,Data_Validation!$A:$D,1,0)</f>
        <v>4735@</v>
      </c>
      <c r="U472" s="658" t="str">
        <f>+VLOOKUP($L472,Data_Validation!$A:$D,3,0)</f>
        <v>Pièces</v>
      </c>
      <c r="V472" s="658" t="str">
        <f>+VLOOKUP($L472,Data_Validation!$A:$D,4,0)</f>
        <v>Pièces Ro Carrosserie</v>
      </c>
      <c r="W472" s="658" t="str">
        <f>+VLOOKUP($L472,Data_Validation!$A:$E,5,0)</f>
        <v>NB</v>
      </c>
      <c r="X472" s="658">
        <f>+VLOOKUP($L472,Data_Validation!$A:$F,6,0)</f>
        <v>0</v>
      </c>
    </row>
    <row r="473" spans="1:24" ht="15.75" customHeight="1">
      <c r="A473" s="1190" t="s">
        <v>1101</v>
      </c>
      <c r="B473" s="1190" t="s">
        <v>1102</v>
      </c>
      <c r="C473" s="1191"/>
      <c r="D473" s="1191"/>
      <c r="E473" s="1191"/>
      <c r="F473" s="1190" t="s">
        <v>7</v>
      </c>
      <c r="G473" s="1190" t="s">
        <v>1100</v>
      </c>
      <c r="H473" s="1191"/>
      <c r="I473" s="1192">
        <v>-417</v>
      </c>
      <c r="J473" s="1192">
        <v>-183</v>
      </c>
      <c r="K473" s="1192">
        <v>-600</v>
      </c>
      <c r="L473" s="655" t="str">
        <f t="shared" si="206"/>
        <v>4761@</v>
      </c>
      <c r="M473" s="656" t="str">
        <f t="shared" si="207"/>
        <v>PIECES-COMPTOIR-DETAIL</v>
      </c>
      <c r="N473" s="657">
        <f>+IF(OR($Q473=Parametres!$G$2,$Q473=Parametres!$G$3),I473,C473)</f>
        <v>-417</v>
      </c>
      <c r="O473" s="657">
        <f>+IF(OR($Q473=Parametres!$G$2,$Q473=Parametres!$G$3),J473,D473)</f>
        <v>-183</v>
      </c>
      <c r="P473" s="657">
        <f>+IF(OR($Q473=Parametres!$G$2,$Q473=Parametres!$G$3),K473,E473)</f>
        <v>-600</v>
      </c>
      <c r="Q473" s="656" t="str">
        <f t="shared" si="208"/>
        <v>10-Compte compteur</v>
      </c>
      <c r="R473" s="655" t="str">
        <f t="shared" si="209"/>
        <v>4761</v>
      </c>
      <c r="S473" s="656">
        <f t="shared" si="210"/>
        <v>0</v>
      </c>
      <c r="T473" s="658" t="str">
        <f>+VLOOKUP($L473,Data_Validation!$A:$D,1,0)</f>
        <v>4761@</v>
      </c>
      <c r="U473" s="658" t="str">
        <f>+VLOOKUP($L473,Data_Validation!$A:$D,3,0)</f>
        <v>Pièces</v>
      </c>
      <c r="V473" s="658" t="str">
        <f>+VLOOKUP($L473,Data_Validation!$A:$D,4,0)</f>
        <v>Ventes Détails</v>
      </c>
      <c r="W473" s="658" t="str">
        <f>+VLOOKUP($L473,Data_Validation!$A:$E,5,0)</f>
        <v>NB</v>
      </c>
      <c r="X473" s="658">
        <f>+VLOOKUP($L473,Data_Validation!$A:$F,6,0)</f>
        <v>0</v>
      </c>
    </row>
    <row r="474" spans="1:24" ht="15.75" customHeight="1">
      <c r="A474" s="1190" t="s">
        <v>1105</v>
      </c>
      <c r="B474" s="1190" t="s">
        <v>1106</v>
      </c>
      <c r="C474" s="1191"/>
      <c r="D474" s="1191"/>
      <c r="E474" s="1191"/>
      <c r="F474" s="1190" t="s">
        <v>7</v>
      </c>
      <c r="G474" s="1190" t="s">
        <v>1104</v>
      </c>
      <c r="H474" s="1191"/>
      <c r="I474" s="1192">
        <v>-1142</v>
      </c>
      <c r="J474" s="1192">
        <v>-400</v>
      </c>
      <c r="K474" s="1192">
        <v>-1542</v>
      </c>
      <c r="L474" s="655" t="str">
        <f t="shared" si="206"/>
        <v>4763@</v>
      </c>
      <c r="M474" s="656" t="str">
        <f t="shared" si="207"/>
        <v>PIECES-COMPTOIR-COMM. GROS</v>
      </c>
      <c r="N474" s="657">
        <f>+IF(OR($Q474=Parametres!$G$2,$Q474=Parametres!$G$3),I474,C474)</f>
        <v>-1142</v>
      </c>
      <c r="O474" s="657">
        <f>+IF(OR($Q474=Parametres!$G$2,$Q474=Parametres!$G$3),J474,D474)</f>
        <v>-400</v>
      </c>
      <c r="P474" s="657">
        <f>+IF(OR($Q474=Parametres!$G$2,$Q474=Parametres!$G$3),K474,E474)</f>
        <v>-1542</v>
      </c>
      <c r="Q474" s="656" t="str">
        <f t="shared" si="208"/>
        <v>10-Compte compteur</v>
      </c>
      <c r="R474" s="655" t="str">
        <f t="shared" si="209"/>
        <v>4763</v>
      </c>
      <c r="S474" s="656">
        <f t="shared" si="210"/>
        <v>0</v>
      </c>
      <c r="T474" s="658" t="str">
        <f>+VLOOKUP($L474,Data_Validation!$A:$D,1,0)</f>
        <v>4763@</v>
      </c>
      <c r="U474" s="658" t="str">
        <f>+VLOOKUP($L474,Data_Validation!$A:$D,3,0)</f>
        <v>Pièces</v>
      </c>
      <c r="V474" s="658" t="str">
        <f>+VLOOKUP($L474,Data_Validation!$A:$D,4,0)</f>
        <v>Ventes de Gros</v>
      </c>
      <c r="W474" s="658" t="str">
        <f>+VLOOKUP($L474,Data_Validation!$A:$E,5,0)</f>
        <v>NB</v>
      </c>
      <c r="X474" s="658">
        <f>+VLOOKUP($L474,Data_Validation!$A:$F,6,0)</f>
        <v>0</v>
      </c>
    </row>
    <row r="475" spans="1:24" ht="15.75" customHeight="1">
      <c r="A475" s="1190" t="s">
        <v>1107</v>
      </c>
      <c r="B475" s="1190" t="s">
        <v>1109</v>
      </c>
      <c r="C475" s="1191"/>
      <c r="D475" s="1191"/>
      <c r="E475" s="1191"/>
      <c r="F475" s="1190" t="s">
        <v>7</v>
      </c>
      <c r="G475" s="1190" t="s">
        <v>1108</v>
      </c>
      <c r="H475" s="1191"/>
      <c r="I475" s="1192">
        <v>-124</v>
      </c>
      <c r="J475" s="1192">
        <v>-36</v>
      </c>
      <c r="K475" s="1192">
        <v>-160</v>
      </c>
      <c r="L475" s="655" t="str">
        <f t="shared" ref="L475:L479" si="211">TEXT(B475,0)</f>
        <v>4781@</v>
      </c>
      <c r="M475" s="656" t="str">
        <f t="shared" ref="M475:M479" si="212">+A475</f>
        <v>VENTES PNEUS</v>
      </c>
      <c r="N475" s="657">
        <f>+IF(OR($Q475=Parametres!$G$2,$Q475=Parametres!$G$3),I475,C475)</f>
        <v>-124</v>
      </c>
      <c r="O475" s="657">
        <f>+IF(OR($Q475=Parametres!$G$2,$Q475=Parametres!$G$3),J475,D475)</f>
        <v>-36</v>
      </c>
      <c r="P475" s="657">
        <f>+IF(OR($Q475=Parametres!$G$2,$Q475=Parametres!$G$3),K475,E475)</f>
        <v>-160</v>
      </c>
      <c r="Q475" s="656" t="str">
        <f t="shared" ref="Q475:Q479" si="213">+F475</f>
        <v>10-Compte compteur</v>
      </c>
      <c r="R475" s="655" t="str">
        <f t="shared" ref="R475:R479" si="214">+G475</f>
        <v>4781</v>
      </c>
      <c r="S475" s="656">
        <f t="shared" ref="S475:S479" si="215">+H475</f>
        <v>0</v>
      </c>
      <c r="T475" s="658" t="str">
        <f>+VLOOKUP($L475,Data_Validation!$A:$D,1,0)</f>
        <v>4781@</v>
      </c>
      <c r="U475" s="658" t="str">
        <f>+VLOOKUP($L475,Data_Validation!$A:$D,3,0)</f>
        <v>Pièces</v>
      </c>
      <c r="V475" s="658" t="str">
        <f>+VLOOKUP($L475,Data_Validation!$A:$D,4,0)</f>
        <v>Ventes Pneus</v>
      </c>
      <c r="W475" s="658" t="str">
        <f>+VLOOKUP($L475,Data_Validation!$A:$E,5,0)</f>
        <v>NB</v>
      </c>
      <c r="X475" s="658">
        <f>+VLOOKUP($L475,Data_Validation!$A:$F,6,0)</f>
        <v>0</v>
      </c>
    </row>
    <row r="476" spans="1:24" ht="15.75" customHeight="1">
      <c r="A476" s="1190" t="s">
        <v>1294</v>
      </c>
      <c r="B476" s="1190" t="s">
        <v>1295</v>
      </c>
      <c r="C476" s="1191"/>
      <c r="D476" s="1191"/>
      <c r="E476" s="1191"/>
      <c r="F476" s="1190" t="s">
        <v>7</v>
      </c>
      <c r="G476" s="1190" t="s">
        <v>1293</v>
      </c>
      <c r="H476" s="1191"/>
      <c r="I476" s="1192">
        <v>-11</v>
      </c>
      <c r="J476" s="1192">
        <v>0</v>
      </c>
      <c r="K476" s="1192">
        <v>-11</v>
      </c>
      <c r="L476" s="655" t="str">
        <f t="shared" si="211"/>
        <v>9161@</v>
      </c>
      <c r="M476" s="656" t="str">
        <f t="shared" si="212"/>
        <v>REV FINANCE ET ASS NEUF</v>
      </c>
      <c r="N476" s="657">
        <f>+IF(OR($Q476=Parametres!$G$2,$Q476=Parametres!$G$3),I476,C476)</f>
        <v>-11</v>
      </c>
      <c r="O476" s="657">
        <f>+IF(OR($Q476=Parametres!$G$2,$Q476=Parametres!$G$3),J476,D476)</f>
        <v>0</v>
      </c>
      <c r="P476" s="657">
        <f>+IF(OR($Q476=Parametres!$G$2,$Q476=Parametres!$G$3),K476,E476)</f>
        <v>-11</v>
      </c>
      <c r="Q476" s="656" t="str">
        <f t="shared" si="213"/>
        <v>10-Compte compteur</v>
      </c>
      <c r="R476" s="655" t="str">
        <f t="shared" si="214"/>
        <v>9161</v>
      </c>
      <c r="S476" s="656">
        <f t="shared" si="215"/>
        <v>0</v>
      </c>
      <c r="T476" s="658" t="str">
        <f>+VLOOKUP($L476,Data_Validation!$A:$D,1,0)</f>
        <v>9161@</v>
      </c>
      <c r="U476" s="658" t="str">
        <f>+VLOOKUP($L476,Data_Validation!$A:$D,3,0)</f>
        <v>Véhicules neufs</v>
      </c>
      <c r="V476" s="658">
        <f>+VLOOKUP($L476,Data_Validation!$A:$D,4,0)</f>
        <v>0</v>
      </c>
      <c r="W476" s="658" t="str">
        <f>+VLOOKUP($L476,Data_Validation!$A:$E,5,0)</f>
        <v>NB</v>
      </c>
      <c r="X476" s="658">
        <f>+VLOOKUP($L476,Data_Validation!$A:$F,6,0)</f>
        <v>0</v>
      </c>
    </row>
    <row r="477" spans="1:24" ht="15.75" customHeight="1">
      <c r="A477" s="1190" t="s">
        <v>1296</v>
      </c>
      <c r="B477" s="1190" t="s">
        <v>1298</v>
      </c>
      <c r="C477" s="1191"/>
      <c r="D477" s="1191"/>
      <c r="E477" s="1191"/>
      <c r="F477" s="1190" t="s">
        <v>7</v>
      </c>
      <c r="G477" s="1190" t="s">
        <v>1297</v>
      </c>
      <c r="H477" s="1191"/>
      <c r="I477" s="1192">
        <v>-14</v>
      </c>
      <c r="J477" s="1192">
        <v>-8</v>
      </c>
      <c r="K477" s="1192">
        <v>-22</v>
      </c>
      <c r="L477" s="655" t="str">
        <f t="shared" si="211"/>
        <v>9163@</v>
      </c>
      <c r="M477" s="656" t="str">
        <f t="shared" si="212"/>
        <v>RESERVE FIN ET ASS VEH OCCASION</v>
      </c>
      <c r="N477" s="657">
        <f>+IF(OR($Q477=Parametres!$G$2,$Q477=Parametres!$G$3),I477,C477)</f>
        <v>-14</v>
      </c>
      <c r="O477" s="657">
        <f>+IF(OR($Q477=Parametres!$G$2,$Q477=Parametres!$G$3),J477,D477)</f>
        <v>-8</v>
      </c>
      <c r="P477" s="657">
        <f>+IF(OR($Q477=Parametres!$G$2,$Q477=Parametres!$G$3),K477,E477)</f>
        <v>-22</v>
      </c>
      <c r="Q477" s="656" t="str">
        <f t="shared" si="213"/>
        <v>10-Compte compteur</v>
      </c>
      <c r="R477" s="655" t="str">
        <f t="shared" si="214"/>
        <v>9163</v>
      </c>
      <c r="S477" s="656">
        <f t="shared" si="215"/>
        <v>0</v>
      </c>
      <c r="T477" s="658" t="str">
        <f>+VLOOKUP($L477,Data_Validation!$A:$D,1,0)</f>
        <v>9163@</v>
      </c>
      <c r="U477" s="658" t="str">
        <f>+VLOOKUP($L477,Data_Validation!$A:$D,3,0)</f>
        <v>Véhicules usagés</v>
      </c>
      <c r="V477" s="658">
        <f>+VLOOKUP($L477,Data_Validation!$A:$D,4,0)</f>
        <v>0</v>
      </c>
      <c r="W477" s="658" t="str">
        <f>+VLOOKUP($L477,Data_Validation!$A:$E,5,0)</f>
        <v>NB</v>
      </c>
      <c r="X477" s="658">
        <f>+VLOOKUP($L477,Data_Validation!$A:$F,6,0)</f>
        <v>0</v>
      </c>
    </row>
    <row r="478" spans="1:24" ht="15.75" customHeight="1">
      <c r="A478" s="1190" t="s">
        <v>3351</v>
      </c>
      <c r="B478" s="1190" t="s">
        <v>3352</v>
      </c>
      <c r="C478" s="1191"/>
      <c r="D478" s="1191"/>
      <c r="E478" s="1191"/>
      <c r="F478" s="1190" t="s">
        <v>7</v>
      </c>
      <c r="G478" s="1190" t="s">
        <v>1293</v>
      </c>
      <c r="H478" s="1191"/>
      <c r="I478" s="1192">
        <v>-187</v>
      </c>
      <c r="J478" s="1192">
        <v>-68</v>
      </c>
      <c r="K478" s="1192">
        <v>-255</v>
      </c>
      <c r="L478" s="655" t="str">
        <f t="shared" si="211"/>
        <v>9170@</v>
      </c>
      <c r="M478" s="656" t="str">
        <f t="shared" si="212"/>
        <v># DE PROFIT PROTECTIONS - NEUFS</v>
      </c>
      <c r="N478" s="657">
        <f>+IF(OR($Q478=Parametres!$G$2,$Q478=Parametres!$G$3),I478,C478)</f>
        <v>-187</v>
      </c>
      <c r="O478" s="657">
        <f>+IF(OR($Q478=Parametres!$G$2,$Q478=Parametres!$G$3),J478,D478)</f>
        <v>-68</v>
      </c>
      <c r="P478" s="657">
        <f>+IF(OR($Q478=Parametres!$G$2,$Q478=Parametres!$G$3),K478,E478)</f>
        <v>-255</v>
      </c>
      <c r="Q478" s="656" t="str">
        <f t="shared" si="213"/>
        <v>10-Compte compteur</v>
      </c>
      <c r="R478" s="655" t="str">
        <f t="shared" si="214"/>
        <v>9161</v>
      </c>
      <c r="S478" s="656">
        <f t="shared" si="215"/>
        <v>0</v>
      </c>
      <c r="T478" s="658" t="str">
        <f>+VLOOKUP($L478,Data_Validation!$A:$D,1,0)</f>
        <v>9170@</v>
      </c>
      <c r="U478" s="658" t="str">
        <f>+VLOOKUP($L478,Data_Validation!$A:$D,3,0)</f>
        <v>Véhicules neufs</v>
      </c>
      <c r="V478" s="658">
        <f>+VLOOKUP($L478,Data_Validation!$A:$D,4,0)</f>
        <v>0</v>
      </c>
      <c r="W478" s="658" t="str">
        <f>+VLOOKUP($L478,Data_Validation!$A:$E,5,0)</f>
        <v>NB</v>
      </c>
      <c r="X478" s="658">
        <f>+VLOOKUP($L478,Data_Validation!$A:$F,6,0)</f>
        <v>0</v>
      </c>
    </row>
    <row r="479" spans="1:24" ht="15.75" customHeight="1">
      <c r="A479" s="1190" t="s">
        <v>1309</v>
      </c>
      <c r="B479" s="1190" t="s">
        <v>1310</v>
      </c>
      <c r="C479" s="1191"/>
      <c r="D479" s="1191"/>
      <c r="E479" s="1191"/>
      <c r="F479" s="1190" t="s">
        <v>7</v>
      </c>
      <c r="G479" s="1190" t="s">
        <v>1297</v>
      </c>
      <c r="H479" s="1191"/>
      <c r="I479" s="1192">
        <v>-53</v>
      </c>
      <c r="J479" s="1192">
        <v>-22</v>
      </c>
      <c r="K479" s="1192">
        <v>-75</v>
      </c>
      <c r="L479" s="655" t="str">
        <f t="shared" si="211"/>
        <v>9172@</v>
      </c>
      <c r="M479" s="656" t="str">
        <f t="shared" si="212"/>
        <v># DE PROFIT PROTECTIONS - USAGES</v>
      </c>
      <c r="N479" s="657">
        <f>+IF(OR($Q479=Parametres!$G$2,$Q479=Parametres!$G$3),I479,C479)</f>
        <v>-53</v>
      </c>
      <c r="O479" s="657">
        <f>+IF(OR($Q479=Parametres!$G$2,$Q479=Parametres!$G$3),J479,D479)</f>
        <v>-22</v>
      </c>
      <c r="P479" s="657">
        <f>+IF(OR($Q479=Parametres!$G$2,$Q479=Parametres!$G$3),K479,E479)</f>
        <v>-75</v>
      </c>
      <c r="Q479" s="656" t="str">
        <f t="shared" si="213"/>
        <v>10-Compte compteur</v>
      </c>
      <c r="R479" s="655" t="str">
        <f t="shared" si="214"/>
        <v>9163</v>
      </c>
      <c r="S479" s="656">
        <f t="shared" si="215"/>
        <v>0</v>
      </c>
      <c r="T479" s="658" t="str">
        <f>+VLOOKUP($L479,Data_Validation!$A:$D,1,0)</f>
        <v>9172@</v>
      </c>
      <c r="U479" s="658" t="str">
        <f>+VLOOKUP($L479,Data_Validation!$A:$D,3,0)</f>
        <v>Véhicules usagés</v>
      </c>
      <c r="V479" s="658">
        <f>+VLOOKUP($L479,Data_Validation!$A:$D,4,0)</f>
        <v>0</v>
      </c>
      <c r="W479" s="658" t="str">
        <f>+VLOOKUP($L479,Data_Validation!$A:$E,5,0)</f>
        <v>NB</v>
      </c>
      <c r="X479" s="658">
        <f>+VLOOKUP($L479,Data_Validation!$A:$F,6,0)</f>
        <v>0</v>
      </c>
    </row>
    <row r="480" spans="1:24" ht="15.75" customHeight="1">
      <c r="C480" s="1026"/>
      <c r="D480" s="1026"/>
      <c r="E480" s="1026"/>
      <c r="I480" s="1027"/>
      <c r="J480" s="1027"/>
      <c r="K480" s="1027"/>
      <c r="O480" s="675"/>
    </row>
    <row r="481" spans="3:15" ht="15.75" customHeight="1">
      <c r="C481" s="1026"/>
      <c r="D481" s="1026"/>
      <c r="E481" s="1026"/>
      <c r="I481" s="1027"/>
      <c r="J481" s="1027"/>
      <c r="K481" s="1027"/>
      <c r="O481" s="675"/>
    </row>
    <row r="482" spans="3:15" ht="15.75" customHeight="1">
      <c r="C482" s="1026"/>
      <c r="D482" s="1026"/>
      <c r="E482" s="1026"/>
      <c r="I482" s="1027"/>
      <c r="J482" s="1027"/>
      <c r="K482" s="1027"/>
      <c r="O482" s="675"/>
    </row>
    <row r="483" spans="3:15" ht="15.75" customHeight="1">
      <c r="C483" s="1026"/>
      <c r="D483" s="1026"/>
      <c r="E483" s="1026"/>
      <c r="I483" s="1027"/>
      <c r="J483" s="1027"/>
      <c r="K483" s="1027"/>
      <c r="O483" s="675"/>
    </row>
    <row r="484" spans="3:15" ht="15.75" customHeight="1">
      <c r="C484" s="1026"/>
      <c r="D484" s="1026"/>
      <c r="E484" s="1026"/>
      <c r="I484" s="1027"/>
      <c r="J484" s="1027"/>
      <c r="K484" s="1027"/>
      <c r="O484" s="675"/>
    </row>
    <row r="485" spans="3:15" ht="15.75" customHeight="1">
      <c r="C485" s="1026"/>
      <c r="D485" s="1026"/>
      <c r="E485" s="1026"/>
      <c r="I485" s="1027"/>
      <c r="J485" s="1027"/>
      <c r="K485" s="1027"/>
      <c r="O485" s="675"/>
    </row>
    <row r="486" spans="3:15" ht="15.75" customHeight="1">
      <c r="C486" s="1026"/>
      <c r="D486" s="1026"/>
      <c r="E486" s="1026"/>
      <c r="I486" s="1027"/>
      <c r="J486" s="1027"/>
      <c r="K486" s="1027"/>
      <c r="O486" s="675"/>
    </row>
    <row r="487" spans="3:15" ht="15.75" customHeight="1">
      <c r="C487" s="1026"/>
      <c r="D487" s="1026"/>
      <c r="E487" s="1026"/>
      <c r="I487" s="1027"/>
      <c r="J487" s="1027"/>
      <c r="K487" s="1027"/>
      <c r="O487" s="675"/>
    </row>
    <row r="488" spans="3:15" ht="15.75" customHeight="1">
      <c r="C488" s="1026"/>
      <c r="D488" s="1026"/>
      <c r="E488" s="1026"/>
      <c r="I488" s="1027"/>
      <c r="J488" s="1027"/>
      <c r="K488" s="1027"/>
      <c r="O488" s="675"/>
    </row>
    <row r="489" spans="3:15" ht="15.75" customHeight="1">
      <c r="C489" s="1026"/>
      <c r="D489" s="1026"/>
      <c r="E489" s="1026"/>
      <c r="I489" s="1027"/>
      <c r="J489" s="1027"/>
      <c r="K489" s="1027"/>
      <c r="O489" s="675"/>
    </row>
    <row r="490" spans="3:15" ht="15.75" customHeight="1">
      <c r="C490" s="1026"/>
      <c r="D490" s="1026"/>
      <c r="E490" s="1026"/>
      <c r="I490" s="1027"/>
      <c r="J490" s="1027"/>
      <c r="K490" s="1027"/>
      <c r="O490" s="675"/>
    </row>
    <row r="491" spans="3:15" ht="15.75" customHeight="1">
      <c r="C491" s="1026"/>
      <c r="D491" s="1026"/>
      <c r="E491" s="1026"/>
      <c r="I491" s="1027"/>
      <c r="J491" s="1027"/>
      <c r="K491" s="1027"/>
      <c r="O491" s="675"/>
    </row>
    <row r="492" spans="3:15" ht="15.75" customHeight="1">
      <c r="C492" s="1026"/>
      <c r="D492" s="1026"/>
      <c r="E492" s="1026"/>
      <c r="I492" s="1027"/>
      <c r="J492" s="1027"/>
      <c r="K492" s="1027"/>
      <c r="O492" s="675"/>
    </row>
    <row r="493" spans="3:15" ht="15.75" customHeight="1">
      <c r="C493" s="1026"/>
      <c r="D493" s="1026"/>
      <c r="E493" s="1026"/>
      <c r="I493" s="1027"/>
      <c r="J493" s="1027"/>
      <c r="K493" s="1027"/>
      <c r="O493" s="675"/>
    </row>
    <row r="494" spans="3:15" ht="15.75" customHeight="1">
      <c r="C494" s="1026"/>
      <c r="D494" s="1026"/>
      <c r="E494" s="1026"/>
      <c r="I494" s="1027"/>
      <c r="J494" s="1027"/>
      <c r="K494" s="1027"/>
      <c r="O494" s="675"/>
    </row>
    <row r="495" spans="3:15" ht="15.75" customHeight="1">
      <c r="C495" s="1026"/>
      <c r="D495" s="1026"/>
      <c r="E495" s="1026"/>
      <c r="I495" s="1027"/>
      <c r="J495" s="1027"/>
      <c r="K495" s="1027"/>
      <c r="O495" s="675"/>
    </row>
    <row r="496" spans="3:15" ht="15.75" customHeight="1">
      <c r="C496" s="1026"/>
      <c r="D496" s="1026"/>
      <c r="E496" s="1026"/>
      <c r="I496" s="1027"/>
      <c r="J496" s="1027"/>
      <c r="K496" s="1027"/>
      <c r="O496" s="675"/>
    </row>
    <row r="497" spans="3:15" ht="15.75" customHeight="1">
      <c r="C497" s="1026"/>
      <c r="D497" s="1026"/>
      <c r="E497" s="1026"/>
      <c r="I497" s="1027"/>
      <c r="J497" s="1027"/>
      <c r="K497" s="1027"/>
      <c r="O497" s="675"/>
    </row>
    <row r="498" spans="3:15" ht="15.75" customHeight="1">
      <c r="C498" s="1026"/>
      <c r="D498" s="1026"/>
      <c r="E498" s="1026"/>
      <c r="I498" s="1027"/>
      <c r="J498" s="1027"/>
      <c r="K498" s="1027"/>
      <c r="O498" s="675"/>
    </row>
    <row r="499" spans="3:15" ht="15.75" customHeight="1">
      <c r="C499" s="1026"/>
      <c r="D499" s="1026"/>
      <c r="E499" s="1026"/>
      <c r="I499" s="1027"/>
      <c r="J499" s="1027"/>
      <c r="K499" s="1027"/>
      <c r="O499" s="675"/>
    </row>
    <row r="500" spans="3:15" ht="15.75" customHeight="1">
      <c r="C500" s="1026"/>
      <c r="D500" s="1026"/>
      <c r="E500" s="1026"/>
      <c r="I500" s="1027"/>
      <c r="J500" s="1027"/>
      <c r="K500" s="1027"/>
      <c r="O500" s="675"/>
    </row>
    <row r="501" spans="3:15" ht="15.75" customHeight="1">
      <c r="C501" s="1026"/>
      <c r="D501" s="1026"/>
      <c r="E501" s="1026"/>
      <c r="I501" s="1027"/>
      <c r="J501" s="1027"/>
      <c r="K501" s="1027"/>
      <c r="O501" s="675"/>
    </row>
    <row r="502" spans="3:15" ht="15.75" customHeight="1">
      <c r="C502" s="1026"/>
      <c r="D502" s="1026"/>
      <c r="E502" s="1026"/>
      <c r="I502" s="1027"/>
      <c r="J502" s="1027"/>
      <c r="K502" s="1027"/>
      <c r="O502" s="675"/>
    </row>
    <row r="503" spans="3:15" ht="15.75" customHeight="1">
      <c r="C503" s="1026"/>
      <c r="D503" s="1026"/>
      <c r="E503" s="1026"/>
      <c r="I503" s="1027"/>
      <c r="J503" s="1027"/>
      <c r="K503" s="1027"/>
      <c r="O503" s="675"/>
    </row>
    <row r="504" spans="3:15" ht="15.75" customHeight="1">
      <c r="C504" s="1026"/>
      <c r="D504" s="1026"/>
      <c r="E504" s="1026"/>
      <c r="I504" s="1027"/>
      <c r="J504" s="1027"/>
      <c r="K504" s="1027"/>
      <c r="O504" s="675"/>
    </row>
    <row r="505" spans="3:15" ht="15.75" customHeight="1">
      <c r="C505" s="1026"/>
      <c r="D505" s="1026"/>
      <c r="E505" s="1026"/>
      <c r="I505" s="1027"/>
      <c r="J505" s="1027"/>
      <c r="K505" s="1027"/>
      <c r="O505" s="675"/>
    </row>
    <row r="506" spans="3:15" ht="15.75" customHeight="1">
      <c r="C506" s="1026"/>
      <c r="D506" s="1026"/>
      <c r="E506" s="1026"/>
      <c r="I506" s="1027"/>
      <c r="J506" s="1027"/>
      <c r="K506" s="1027"/>
      <c r="O506" s="675"/>
    </row>
    <row r="507" spans="3:15" ht="15.75" customHeight="1">
      <c r="C507" s="1026"/>
      <c r="D507" s="1026"/>
      <c r="E507" s="1026"/>
      <c r="I507" s="1027"/>
      <c r="J507" s="1027"/>
      <c r="K507" s="1027"/>
      <c r="O507" s="675"/>
    </row>
    <row r="508" spans="3:15" ht="15.75" customHeight="1">
      <c r="C508" s="1026"/>
      <c r="D508" s="1026"/>
      <c r="E508" s="1026"/>
      <c r="I508" s="1027"/>
      <c r="J508" s="1027"/>
      <c r="K508" s="1027"/>
      <c r="O508" s="675"/>
    </row>
    <row r="509" spans="3:15" ht="15.75" customHeight="1">
      <c r="C509" s="1026"/>
      <c r="D509" s="1026"/>
      <c r="E509" s="1026"/>
      <c r="I509" s="1027"/>
      <c r="J509" s="1027"/>
      <c r="K509" s="1027"/>
      <c r="O509" s="675"/>
    </row>
    <row r="510" spans="3:15" ht="15.75" customHeight="1">
      <c r="C510" s="1026"/>
      <c r="D510" s="1026"/>
      <c r="E510" s="1026"/>
      <c r="I510" s="1027"/>
      <c r="J510" s="1027"/>
      <c r="K510" s="1027"/>
      <c r="O510" s="675"/>
    </row>
    <row r="511" spans="3:15" ht="15.75" customHeight="1">
      <c r="C511" s="1026"/>
      <c r="D511" s="1026"/>
      <c r="E511" s="1026"/>
      <c r="I511" s="1027"/>
      <c r="J511" s="1027"/>
      <c r="K511" s="1027"/>
      <c r="O511" s="675"/>
    </row>
    <row r="512" spans="3:15" ht="15.75" customHeight="1">
      <c r="C512" s="1026"/>
      <c r="D512" s="1026"/>
      <c r="E512" s="1026"/>
      <c r="I512" s="1027"/>
      <c r="J512" s="1027"/>
      <c r="K512" s="1027"/>
      <c r="O512" s="675"/>
    </row>
    <row r="513" spans="3:15" ht="15.75" customHeight="1">
      <c r="C513" s="1026"/>
      <c r="D513" s="1026"/>
      <c r="E513" s="1026"/>
      <c r="I513" s="1027"/>
      <c r="J513" s="1027"/>
      <c r="K513" s="1027"/>
      <c r="O513" s="675"/>
    </row>
    <row r="514" spans="3:15" ht="15.75" customHeight="1">
      <c r="C514" s="1026"/>
      <c r="D514" s="1026"/>
      <c r="E514" s="1026"/>
      <c r="I514" s="1027"/>
      <c r="J514" s="1027"/>
      <c r="K514" s="1027"/>
      <c r="O514" s="675"/>
    </row>
    <row r="515" spans="3:15" ht="15.75" customHeight="1">
      <c r="C515" s="1026"/>
      <c r="D515" s="1026"/>
      <c r="E515" s="1026"/>
      <c r="I515" s="1027"/>
      <c r="J515" s="1027"/>
      <c r="K515" s="1027"/>
      <c r="O515" s="675"/>
    </row>
    <row r="516" spans="3:15" ht="15.75" customHeight="1">
      <c r="C516" s="1026"/>
      <c r="D516" s="1026"/>
      <c r="E516" s="1026"/>
      <c r="I516" s="1027"/>
      <c r="J516" s="1027"/>
      <c r="K516" s="1027"/>
      <c r="O516" s="675"/>
    </row>
    <row r="517" spans="3:15" ht="15.75" customHeight="1">
      <c r="C517" s="1026"/>
      <c r="D517" s="1026"/>
      <c r="E517" s="1026"/>
      <c r="I517" s="1027"/>
      <c r="J517" s="1027"/>
      <c r="K517" s="1027"/>
      <c r="O517" s="675"/>
    </row>
    <row r="518" spans="3:15" ht="15.75" customHeight="1">
      <c r="C518" s="1026"/>
      <c r="D518" s="1026"/>
      <c r="E518" s="1026"/>
      <c r="I518" s="1027"/>
      <c r="J518" s="1027"/>
      <c r="K518" s="1027"/>
      <c r="O518" s="675"/>
    </row>
    <row r="519" spans="3:15" ht="15.75" customHeight="1">
      <c r="C519" s="1026"/>
      <c r="D519" s="1026"/>
      <c r="E519" s="1026"/>
      <c r="I519" s="1027"/>
      <c r="J519" s="1027"/>
      <c r="K519" s="1027"/>
      <c r="O519" s="675"/>
    </row>
    <row r="520" spans="3:15" ht="15.75" customHeight="1">
      <c r="C520" s="1026"/>
      <c r="D520" s="1026"/>
      <c r="E520" s="1026"/>
      <c r="I520" s="1027"/>
      <c r="J520" s="1027"/>
      <c r="K520" s="1027"/>
      <c r="O520" s="675"/>
    </row>
    <row r="521" spans="3:15" ht="15.75" customHeight="1">
      <c r="C521" s="1026"/>
      <c r="D521" s="1026"/>
      <c r="E521" s="1026"/>
      <c r="I521" s="1027"/>
      <c r="J521" s="1027"/>
      <c r="K521" s="1027"/>
      <c r="O521" s="675"/>
    </row>
    <row r="522" spans="3:15" ht="15.75" customHeight="1">
      <c r="C522" s="1026"/>
      <c r="D522" s="1026"/>
      <c r="E522" s="1026"/>
      <c r="I522" s="1027"/>
      <c r="J522" s="1027"/>
      <c r="K522" s="1027"/>
      <c r="O522" s="675"/>
    </row>
    <row r="523" spans="3:15" ht="15.75" customHeight="1">
      <c r="C523" s="1026"/>
      <c r="D523" s="1026"/>
      <c r="E523" s="1026"/>
      <c r="I523" s="1027"/>
      <c r="J523" s="1027"/>
      <c r="K523" s="1027"/>
      <c r="O523" s="675"/>
    </row>
    <row r="524" spans="3:15" ht="15.75" customHeight="1">
      <c r="C524" s="1026"/>
      <c r="D524" s="1026"/>
      <c r="E524" s="1026"/>
      <c r="I524" s="1027"/>
      <c r="J524" s="1027"/>
      <c r="K524" s="1027"/>
      <c r="O524" s="675"/>
    </row>
    <row r="525" spans="3:15" ht="15.75" customHeight="1">
      <c r="C525" s="1026"/>
      <c r="D525" s="1026"/>
      <c r="E525" s="1026"/>
      <c r="I525" s="1027"/>
      <c r="J525" s="1027"/>
      <c r="K525" s="1027"/>
      <c r="O525" s="675"/>
    </row>
    <row r="526" spans="3:15" ht="15.75" customHeight="1">
      <c r="C526" s="1026"/>
      <c r="D526" s="1026"/>
      <c r="E526" s="1026"/>
      <c r="I526" s="1027"/>
      <c r="J526" s="1027"/>
      <c r="K526" s="1027"/>
      <c r="O526" s="675"/>
    </row>
    <row r="527" spans="3:15" ht="15.75" customHeight="1">
      <c r="C527" s="1026"/>
      <c r="D527" s="1026"/>
      <c r="E527" s="1026"/>
      <c r="I527" s="1027"/>
      <c r="J527" s="1027"/>
      <c r="K527" s="1027"/>
      <c r="O527" s="675"/>
    </row>
    <row r="528" spans="3:15" ht="15.75" customHeight="1">
      <c r="C528" s="1026"/>
      <c r="D528" s="1026"/>
      <c r="E528" s="1026"/>
      <c r="I528" s="1027"/>
      <c r="J528" s="1027"/>
      <c r="K528" s="1027"/>
      <c r="O528" s="675"/>
    </row>
    <row r="529" spans="3:15" ht="15.75" customHeight="1">
      <c r="C529" s="1026"/>
      <c r="D529" s="1026"/>
      <c r="E529" s="1026"/>
      <c r="I529" s="1027"/>
      <c r="J529" s="1027"/>
      <c r="K529" s="1027"/>
      <c r="O529" s="675"/>
    </row>
    <row r="530" spans="3:15" ht="15.75" customHeight="1">
      <c r="C530" s="1026"/>
      <c r="D530" s="1026"/>
      <c r="E530" s="1026"/>
      <c r="I530" s="1027"/>
      <c r="J530" s="1027"/>
      <c r="K530" s="1027"/>
      <c r="O530" s="675"/>
    </row>
    <row r="531" spans="3:15" ht="15.75" customHeight="1">
      <c r="C531" s="1026"/>
      <c r="D531" s="1026"/>
      <c r="E531" s="1026"/>
      <c r="I531" s="1027"/>
      <c r="J531" s="1027"/>
      <c r="K531" s="1027"/>
      <c r="O531" s="675"/>
    </row>
    <row r="532" spans="3:15" ht="15.75" customHeight="1">
      <c r="C532" s="1026"/>
      <c r="D532" s="1026"/>
      <c r="E532" s="1026"/>
      <c r="I532" s="1027"/>
      <c r="J532" s="1027"/>
      <c r="K532" s="1027"/>
      <c r="O532" s="675"/>
    </row>
    <row r="533" spans="3:15" ht="15.75" customHeight="1">
      <c r="C533" s="1026"/>
      <c r="D533" s="1026"/>
      <c r="E533" s="1026"/>
      <c r="I533" s="1027"/>
      <c r="J533" s="1027"/>
      <c r="K533" s="1027"/>
      <c r="O533" s="675"/>
    </row>
    <row r="534" spans="3:15" ht="15.75" customHeight="1">
      <c r="C534" s="1026"/>
      <c r="D534" s="1026"/>
      <c r="E534" s="1026"/>
      <c r="I534" s="1027"/>
      <c r="J534" s="1027"/>
      <c r="K534" s="1027"/>
      <c r="O534" s="675"/>
    </row>
    <row r="535" spans="3:15" ht="15.75" customHeight="1">
      <c r="C535" s="1026"/>
      <c r="D535" s="1026"/>
      <c r="E535" s="1026"/>
      <c r="I535" s="1027"/>
      <c r="J535" s="1027"/>
      <c r="K535" s="1027"/>
      <c r="O535" s="675"/>
    </row>
    <row r="536" spans="3:15" ht="15.75" customHeight="1">
      <c r="C536" s="1026"/>
      <c r="D536" s="1026"/>
      <c r="E536" s="1026"/>
      <c r="I536" s="1027"/>
      <c r="J536" s="1027"/>
      <c r="K536" s="1027"/>
      <c r="O536" s="675"/>
    </row>
    <row r="537" spans="3:15" ht="15.75" customHeight="1">
      <c r="C537" s="1026"/>
      <c r="D537" s="1026"/>
      <c r="E537" s="1026"/>
      <c r="I537" s="1027"/>
      <c r="J537" s="1027"/>
      <c r="K537" s="1027"/>
      <c r="O537" s="675"/>
    </row>
    <row r="538" spans="3:15" ht="15.75" customHeight="1">
      <c r="C538" s="1026"/>
      <c r="D538" s="1026"/>
      <c r="E538" s="1026"/>
      <c r="I538" s="1027"/>
      <c r="J538" s="1027"/>
      <c r="K538" s="1027"/>
      <c r="O538" s="675"/>
    </row>
    <row r="539" spans="3:15" ht="15.75" customHeight="1">
      <c r="C539" s="1026"/>
      <c r="D539" s="1026"/>
      <c r="E539" s="1026"/>
      <c r="I539" s="1027"/>
      <c r="J539" s="1027"/>
      <c r="K539" s="1027"/>
      <c r="O539" s="675"/>
    </row>
    <row r="540" spans="3:15" ht="15.75" customHeight="1">
      <c r="C540" s="1026"/>
      <c r="D540" s="1026"/>
      <c r="E540" s="1026"/>
      <c r="I540" s="1027"/>
      <c r="J540" s="1027"/>
      <c r="K540" s="1027"/>
      <c r="O540" s="675"/>
    </row>
    <row r="541" spans="3:15" ht="15.75" customHeight="1">
      <c r="C541" s="1026"/>
      <c r="D541" s="1026"/>
      <c r="E541" s="1026"/>
      <c r="I541" s="1027"/>
      <c r="J541" s="1027"/>
      <c r="K541" s="1027"/>
      <c r="O541" s="675"/>
    </row>
    <row r="542" spans="3:15" ht="15.75" customHeight="1">
      <c r="C542" s="1026"/>
      <c r="D542" s="1026"/>
      <c r="E542" s="1026"/>
      <c r="I542" s="1027"/>
      <c r="J542" s="1027"/>
      <c r="K542" s="1027"/>
      <c r="O542" s="675"/>
    </row>
    <row r="543" spans="3:15" ht="15.75" customHeight="1">
      <c r="C543" s="1026"/>
      <c r="D543" s="1026"/>
      <c r="E543" s="1026"/>
      <c r="I543" s="1027"/>
      <c r="J543" s="1027"/>
      <c r="K543" s="1027"/>
      <c r="O543" s="675"/>
    </row>
    <row r="544" spans="3:15" ht="15.75" customHeight="1">
      <c r="C544" s="1026"/>
      <c r="D544" s="1026"/>
      <c r="E544" s="1026"/>
      <c r="I544" s="1027"/>
      <c r="J544" s="1027"/>
      <c r="K544" s="1027"/>
      <c r="O544" s="675"/>
    </row>
    <row r="545" spans="3:15" ht="15.75" customHeight="1">
      <c r="C545" s="1026"/>
      <c r="D545" s="1026"/>
      <c r="E545" s="1026"/>
      <c r="I545" s="1027"/>
      <c r="J545" s="1027"/>
      <c r="K545" s="1027"/>
      <c r="O545" s="675"/>
    </row>
    <row r="546" spans="3:15" ht="15.75" customHeight="1">
      <c r="C546" s="1026"/>
      <c r="D546" s="1026"/>
      <c r="E546" s="1026"/>
      <c r="I546" s="1027"/>
      <c r="J546" s="1027"/>
      <c r="K546" s="1027"/>
      <c r="O546" s="675"/>
    </row>
    <row r="547" spans="3:15" ht="15.75" customHeight="1">
      <c r="C547" s="1026"/>
      <c r="D547" s="1026"/>
      <c r="E547" s="1026"/>
      <c r="I547" s="1027"/>
      <c r="J547" s="1027"/>
      <c r="K547" s="1027"/>
      <c r="O547" s="675"/>
    </row>
    <row r="548" spans="3:15" ht="15.75" customHeight="1">
      <c r="C548" s="1026"/>
      <c r="D548" s="1026"/>
      <c r="E548" s="1026"/>
      <c r="I548" s="1027"/>
      <c r="J548" s="1027"/>
      <c r="K548" s="1027"/>
      <c r="O548" s="675"/>
    </row>
    <row r="549" spans="3:15" ht="15.75" customHeight="1">
      <c r="C549" s="1026"/>
      <c r="D549" s="1026"/>
      <c r="E549" s="1026"/>
      <c r="I549" s="1027"/>
      <c r="J549" s="1027"/>
      <c r="K549" s="1027"/>
      <c r="O549" s="675"/>
    </row>
    <row r="550" spans="3:15" ht="15.75" customHeight="1">
      <c r="C550" s="1026"/>
      <c r="D550" s="1026"/>
      <c r="E550" s="1026"/>
      <c r="I550" s="1027"/>
      <c r="J550" s="1027"/>
      <c r="K550" s="1027"/>
      <c r="O550" s="675"/>
    </row>
    <row r="551" spans="3:15" ht="15.75" customHeight="1">
      <c r="C551" s="1026"/>
      <c r="D551" s="1026"/>
      <c r="E551" s="1026"/>
      <c r="I551" s="1027"/>
      <c r="J551" s="1027"/>
      <c r="K551" s="1027"/>
      <c r="O551" s="675"/>
    </row>
    <row r="552" spans="3:15" ht="15.75" customHeight="1">
      <c r="C552" s="1026"/>
      <c r="D552" s="1026"/>
      <c r="E552" s="1026"/>
      <c r="I552" s="1027"/>
      <c r="J552" s="1027"/>
      <c r="K552" s="1027"/>
      <c r="O552" s="675"/>
    </row>
    <row r="553" spans="3:15" ht="15.75" customHeight="1">
      <c r="C553" s="1026"/>
      <c r="D553" s="1026"/>
      <c r="E553" s="1026"/>
      <c r="I553" s="1027"/>
      <c r="J553" s="1027"/>
      <c r="K553" s="1027"/>
      <c r="O553" s="675"/>
    </row>
    <row r="554" spans="3:15" ht="15.75" customHeight="1">
      <c r="C554" s="1026"/>
      <c r="D554" s="1026"/>
      <c r="E554" s="1026"/>
      <c r="I554" s="1027"/>
      <c r="J554" s="1027"/>
      <c r="K554" s="1027"/>
      <c r="O554" s="675"/>
    </row>
    <row r="555" spans="3:15" ht="15.75" customHeight="1">
      <c r="C555" s="1026"/>
      <c r="D555" s="1026"/>
      <c r="E555" s="1026"/>
      <c r="I555" s="1027"/>
      <c r="J555" s="1027"/>
      <c r="K555" s="1027"/>
      <c r="O555" s="675"/>
    </row>
    <row r="556" spans="3:15" ht="15.75" customHeight="1">
      <c r="C556" s="1026"/>
      <c r="D556" s="1026"/>
      <c r="E556" s="1026"/>
      <c r="I556" s="1027"/>
      <c r="J556" s="1027"/>
      <c r="K556" s="1027"/>
      <c r="O556" s="675"/>
    </row>
    <row r="557" spans="3:15" ht="15.75" customHeight="1">
      <c r="C557" s="1026"/>
      <c r="D557" s="1026"/>
      <c r="E557" s="1026"/>
      <c r="I557" s="1027"/>
      <c r="J557" s="1027"/>
      <c r="K557" s="1027"/>
      <c r="O557" s="675"/>
    </row>
    <row r="558" spans="3:15" ht="15.75" customHeight="1">
      <c r="C558" s="1026"/>
      <c r="D558" s="1026"/>
      <c r="E558" s="1026"/>
      <c r="I558" s="1027"/>
      <c r="J558" s="1027"/>
      <c r="K558" s="1027"/>
      <c r="O558" s="675"/>
    </row>
    <row r="559" spans="3:15" ht="15.75" customHeight="1">
      <c r="C559" s="1026"/>
      <c r="D559" s="1026"/>
      <c r="E559" s="1026"/>
      <c r="I559" s="1027"/>
      <c r="J559" s="1027"/>
      <c r="K559" s="1027"/>
      <c r="O559" s="675"/>
    </row>
    <row r="560" spans="3:15" ht="15.75" customHeight="1">
      <c r="C560" s="1026"/>
      <c r="D560" s="1026"/>
      <c r="E560" s="1026"/>
      <c r="I560" s="1027"/>
      <c r="J560" s="1027"/>
      <c r="K560" s="1027"/>
      <c r="O560" s="675"/>
    </row>
    <row r="561" spans="3:15" ht="15.75" customHeight="1">
      <c r="C561" s="1026"/>
      <c r="D561" s="1026"/>
      <c r="E561" s="1026"/>
      <c r="I561" s="1027"/>
      <c r="J561" s="1027"/>
      <c r="K561" s="1027"/>
      <c r="O561" s="675"/>
    </row>
    <row r="562" spans="3:15" ht="15.75" customHeight="1">
      <c r="C562" s="1026"/>
      <c r="D562" s="1026"/>
      <c r="E562" s="1026"/>
      <c r="I562" s="1027"/>
      <c r="J562" s="1027"/>
      <c r="K562" s="1027"/>
      <c r="O562" s="675"/>
    </row>
    <row r="563" spans="3:15" ht="15.75" customHeight="1">
      <c r="C563" s="1026"/>
      <c r="D563" s="1026"/>
      <c r="E563" s="1026"/>
      <c r="I563" s="1027"/>
      <c r="J563" s="1027"/>
      <c r="K563" s="1027"/>
      <c r="O563" s="675"/>
    </row>
    <row r="564" spans="3:15" ht="15.75" customHeight="1">
      <c r="C564" s="1026"/>
      <c r="D564" s="1026"/>
      <c r="E564" s="1026"/>
      <c r="I564" s="1027"/>
      <c r="J564" s="1027"/>
      <c r="K564" s="1027"/>
      <c r="O564" s="675"/>
    </row>
    <row r="565" spans="3:15" ht="15.75" customHeight="1">
      <c r="C565" s="1026"/>
      <c r="D565" s="1026"/>
      <c r="E565" s="1026"/>
      <c r="I565" s="1027"/>
      <c r="J565" s="1027"/>
      <c r="K565" s="1027"/>
      <c r="O565" s="675"/>
    </row>
    <row r="566" spans="3:15" ht="15.75" customHeight="1">
      <c r="C566" s="1026"/>
      <c r="D566" s="1026"/>
      <c r="E566" s="1026"/>
      <c r="I566" s="1027"/>
      <c r="J566" s="1027"/>
      <c r="K566" s="1027"/>
      <c r="O566" s="675"/>
    </row>
    <row r="567" spans="3:15" ht="15.75" customHeight="1">
      <c r="C567" s="1026"/>
      <c r="D567" s="1026"/>
      <c r="E567" s="1026"/>
      <c r="I567" s="1027"/>
      <c r="J567" s="1027"/>
      <c r="K567" s="1027"/>
      <c r="O567" s="675"/>
    </row>
    <row r="568" spans="3:15" ht="15.75" customHeight="1">
      <c r="C568" s="1026"/>
      <c r="D568" s="1026"/>
      <c r="E568" s="1026"/>
      <c r="I568" s="1027"/>
      <c r="J568" s="1027"/>
      <c r="K568" s="1027"/>
      <c r="O568" s="675"/>
    </row>
    <row r="569" spans="3:15" ht="15.75" customHeight="1">
      <c r="C569" s="1026"/>
      <c r="D569" s="1026"/>
      <c r="E569" s="1026"/>
      <c r="I569" s="1027"/>
      <c r="J569" s="1027"/>
      <c r="K569" s="1027"/>
      <c r="O569" s="675"/>
    </row>
    <row r="570" spans="3:15" ht="15.75" customHeight="1">
      <c r="C570" s="1026"/>
      <c r="D570" s="1026"/>
      <c r="E570" s="1026"/>
      <c r="I570" s="1027"/>
      <c r="J570" s="1027"/>
      <c r="K570" s="1027"/>
      <c r="O570" s="675"/>
    </row>
    <row r="571" spans="3:15" ht="15.75" customHeight="1">
      <c r="C571" s="1026"/>
      <c r="D571" s="1026"/>
      <c r="E571" s="1026"/>
      <c r="I571" s="1027"/>
      <c r="J571" s="1027"/>
      <c r="K571" s="1027"/>
      <c r="O571" s="675"/>
    </row>
    <row r="572" spans="3:15" ht="15.75" customHeight="1">
      <c r="C572" s="1026"/>
      <c r="D572" s="1026"/>
      <c r="E572" s="1026"/>
      <c r="I572" s="1027"/>
      <c r="J572" s="1027"/>
      <c r="K572" s="1027"/>
      <c r="O572" s="675"/>
    </row>
    <row r="573" spans="3:15" ht="15.75" customHeight="1">
      <c r="C573" s="1026"/>
      <c r="D573" s="1026"/>
      <c r="E573" s="1026"/>
      <c r="I573" s="1027"/>
      <c r="J573" s="1027"/>
      <c r="K573" s="1027"/>
      <c r="O573" s="675"/>
    </row>
    <row r="574" spans="3:15" ht="15.75" customHeight="1">
      <c r="C574" s="1026"/>
      <c r="D574" s="1026"/>
      <c r="E574" s="1026"/>
      <c r="I574" s="1027"/>
      <c r="J574" s="1027"/>
      <c r="K574" s="1027"/>
      <c r="O574" s="675"/>
    </row>
    <row r="575" spans="3:15" ht="15.75" customHeight="1">
      <c r="C575" s="1026"/>
      <c r="D575" s="1026"/>
      <c r="E575" s="1026"/>
      <c r="I575" s="1027"/>
      <c r="J575" s="1027"/>
      <c r="K575" s="1027"/>
      <c r="O575" s="675"/>
    </row>
    <row r="576" spans="3:15" ht="15.75" customHeight="1">
      <c r="C576" s="1026"/>
      <c r="D576" s="1026"/>
      <c r="E576" s="1026"/>
      <c r="I576" s="1027"/>
      <c r="J576" s="1027"/>
      <c r="K576" s="1027"/>
      <c r="O576" s="675"/>
    </row>
    <row r="577" spans="3:15" ht="15.75" customHeight="1">
      <c r="C577" s="1026"/>
      <c r="D577" s="1026"/>
      <c r="E577" s="1026"/>
      <c r="I577" s="1027"/>
      <c r="J577" s="1027"/>
      <c r="K577" s="1027"/>
      <c r="O577" s="675"/>
    </row>
    <row r="578" spans="3:15" ht="15.75" customHeight="1">
      <c r="C578" s="1026"/>
      <c r="D578" s="1026"/>
      <c r="E578" s="1026"/>
      <c r="I578" s="1027"/>
      <c r="J578" s="1027"/>
      <c r="K578" s="1027"/>
      <c r="O578" s="675"/>
    </row>
    <row r="579" spans="3:15" ht="15.75" customHeight="1">
      <c r="C579" s="1026"/>
      <c r="D579" s="1026"/>
      <c r="E579" s="1026"/>
      <c r="I579" s="1027"/>
      <c r="J579" s="1027"/>
      <c r="K579" s="1027"/>
      <c r="O579" s="675"/>
    </row>
    <row r="580" spans="3:15" ht="15.75" customHeight="1">
      <c r="C580" s="1026"/>
      <c r="D580" s="1026"/>
      <c r="E580" s="1026"/>
      <c r="I580" s="1027"/>
      <c r="J580" s="1027"/>
      <c r="K580" s="1027"/>
      <c r="O580" s="675"/>
    </row>
    <row r="581" spans="3:15" ht="15.75" customHeight="1">
      <c r="C581" s="1026"/>
      <c r="D581" s="1026"/>
      <c r="E581" s="1026"/>
      <c r="I581" s="1027"/>
      <c r="J581" s="1027"/>
      <c r="K581" s="1027"/>
      <c r="O581" s="675"/>
    </row>
    <row r="582" spans="3:15" ht="15.75" customHeight="1">
      <c r="C582" s="1026"/>
      <c r="D582" s="1026"/>
      <c r="E582" s="1026"/>
      <c r="I582" s="1027"/>
      <c r="J582" s="1027"/>
      <c r="K582" s="1027"/>
      <c r="O582" s="675"/>
    </row>
    <row r="583" spans="3:15" ht="15.75" customHeight="1">
      <c r="C583" s="1026"/>
      <c r="D583" s="1026"/>
      <c r="E583" s="1026"/>
      <c r="I583" s="1027"/>
      <c r="J583" s="1027"/>
      <c r="K583" s="1027"/>
      <c r="O583" s="675"/>
    </row>
    <row r="584" spans="3:15" ht="15.75" customHeight="1">
      <c r="C584" s="1026"/>
      <c r="D584" s="1026"/>
      <c r="E584" s="1026"/>
      <c r="I584" s="1027"/>
      <c r="J584" s="1027"/>
      <c r="K584" s="1027"/>
      <c r="O584" s="675"/>
    </row>
    <row r="585" spans="3:15" ht="15.75" customHeight="1">
      <c r="C585" s="1026"/>
      <c r="D585" s="1026"/>
      <c r="E585" s="1026"/>
      <c r="I585" s="1027"/>
      <c r="J585" s="1027"/>
      <c r="K585" s="1027"/>
      <c r="O585" s="675"/>
    </row>
    <row r="586" spans="3:15" ht="15.75" customHeight="1">
      <c r="C586" s="1026"/>
      <c r="D586" s="1026"/>
      <c r="E586" s="1026"/>
      <c r="I586" s="1027"/>
      <c r="J586" s="1027"/>
      <c r="K586" s="1027"/>
      <c r="O586" s="675"/>
    </row>
    <row r="587" spans="3:15" ht="15.75" customHeight="1">
      <c r="C587" s="1026"/>
      <c r="D587" s="1026"/>
      <c r="E587" s="1026"/>
      <c r="I587" s="1027"/>
      <c r="J587" s="1027"/>
      <c r="K587" s="1027"/>
      <c r="O587" s="675"/>
    </row>
    <row r="588" spans="3:15" ht="15.75" customHeight="1">
      <c r="C588" s="1026"/>
      <c r="D588" s="1026"/>
      <c r="E588" s="1026"/>
      <c r="I588" s="1027"/>
      <c r="J588" s="1027"/>
      <c r="K588" s="1027"/>
      <c r="O588" s="675"/>
    </row>
    <row r="589" spans="3:15" ht="15.75" customHeight="1">
      <c r="C589" s="1026"/>
      <c r="D589" s="1026"/>
      <c r="E589" s="1026"/>
      <c r="I589" s="1027"/>
      <c r="J589" s="1027"/>
      <c r="K589" s="1027"/>
      <c r="O589" s="675"/>
    </row>
    <row r="590" spans="3:15" ht="15.75" customHeight="1">
      <c r="C590" s="1026"/>
      <c r="D590" s="1026"/>
      <c r="E590" s="1026"/>
      <c r="I590" s="1027"/>
      <c r="J590" s="1027"/>
      <c r="K590" s="1027"/>
      <c r="O590" s="675"/>
    </row>
    <row r="591" spans="3:15" ht="15.75" customHeight="1">
      <c r="C591" s="1026"/>
      <c r="D591" s="1026"/>
      <c r="E591" s="1026"/>
      <c r="I591" s="1027"/>
      <c r="J591" s="1027"/>
      <c r="K591" s="1027"/>
      <c r="O591" s="675"/>
    </row>
    <row r="592" spans="3:15" ht="15.75" customHeight="1">
      <c r="C592" s="1026"/>
      <c r="D592" s="1026"/>
      <c r="E592" s="1026"/>
      <c r="I592" s="1027"/>
      <c r="J592" s="1027"/>
      <c r="K592" s="1027"/>
      <c r="O592" s="675"/>
    </row>
    <row r="593" spans="3:15" ht="15.75" customHeight="1">
      <c r="C593" s="1026"/>
      <c r="D593" s="1026"/>
      <c r="E593" s="1026"/>
      <c r="I593" s="1027"/>
      <c r="J593" s="1027"/>
      <c r="K593" s="1027"/>
      <c r="O593" s="675"/>
    </row>
    <row r="594" spans="3:15" ht="15.75" customHeight="1">
      <c r="C594" s="1026"/>
      <c r="D594" s="1026"/>
      <c r="E594" s="1026"/>
      <c r="I594" s="1027"/>
      <c r="J594" s="1027"/>
      <c r="K594" s="1027"/>
      <c r="O594" s="675"/>
    </row>
    <row r="595" spans="3:15" ht="15.75" customHeight="1">
      <c r="C595" s="1026"/>
      <c r="D595" s="1026"/>
      <c r="E595" s="1026"/>
      <c r="I595" s="1027"/>
      <c r="J595" s="1027"/>
      <c r="K595" s="1027"/>
      <c r="O595" s="675"/>
    </row>
    <row r="596" spans="3:15" ht="15.75" customHeight="1">
      <c r="C596" s="1026"/>
      <c r="D596" s="1026"/>
      <c r="E596" s="1026"/>
      <c r="I596" s="1027"/>
      <c r="J596" s="1027"/>
      <c r="K596" s="1027"/>
      <c r="O596" s="675"/>
    </row>
    <row r="597" spans="3:15" ht="15.75" customHeight="1">
      <c r="C597" s="1026"/>
      <c r="D597" s="1026"/>
      <c r="E597" s="1026"/>
      <c r="I597" s="1027"/>
      <c r="J597" s="1027"/>
      <c r="K597" s="1027"/>
      <c r="O597" s="675"/>
    </row>
    <row r="598" spans="3:15" ht="15.75" customHeight="1">
      <c r="C598" s="1026"/>
      <c r="D598" s="1026"/>
      <c r="E598" s="1026"/>
      <c r="I598" s="1027"/>
      <c r="J598" s="1027"/>
      <c r="K598" s="1027"/>
      <c r="O598" s="675"/>
    </row>
    <row r="599" spans="3:15" ht="15.75" customHeight="1">
      <c r="C599" s="1026"/>
      <c r="D599" s="1026"/>
      <c r="E599" s="1026"/>
      <c r="I599" s="1027"/>
      <c r="J599" s="1027"/>
      <c r="K599" s="1027"/>
      <c r="O599" s="675"/>
    </row>
    <row r="600" spans="3:15" ht="15.75" customHeight="1">
      <c r="C600" s="1026"/>
      <c r="D600" s="1026"/>
      <c r="E600" s="1026"/>
      <c r="I600" s="1027"/>
      <c r="J600" s="1027"/>
      <c r="K600" s="1027"/>
      <c r="O600" s="675"/>
    </row>
    <row r="601" spans="3:15" ht="15.75" customHeight="1">
      <c r="C601" s="1026"/>
      <c r="D601" s="1026"/>
      <c r="E601" s="1026"/>
      <c r="I601" s="1027"/>
      <c r="J601" s="1027"/>
      <c r="K601" s="1027"/>
      <c r="O601" s="675"/>
    </row>
    <row r="602" spans="3:15" ht="15.75" customHeight="1">
      <c r="C602" s="1026"/>
      <c r="D602" s="1026"/>
      <c r="E602" s="1026"/>
      <c r="I602" s="1027"/>
      <c r="J602" s="1027"/>
      <c r="K602" s="1027"/>
      <c r="O602" s="675"/>
    </row>
    <row r="603" spans="3:15" ht="15.75" customHeight="1">
      <c r="C603" s="1026"/>
      <c r="D603" s="1026"/>
      <c r="E603" s="1026"/>
      <c r="I603" s="1027"/>
      <c r="J603" s="1027"/>
      <c r="K603" s="1027"/>
      <c r="O603" s="675"/>
    </row>
    <row r="604" spans="3:15" ht="15.75" customHeight="1">
      <c r="C604" s="1026"/>
      <c r="D604" s="1026"/>
      <c r="E604" s="1026"/>
      <c r="I604" s="1027"/>
      <c r="J604" s="1027"/>
      <c r="K604" s="1027"/>
      <c r="O604" s="675"/>
    </row>
    <row r="605" spans="3:15" ht="15.75" customHeight="1">
      <c r="C605" s="1026"/>
      <c r="D605" s="1026"/>
      <c r="E605" s="1026"/>
      <c r="I605" s="1027"/>
      <c r="J605" s="1027"/>
      <c r="K605" s="1027"/>
      <c r="O605" s="675"/>
    </row>
    <row r="606" spans="3:15" ht="15.75" customHeight="1">
      <c r="C606" s="1026"/>
      <c r="D606" s="1026"/>
      <c r="E606" s="1026"/>
      <c r="I606" s="1027"/>
      <c r="J606" s="1027"/>
      <c r="K606" s="1027"/>
      <c r="O606" s="675"/>
    </row>
    <row r="607" spans="3:15" ht="15.75" customHeight="1">
      <c r="C607" s="1026"/>
      <c r="D607" s="1026"/>
      <c r="E607" s="1026"/>
      <c r="I607" s="1027"/>
      <c r="J607" s="1027"/>
      <c r="K607" s="1027"/>
      <c r="O607" s="675"/>
    </row>
    <row r="608" spans="3:15" ht="15.75" customHeight="1">
      <c r="C608" s="1026"/>
      <c r="D608" s="1026"/>
      <c r="E608" s="1026"/>
      <c r="I608" s="1027"/>
      <c r="J608" s="1027"/>
      <c r="K608" s="1027"/>
      <c r="O608" s="675"/>
    </row>
    <row r="609" spans="3:15" ht="15.75" customHeight="1">
      <c r="C609" s="1026"/>
      <c r="D609" s="1026"/>
      <c r="E609" s="1026"/>
      <c r="I609" s="1027"/>
      <c r="J609" s="1027"/>
      <c r="K609" s="1027"/>
      <c r="O609" s="675"/>
    </row>
    <row r="610" spans="3:15" ht="15.75" customHeight="1">
      <c r="C610" s="1026"/>
      <c r="D610" s="1026"/>
      <c r="E610" s="1026"/>
      <c r="I610" s="1027"/>
      <c r="J610" s="1027"/>
      <c r="K610" s="1027"/>
      <c r="O610" s="675"/>
    </row>
    <row r="611" spans="3:15" ht="15.75" customHeight="1">
      <c r="C611" s="1026"/>
      <c r="D611" s="1026"/>
      <c r="E611" s="1026"/>
      <c r="I611" s="1027"/>
      <c r="J611" s="1027"/>
      <c r="K611" s="1027"/>
      <c r="O611" s="675"/>
    </row>
    <row r="612" spans="3:15" ht="15.75" customHeight="1">
      <c r="C612" s="1026"/>
      <c r="D612" s="1026"/>
      <c r="E612" s="1026"/>
      <c r="I612" s="1027"/>
      <c r="J612" s="1027"/>
      <c r="K612" s="1027"/>
      <c r="O612" s="675"/>
    </row>
    <row r="613" spans="3:15" ht="15.75" customHeight="1">
      <c r="C613" s="1026"/>
      <c r="D613" s="1026"/>
      <c r="E613" s="1026"/>
      <c r="I613" s="1027"/>
      <c r="J613" s="1027"/>
      <c r="K613" s="1027"/>
      <c r="O613" s="675"/>
    </row>
    <row r="614" spans="3:15" ht="15.75" customHeight="1">
      <c r="C614" s="1026"/>
      <c r="D614" s="1026"/>
      <c r="E614" s="1026"/>
      <c r="I614" s="1027"/>
      <c r="J614" s="1027"/>
      <c r="K614" s="1027"/>
      <c r="O614" s="675"/>
    </row>
    <row r="615" spans="3:15" ht="15.75" customHeight="1">
      <c r="C615" s="1026"/>
      <c r="D615" s="1026"/>
      <c r="E615" s="1026"/>
      <c r="I615" s="1027"/>
      <c r="J615" s="1027"/>
      <c r="K615" s="1027"/>
      <c r="O615" s="675"/>
    </row>
    <row r="616" spans="3:15" ht="15.75" customHeight="1">
      <c r="C616" s="1026"/>
      <c r="D616" s="1026"/>
      <c r="E616" s="1026"/>
      <c r="I616" s="1027"/>
      <c r="J616" s="1027"/>
      <c r="K616" s="1027"/>
      <c r="O616" s="675"/>
    </row>
    <row r="617" spans="3:15" ht="15.75" customHeight="1">
      <c r="C617" s="1026"/>
      <c r="D617" s="1026"/>
      <c r="E617" s="1026"/>
      <c r="I617" s="1027"/>
      <c r="J617" s="1027"/>
      <c r="K617" s="1027"/>
      <c r="O617" s="675"/>
    </row>
    <row r="618" spans="3:15" ht="15.75" customHeight="1">
      <c r="C618" s="1026"/>
      <c r="D618" s="1026"/>
      <c r="E618" s="1026"/>
      <c r="I618" s="1027"/>
      <c r="J618" s="1027"/>
      <c r="K618" s="1027"/>
      <c r="O618" s="675"/>
    </row>
    <row r="619" spans="3:15" ht="15.75" customHeight="1">
      <c r="C619" s="1026"/>
      <c r="D619" s="1026"/>
      <c r="E619" s="1026"/>
      <c r="I619" s="1027"/>
      <c r="J619" s="1027"/>
      <c r="K619" s="1027"/>
      <c r="O619" s="675"/>
    </row>
    <row r="620" spans="3:15" ht="15.75" customHeight="1">
      <c r="C620" s="1026"/>
      <c r="D620" s="1026"/>
      <c r="E620" s="1026"/>
      <c r="I620" s="1027"/>
      <c r="J620" s="1027"/>
      <c r="K620" s="1027"/>
      <c r="O620" s="675"/>
    </row>
    <row r="621" spans="3:15" ht="15.75" customHeight="1">
      <c r="C621" s="1026"/>
      <c r="D621" s="1026"/>
      <c r="E621" s="1026"/>
      <c r="I621" s="1027"/>
      <c r="J621" s="1027"/>
      <c r="K621" s="1027"/>
      <c r="O621" s="675"/>
    </row>
    <row r="622" spans="3:15" ht="15.75" customHeight="1">
      <c r="C622" s="1026"/>
      <c r="D622" s="1026"/>
      <c r="E622" s="1026"/>
      <c r="I622" s="1027"/>
      <c r="J622" s="1027"/>
      <c r="K622" s="1027"/>
      <c r="O622" s="675"/>
    </row>
    <row r="623" spans="3:15" ht="15.75" customHeight="1">
      <c r="C623" s="1026"/>
      <c r="D623" s="1026"/>
      <c r="E623" s="1026"/>
      <c r="I623" s="1027"/>
      <c r="J623" s="1027"/>
      <c r="K623" s="1027"/>
      <c r="O623" s="675"/>
    </row>
    <row r="624" spans="3:15" ht="15.75" customHeight="1">
      <c r="C624" s="1026"/>
      <c r="D624" s="1026"/>
      <c r="E624" s="1026"/>
      <c r="I624" s="1027"/>
      <c r="J624" s="1027"/>
      <c r="K624" s="1027"/>
      <c r="O624" s="675"/>
    </row>
    <row r="625" spans="3:15" ht="15.75" customHeight="1">
      <c r="C625" s="1026"/>
      <c r="D625" s="1026"/>
      <c r="E625" s="1026"/>
      <c r="I625" s="1027"/>
      <c r="J625" s="1027"/>
      <c r="K625" s="1027"/>
      <c r="O625" s="675"/>
    </row>
    <row r="626" spans="3:15" ht="15.75" customHeight="1">
      <c r="C626" s="1026"/>
      <c r="D626" s="1026"/>
      <c r="E626" s="1026"/>
      <c r="I626" s="1027"/>
      <c r="J626" s="1027"/>
      <c r="K626" s="1027"/>
      <c r="O626" s="675"/>
    </row>
    <row r="627" spans="3:15" ht="15.75" customHeight="1">
      <c r="C627" s="1026"/>
      <c r="D627" s="1026"/>
      <c r="E627" s="1026"/>
      <c r="I627" s="1027"/>
      <c r="J627" s="1027"/>
      <c r="K627" s="1027"/>
      <c r="O627" s="675"/>
    </row>
    <row r="628" spans="3:15" ht="15.75" customHeight="1">
      <c r="C628" s="1026"/>
      <c r="D628" s="1026"/>
      <c r="E628" s="1026"/>
      <c r="I628" s="1027"/>
      <c r="J628" s="1027"/>
      <c r="K628" s="1027"/>
      <c r="O628" s="675"/>
    </row>
    <row r="629" spans="3:15" ht="15.75" customHeight="1">
      <c r="C629" s="1026"/>
      <c r="D629" s="1026"/>
      <c r="E629" s="1026"/>
      <c r="I629" s="1027"/>
      <c r="J629" s="1027"/>
      <c r="K629" s="1027"/>
      <c r="O629" s="675"/>
    </row>
    <row r="630" spans="3:15" ht="15.75" customHeight="1">
      <c r="C630" s="1026"/>
      <c r="D630" s="1026"/>
      <c r="E630" s="1026"/>
      <c r="I630" s="1027"/>
      <c r="J630" s="1027"/>
      <c r="K630" s="1027"/>
      <c r="O630" s="675"/>
    </row>
    <row r="631" spans="3:15" ht="15.75" customHeight="1">
      <c r="C631" s="1026"/>
      <c r="D631" s="1026"/>
      <c r="E631" s="1026"/>
      <c r="I631" s="1027"/>
      <c r="J631" s="1027"/>
      <c r="K631" s="1027"/>
      <c r="O631" s="675"/>
    </row>
    <row r="632" spans="3:15" ht="15.75" customHeight="1">
      <c r="C632" s="1026"/>
      <c r="D632" s="1026"/>
      <c r="E632" s="1026"/>
      <c r="I632" s="1027"/>
      <c r="J632" s="1027"/>
      <c r="K632" s="1027"/>
      <c r="O632" s="675"/>
    </row>
    <row r="633" spans="3:15" ht="15.75" customHeight="1">
      <c r="C633" s="1026"/>
      <c r="D633" s="1026"/>
      <c r="E633" s="1026"/>
      <c r="I633" s="1027"/>
      <c r="J633" s="1027"/>
      <c r="K633" s="1027"/>
      <c r="O633" s="675"/>
    </row>
    <row r="634" spans="3:15" ht="15.75" customHeight="1">
      <c r="C634" s="1026"/>
      <c r="D634" s="1026"/>
      <c r="E634" s="1026"/>
      <c r="I634" s="1027"/>
      <c r="J634" s="1027"/>
      <c r="K634" s="1027"/>
      <c r="O634" s="675"/>
    </row>
    <row r="635" spans="3:15" ht="15.75" customHeight="1">
      <c r="C635" s="1026"/>
      <c r="D635" s="1026"/>
      <c r="E635" s="1026"/>
      <c r="I635" s="1027"/>
      <c r="J635" s="1027"/>
      <c r="K635" s="1027"/>
      <c r="O635" s="675"/>
    </row>
    <row r="636" spans="3:15" ht="15.75" customHeight="1">
      <c r="C636" s="1026"/>
      <c r="D636" s="1026"/>
      <c r="E636" s="1026"/>
      <c r="I636" s="1027"/>
      <c r="J636" s="1027"/>
      <c r="K636" s="1027"/>
      <c r="O636" s="675"/>
    </row>
    <row r="637" spans="3:15" ht="15.75" customHeight="1">
      <c r="C637" s="1026"/>
      <c r="D637" s="1026"/>
      <c r="E637" s="1026"/>
      <c r="I637" s="1027"/>
      <c r="J637" s="1027"/>
      <c r="K637" s="1027"/>
      <c r="O637" s="675"/>
    </row>
    <row r="638" spans="3:15" ht="15.75" customHeight="1">
      <c r="C638" s="1026"/>
      <c r="D638" s="1026"/>
      <c r="E638" s="1026"/>
      <c r="I638" s="1027"/>
      <c r="J638" s="1027"/>
      <c r="K638" s="1027"/>
      <c r="O638" s="675"/>
    </row>
    <row r="639" spans="3:15" ht="15.75" customHeight="1">
      <c r="C639" s="1026"/>
      <c r="D639" s="1026"/>
      <c r="E639" s="1026"/>
      <c r="I639" s="1027"/>
      <c r="J639" s="1027"/>
      <c r="K639" s="1027"/>
      <c r="O639" s="675"/>
    </row>
    <row r="640" spans="3:15" ht="15.75" customHeight="1">
      <c r="C640" s="1026"/>
      <c r="D640" s="1026"/>
      <c r="E640" s="1026"/>
      <c r="I640" s="1027"/>
      <c r="J640" s="1027"/>
      <c r="K640" s="1027"/>
      <c r="O640" s="675"/>
    </row>
    <row r="641" spans="3:15" ht="15.75" customHeight="1">
      <c r="C641" s="1026"/>
      <c r="D641" s="1026"/>
      <c r="E641" s="1026"/>
      <c r="I641" s="1027"/>
      <c r="J641" s="1027"/>
      <c r="K641" s="1027"/>
      <c r="O641" s="675"/>
    </row>
    <row r="642" spans="3:15" ht="15.75" customHeight="1">
      <c r="C642" s="1026"/>
      <c r="D642" s="1026"/>
      <c r="E642" s="1026"/>
      <c r="I642" s="1027"/>
      <c r="J642" s="1027"/>
      <c r="K642" s="1027"/>
      <c r="O642" s="675"/>
    </row>
    <row r="643" spans="3:15" ht="15.75" customHeight="1">
      <c r="C643" s="1026"/>
      <c r="D643" s="1026"/>
      <c r="E643" s="1026"/>
      <c r="I643" s="1027"/>
      <c r="J643" s="1027"/>
      <c r="K643" s="1027"/>
      <c r="O643" s="675"/>
    </row>
    <row r="644" spans="3:15" ht="15.75" customHeight="1">
      <c r="C644" s="1026"/>
      <c r="D644" s="1026"/>
      <c r="E644" s="1026"/>
      <c r="I644" s="1027"/>
      <c r="J644" s="1027"/>
      <c r="K644" s="1027"/>
      <c r="O644" s="675"/>
    </row>
    <row r="645" spans="3:15" ht="15.75" customHeight="1">
      <c r="C645" s="1026"/>
      <c r="D645" s="1026"/>
      <c r="E645" s="1026"/>
      <c r="I645" s="1027"/>
      <c r="J645" s="1027"/>
      <c r="K645" s="1027"/>
      <c r="O645" s="675"/>
    </row>
    <row r="646" spans="3:15" ht="15.75" customHeight="1">
      <c r="C646" s="1026"/>
      <c r="D646" s="1026"/>
      <c r="E646" s="1026"/>
      <c r="I646" s="1027"/>
      <c r="J646" s="1027"/>
      <c r="K646" s="1027"/>
      <c r="O646" s="675"/>
    </row>
    <row r="647" spans="3:15" ht="15.75" customHeight="1">
      <c r="C647" s="1026"/>
      <c r="D647" s="1026"/>
      <c r="E647" s="1026"/>
      <c r="I647" s="1027"/>
      <c r="J647" s="1027"/>
      <c r="K647" s="1027"/>
      <c r="O647" s="675"/>
    </row>
    <row r="648" spans="3:15" ht="15.75" customHeight="1">
      <c r="C648" s="1026"/>
      <c r="D648" s="1026"/>
      <c r="E648" s="1026"/>
      <c r="I648" s="1027"/>
      <c r="J648" s="1027"/>
      <c r="K648" s="1027"/>
      <c r="O648" s="675"/>
    </row>
    <row r="649" spans="3:15" ht="15.75" customHeight="1">
      <c r="C649" s="1026"/>
      <c r="D649" s="1026"/>
      <c r="E649" s="1026"/>
      <c r="I649" s="1027"/>
      <c r="J649" s="1027"/>
      <c r="K649" s="1027"/>
      <c r="O649" s="675"/>
    </row>
    <row r="650" spans="3:15" ht="15.75" customHeight="1">
      <c r="C650" s="1026"/>
      <c r="D650" s="1026"/>
      <c r="E650" s="1026"/>
      <c r="I650" s="1027"/>
      <c r="J650" s="1027"/>
      <c r="K650" s="1027"/>
      <c r="O650" s="675"/>
    </row>
    <row r="651" spans="3:15" ht="15.75" customHeight="1">
      <c r="C651" s="1026"/>
      <c r="D651" s="1026"/>
      <c r="E651" s="1026"/>
      <c r="I651" s="1027"/>
      <c r="J651" s="1027"/>
      <c r="K651" s="1027"/>
      <c r="O651" s="675"/>
    </row>
    <row r="652" spans="3:15" ht="15.75" customHeight="1">
      <c r="C652" s="1026"/>
      <c r="D652" s="1026"/>
      <c r="E652" s="1026"/>
      <c r="I652" s="1027"/>
      <c r="J652" s="1027"/>
      <c r="K652" s="1027"/>
      <c r="O652" s="675"/>
    </row>
    <row r="653" spans="3:15" ht="15.75" customHeight="1">
      <c r="C653" s="1026"/>
      <c r="D653" s="1026"/>
      <c r="E653" s="1026"/>
      <c r="I653" s="1027"/>
      <c r="J653" s="1027"/>
      <c r="K653" s="1027"/>
      <c r="O653" s="675"/>
    </row>
    <row r="654" spans="3:15" ht="15.75" customHeight="1">
      <c r="C654" s="1026"/>
      <c r="D654" s="1026"/>
      <c r="E654" s="1026"/>
      <c r="I654" s="1027"/>
      <c r="J654" s="1027"/>
      <c r="K654" s="1027"/>
      <c r="O654" s="675"/>
    </row>
    <row r="655" spans="3:15" ht="15.75" customHeight="1">
      <c r="C655" s="1026"/>
      <c r="D655" s="1026"/>
      <c r="E655" s="1026"/>
      <c r="I655" s="1027"/>
      <c r="J655" s="1027"/>
      <c r="K655" s="1027"/>
      <c r="O655" s="675"/>
    </row>
    <row r="656" spans="3:15" ht="15.75" customHeight="1">
      <c r="C656" s="1026"/>
      <c r="D656" s="1026"/>
      <c r="E656" s="1026"/>
      <c r="I656" s="1027"/>
      <c r="J656" s="1027"/>
      <c r="K656" s="1027"/>
      <c r="O656" s="675"/>
    </row>
    <row r="657" spans="3:15" ht="15.75" customHeight="1">
      <c r="C657" s="1026"/>
      <c r="D657" s="1026"/>
      <c r="E657" s="1026"/>
      <c r="I657" s="1027"/>
      <c r="J657" s="1027"/>
      <c r="K657" s="1027"/>
      <c r="O657" s="675"/>
    </row>
    <row r="658" spans="3:15" ht="15.75" customHeight="1">
      <c r="C658" s="1026"/>
      <c r="D658" s="1026"/>
      <c r="E658" s="1026"/>
      <c r="I658" s="1027"/>
      <c r="J658" s="1027"/>
      <c r="K658" s="1027"/>
      <c r="O658" s="675"/>
    </row>
    <row r="659" spans="3:15" ht="15.75" customHeight="1">
      <c r="C659" s="1026"/>
      <c r="D659" s="1026"/>
      <c r="E659" s="1026"/>
      <c r="I659" s="1027"/>
      <c r="J659" s="1027"/>
      <c r="K659" s="1027"/>
      <c r="O659" s="675"/>
    </row>
    <row r="660" spans="3:15" ht="15.75" customHeight="1">
      <c r="C660" s="1026"/>
      <c r="D660" s="1026"/>
      <c r="E660" s="1026"/>
      <c r="I660" s="1027"/>
      <c r="J660" s="1027"/>
      <c r="K660" s="1027"/>
      <c r="O660" s="675"/>
    </row>
    <row r="661" spans="3:15" ht="15.75" customHeight="1">
      <c r="C661" s="1026"/>
      <c r="D661" s="1026"/>
      <c r="E661" s="1026"/>
      <c r="I661" s="1027"/>
      <c r="J661" s="1027"/>
      <c r="K661" s="1027"/>
      <c r="O661" s="675"/>
    </row>
    <row r="662" spans="3:15" ht="15.75" customHeight="1">
      <c r="C662" s="1026"/>
      <c r="D662" s="1026"/>
      <c r="E662" s="1026"/>
      <c r="I662" s="1027"/>
      <c r="J662" s="1027"/>
      <c r="K662" s="1027"/>
      <c r="O662" s="675"/>
    </row>
    <row r="663" spans="3:15" ht="15.75" customHeight="1">
      <c r="C663" s="1026"/>
      <c r="D663" s="1026"/>
      <c r="E663" s="1026"/>
      <c r="I663" s="1027"/>
      <c r="J663" s="1027"/>
      <c r="K663" s="1027"/>
      <c r="O663" s="675"/>
    </row>
    <row r="664" spans="3:15" ht="15.75" customHeight="1">
      <c r="C664" s="1026"/>
      <c r="D664" s="1026"/>
      <c r="E664" s="1026"/>
      <c r="I664" s="1027"/>
      <c r="J664" s="1027"/>
      <c r="K664" s="1027"/>
      <c r="O664" s="675"/>
    </row>
    <row r="665" spans="3:15" ht="15.75" customHeight="1">
      <c r="C665" s="1026"/>
      <c r="D665" s="1026"/>
      <c r="E665" s="1026"/>
      <c r="I665" s="1027"/>
      <c r="J665" s="1027"/>
      <c r="K665" s="1027"/>
      <c r="O665" s="675"/>
    </row>
    <row r="666" spans="3:15" ht="15.75" customHeight="1">
      <c r="C666" s="1026"/>
      <c r="D666" s="1026"/>
      <c r="E666" s="1026"/>
      <c r="I666" s="1027"/>
      <c r="J666" s="1027"/>
      <c r="K666" s="1027"/>
      <c r="O666" s="675"/>
    </row>
    <row r="667" spans="3:15" ht="15.75" customHeight="1">
      <c r="C667" s="1026"/>
      <c r="D667" s="1026"/>
      <c r="E667" s="1026"/>
      <c r="I667" s="1027"/>
      <c r="J667" s="1027"/>
      <c r="K667" s="1027"/>
      <c r="O667" s="675"/>
    </row>
    <row r="668" spans="3:15" ht="15.75" customHeight="1">
      <c r="C668" s="1026"/>
      <c r="D668" s="1026"/>
      <c r="E668" s="1026"/>
      <c r="I668" s="1027"/>
      <c r="J668" s="1027"/>
      <c r="K668" s="1027"/>
      <c r="O668" s="675"/>
    </row>
    <row r="669" spans="3:15" ht="15.75" customHeight="1">
      <c r="C669" s="1026"/>
      <c r="D669" s="1026"/>
      <c r="E669" s="1026"/>
      <c r="I669" s="1027"/>
      <c r="J669" s="1027"/>
      <c r="K669" s="1027"/>
      <c r="O669" s="675"/>
    </row>
    <row r="670" spans="3:15" ht="15.75" customHeight="1">
      <c r="C670" s="1026"/>
      <c r="D670" s="1026"/>
      <c r="E670" s="1026"/>
      <c r="I670" s="1027"/>
      <c r="J670" s="1027"/>
      <c r="K670" s="1027"/>
      <c r="O670" s="675"/>
    </row>
    <row r="671" spans="3:15" ht="15.75" customHeight="1">
      <c r="C671" s="1026"/>
      <c r="D671" s="1026"/>
      <c r="E671" s="1026"/>
      <c r="I671" s="1027"/>
      <c r="J671" s="1027"/>
      <c r="K671" s="1027"/>
      <c r="O671" s="675"/>
    </row>
    <row r="672" spans="3:15" ht="15.75" customHeight="1">
      <c r="C672" s="1026"/>
      <c r="D672" s="1026"/>
      <c r="E672" s="1026"/>
      <c r="I672" s="1027"/>
      <c r="J672" s="1027"/>
      <c r="K672" s="1027"/>
      <c r="O672" s="675"/>
    </row>
    <row r="673" spans="3:15" ht="15.75" customHeight="1">
      <c r="C673" s="1026"/>
      <c r="D673" s="1026"/>
      <c r="E673" s="1026"/>
      <c r="I673" s="1027"/>
      <c r="J673" s="1027"/>
      <c r="K673" s="1027"/>
      <c r="O673" s="675"/>
    </row>
    <row r="674" spans="3:15" ht="15.75" customHeight="1">
      <c r="C674" s="1026"/>
      <c r="D674" s="1026"/>
      <c r="E674" s="1026"/>
      <c r="I674" s="1027"/>
      <c r="J674" s="1027"/>
      <c r="K674" s="1027"/>
      <c r="O674" s="675"/>
    </row>
    <row r="675" spans="3:15" ht="15.75" customHeight="1">
      <c r="C675" s="1026"/>
      <c r="D675" s="1026"/>
      <c r="E675" s="1026"/>
      <c r="I675" s="1027"/>
      <c r="J675" s="1027"/>
      <c r="K675" s="1027"/>
      <c r="O675" s="675"/>
    </row>
    <row r="676" spans="3:15" ht="15.75" customHeight="1">
      <c r="C676" s="1026"/>
      <c r="D676" s="1026"/>
      <c r="E676" s="1026"/>
      <c r="I676" s="1027"/>
      <c r="J676" s="1027"/>
      <c r="K676" s="1027"/>
      <c r="O676" s="675"/>
    </row>
    <row r="677" spans="3:15" ht="15.75" customHeight="1">
      <c r="C677" s="1026"/>
      <c r="D677" s="1026"/>
      <c r="E677" s="1026"/>
      <c r="I677" s="1027"/>
      <c r="J677" s="1027"/>
      <c r="K677" s="1027"/>
      <c r="O677" s="675"/>
    </row>
    <row r="678" spans="3:15" ht="15.75" customHeight="1">
      <c r="C678" s="1026"/>
      <c r="D678" s="1026"/>
      <c r="E678" s="1026"/>
      <c r="I678" s="1027"/>
      <c r="J678" s="1027"/>
      <c r="K678" s="1027"/>
      <c r="O678" s="675"/>
    </row>
    <row r="679" spans="3:15" ht="15.75" customHeight="1">
      <c r="C679" s="1026"/>
      <c r="D679" s="1026"/>
      <c r="E679" s="1026"/>
      <c r="I679" s="1027"/>
      <c r="J679" s="1027"/>
      <c r="K679" s="1027"/>
      <c r="O679" s="675"/>
    </row>
    <row r="680" spans="3:15" ht="15.75" customHeight="1">
      <c r="C680" s="1026"/>
      <c r="D680" s="1026"/>
      <c r="E680" s="1026"/>
      <c r="I680" s="1027"/>
      <c r="J680" s="1027"/>
      <c r="K680" s="1027"/>
      <c r="O680" s="675"/>
    </row>
    <row r="681" spans="3:15" ht="15.75" customHeight="1">
      <c r="C681" s="1026"/>
      <c r="D681" s="1026"/>
      <c r="E681" s="1026"/>
      <c r="I681" s="1027"/>
      <c r="J681" s="1027"/>
      <c r="K681" s="1027"/>
      <c r="O681" s="675"/>
    </row>
    <row r="682" spans="3:15" ht="15.75" customHeight="1">
      <c r="C682" s="1026"/>
      <c r="D682" s="1026"/>
      <c r="E682" s="1026"/>
      <c r="I682" s="1027"/>
      <c r="J682" s="1027"/>
      <c r="K682" s="1027"/>
      <c r="O682" s="675"/>
    </row>
    <row r="683" spans="3:15" ht="15.75" customHeight="1">
      <c r="C683" s="1026"/>
      <c r="D683" s="1026"/>
      <c r="E683" s="1026"/>
      <c r="I683" s="1027"/>
      <c r="J683" s="1027"/>
      <c r="K683" s="1027"/>
      <c r="O683" s="675"/>
    </row>
    <row r="684" spans="3:15" ht="15.75" customHeight="1">
      <c r="C684" s="1026"/>
      <c r="D684" s="1026"/>
      <c r="E684" s="1026"/>
      <c r="I684" s="1027"/>
      <c r="J684" s="1027"/>
      <c r="K684" s="1027"/>
      <c r="O684" s="675"/>
    </row>
    <row r="685" spans="3:15" ht="15.75" customHeight="1">
      <c r="C685" s="1026"/>
      <c r="D685" s="1026"/>
      <c r="E685" s="1026"/>
      <c r="I685" s="1027"/>
      <c r="J685" s="1027"/>
      <c r="K685" s="1027"/>
      <c r="O685" s="675"/>
    </row>
    <row r="686" spans="3:15" ht="15.75" customHeight="1">
      <c r="C686" s="1026"/>
      <c r="D686" s="1026"/>
      <c r="E686" s="1026"/>
      <c r="I686" s="1027"/>
      <c r="J686" s="1027"/>
      <c r="K686" s="1027"/>
      <c r="O686" s="675"/>
    </row>
    <row r="687" spans="3:15" ht="15.75" customHeight="1">
      <c r="C687" s="1026"/>
      <c r="D687" s="1026"/>
      <c r="E687" s="1026"/>
      <c r="I687" s="1027"/>
      <c r="J687" s="1027"/>
      <c r="K687" s="1027"/>
      <c r="O687" s="675"/>
    </row>
    <row r="688" spans="3:15" ht="15.75" customHeight="1">
      <c r="C688" s="1026"/>
      <c r="D688" s="1026"/>
      <c r="E688" s="1026"/>
      <c r="I688" s="1027"/>
      <c r="J688" s="1027"/>
      <c r="K688" s="1027"/>
      <c r="O688" s="675"/>
    </row>
    <row r="689" spans="3:15" ht="15.75" customHeight="1">
      <c r="C689" s="1026"/>
      <c r="D689" s="1026"/>
      <c r="E689" s="1026"/>
      <c r="I689" s="1027"/>
      <c r="J689" s="1027"/>
      <c r="K689" s="1027"/>
      <c r="O689" s="675"/>
    </row>
    <row r="690" spans="3:15" ht="15.75" customHeight="1">
      <c r="C690" s="1026"/>
      <c r="D690" s="1026"/>
      <c r="E690" s="1026"/>
      <c r="I690" s="1027"/>
      <c r="J690" s="1027"/>
      <c r="K690" s="1027"/>
      <c r="O690" s="675"/>
    </row>
    <row r="691" spans="3:15" ht="15.75" customHeight="1">
      <c r="C691" s="1026"/>
      <c r="D691" s="1026"/>
      <c r="E691" s="1026"/>
      <c r="I691" s="1027"/>
      <c r="J691" s="1027"/>
      <c r="K691" s="1027"/>
      <c r="O691" s="675"/>
    </row>
    <row r="692" spans="3:15" ht="15.75" customHeight="1">
      <c r="C692" s="1026"/>
      <c r="D692" s="1026"/>
      <c r="E692" s="1026"/>
      <c r="I692" s="1027"/>
      <c r="J692" s="1027"/>
      <c r="K692" s="1027"/>
      <c r="O692" s="675"/>
    </row>
    <row r="693" spans="3:15" ht="15.75" customHeight="1">
      <c r="C693" s="1026"/>
      <c r="D693" s="1026"/>
      <c r="E693" s="1026"/>
      <c r="I693" s="1027"/>
      <c r="J693" s="1027"/>
      <c r="K693" s="1027"/>
      <c r="O693" s="675"/>
    </row>
    <row r="694" spans="3:15" ht="15.75" customHeight="1">
      <c r="C694" s="1026"/>
      <c r="D694" s="1026"/>
      <c r="E694" s="1026"/>
      <c r="I694" s="1027"/>
      <c r="J694" s="1027"/>
      <c r="K694" s="1027"/>
      <c r="O694" s="675"/>
    </row>
    <row r="695" spans="3:15" ht="15.75" customHeight="1">
      <c r="C695" s="1026"/>
      <c r="D695" s="1026"/>
      <c r="E695" s="1026"/>
      <c r="I695" s="1027"/>
      <c r="J695" s="1027"/>
      <c r="K695" s="1027"/>
      <c r="O695" s="675"/>
    </row>
    <row r="696" spans="3:15" ht="15.75" customHeight="1">
      <c r="C696" s="1026"/>
      <c r="D696" s="1026"/>
      <c r="E696" s="1026"/>
      <c r="I696" s="1027"/>
      <c r="J696" s="1027"/>
      <c r="K696" s="1027"/>
      <c r="O696" s="675"/>
    </row>
    <row r="697" spans="3:15" ht="15.75" customHeight="1">
      <c r="C697" s="1026"/>
      <c r="D697" s="1026"/>
      <c r="E697" s="1026"/>
      <c r="I697" s="1027"/>
      <c r="J697" s="1027"/>
      <c r="K697" s="1027"/>
      <c r="O697" s="675"/>
    </row>
    <row r="698" spans="3:15" ht="15.75" customHeight="1">
      <c r="C698" s="1026"/>
      <c r="D698" s="1026"/>
      <c r="E698" s="1026"/>
      <c r="I698" s="1027"/>
      <c r="J698" s="1027"/>
      <c r="K698" s="1027"/>
      <c r="O698" s="675"/>
    </row>
    <row r="699" spans="3:15" ht="15.75" customHeight="1">
      <c r="C699" s="1026"/>
      <c r="D699" s="1026"/>
      <c r="E699" s="1026"/>
      <c r="I699" s="1027"/>
      <c r="J699" s="1027"/>
      <c r="K699" s="1027"/>
      <c r="O699" s="675"/>
    </row>
    <row r="700" spans="3:15" ht="15.75" customHeight="1">
      <c r="C700" s="1026"/>
      <c r="D700" s="1026"/>
      <c r="E700" s="1026"/>
      <c r="I700" s="1027"/>
      <c r="J700" s="1027"/>
      <c r="K700" s="1027"/>
      <c r="O700" s="675"/>
    </row>
    <row r="701" spans="3:15" ht="15.75" customHeight="1">
      <c r="C701" s="1026"/>
      <c r="D701" s="1026"/>
      <c r="E701" s="1026"/>
      <c r="I701" s="1027"/>
      <c r="J701" s="1027"/>
      <c r="K701" s="1027"/>
      <c r="O701" s="675"/>
    </row>
    <row r="702" spans="3:15" ht="15.75" customHeight="1">
      <c r="C702" s="1026"/>
      <c r="D702" s="1026"/>
      <c r="E702" s="1026"/>
      <c r="I702" s="1027"/>
      <c r="J702" s="1027"/>
      <c r="K702" s="1027"/>
      <c r="O702" s="675"/>
    </row>
    <row r="703" spans="3:15" ht="15.75" customHeight="1">
      <c r="C703" s="1026"/>
      <c r="D703" s="1026"/>
      <c r="E703" s="1026"/>
      <c r="I703" s="1027"/>
      <c r="J703" s="1027"/>
      <c r="K703" s="1027"/>
      <c r="O703" s="675"/>
    </row>
    <row r="704" spans="3:15" ht="15.75" customHeight="1">
      <c r="C704" s="1026"/>
      <c r="D704" s="1026"/>
      <c r="E704" s="1026"/>
      <c r="I704" s="1027"/>
      <c r="J704" s="1027"/>
      <c r="K704" s="1027"/>
      <c r="O704" s="675"/>
    </row>
    <row r="705" spans="3:15" ht="15.75" customHeight="1">
      <c r="C705" s="1026"/>
      <c r="D705" s="1026"/>
      <c r="E705" s="1026"/>
      <c r="I705" s="1027"/>
      <c r="J705" s="1027"/>
      <c r="K705" s="1027"/>
      <c r="O705" s="675"/>
    </row>
    <row r="706" spans="3:15" ht="15.75" customHeight="1">
      <c r="C706" s="1026"/>
      <c r="D706" s="1026"/>
      <c r="E706" s="1026"/>
      <c r="I706" s="1027"/>
      <c r="J706" s="1027"/>
      <c r="K706" s="1027"/>
      <c r="O706" s="675"/>
    </row>
    <row r="707" spans="3:15" ht="15.75" customHeight="1">
      <c r="C707" s="1026"/>
      <c r="D707" s="1026"/>
      <c r="E707" s="1026"/>
      <c r="I707" s="1027"/>
      <c r="J707" s="1027"/>
      <c r="K707" s="1027"/>
      <c r="O707" s="675"/>
    </row>
    <row r="708" spans="3:15" ht="15.75" customHeight="1">
      <c r="C708" s="1026"/>
      <c r="D708" s="1026"/>
      <c r="E708" s="1026"/>
      <c r="I708" s="1027"/>
      <c r="J708" s="1027"/>
      <c r="K708" s="1027"/>
      <c r="O708" s="675"/>
    </row>
    <row r="709" spans="3:15" ht="15.75" customHeight="1">
      <c r="C709" s="1026"/>
      <c r="D709" s="1026"/>
      <c r="E709" s="1026"/>
      <c r="I709" s="1027"/>
      <c r="J709" s="1027"/>
      <c r="K709" s="1027"/>
      <c r="O709" s="675"/>
    </row>
    <row r="710" spans="3:15" ht="15.75" customHeight="1">
      <c r="C710" s="1026"/>
      <c r="D710" s="1026"/>
      <c r="E710" s="1026"/>
      <c r="I710" s="1027"/>
      <c r="J710" s="1027"/>
      <c r="K710" s="1027"/>
      <c r="O710" s="675"/>
    </row>
    <row r="711" spans="3:15" ht="15.75" customHeight="1">
      <c r="C711" s="1026"/>
      <c r="D711" s="1026"/>
      <c r="E711" s="1026"/>
      <c r="I711" s="1027"/>
      <c r="J711" s="1027"/>
      <c r="K711" s="1027"/>
      <c r="O711" s="675"/>
    </row>
    <row r="712" spans="3:15" ht="15.75" customHeight="1">
      <c r="C712" s="1026"/>
      <c r="D712" s="1026"/>
      <c r="E712" s="1026"/>
      <c r="I712" s="1027"/>
      <c r="J712" s="1027"/>
      <c r="K712" s="1027"/>
      <c r="O712" s="675"/>
    </row>
    <row r="713" spans="3:15" ht="15.75" customHeight="1">
      <c r="C713" s="1026"/>
      <c r="D713" s="1026"/>
      <c r="E713" s="1026"/>
      <c r="I713" s="1027"/>
      <c r="J713" s="1027"/>
      <c r="K713" s="1027"/>
      <c r="O713" s="675"/>
    </row>
    <row r="714" spans="3:15" ht="15.75" customHeight="1">
      <c r="C714" s="1026"/>
      <c r="D714" s="1026"/>
      <c r="E714" s="1026"/>
      <c r="I714" s="1027"/>
      <c r="J714" s="1027"/>
      <c r="K714" s="1027"/>
      <c r="O714" s="675"/>
    </row>
    <row r="715" spans="3:15" ht="15.75" customHeight="1">
      <c r="C715" s="1026"/>
      <c r="D715" s="1026"/>
      <c r="E715" s="1026"/>
      <c r="I715" s="1027"/>
      <c r="J715" s="1027"/>
      <c r="K715" s="1027"/>
      <c r="O715" s="675"/>
    </row>
    <row r="716" spans="3:15" ht="15.75" customHeight="1">
      <c r="C716" s="1026"/>
      <c r="D716" s="1026"/>
      <c r="E716" s="1026"/>
      <c r="I716" s="1027"/>
      <c r="J716" s="1027"/>
      <c r="K716" s="1027"/>
      <c r="O716" s="675"/>
    </row>
    <row r="717" spans="3:15" ht="15.75" customHeight="1">
      <c r="C717" s="1026"/>
      <c r="D717" s="1026"/>
      <c r="E717" s="1026"/>
      <c r="I717" s="1027"/>
      <c r="J717" s="1027"/>
      <c r="K717" s="1027"/>
      <c r="O717" s="675"/>
    </row>
    <row r="718" spans="3:15" ht="15.75" customHeight="1">
      <c r="C718" s="1026"/>
      <c r="D718" s="1026"/>
      <c r="E718" s="1026"/>
      <c r="I718" s="1027"/>
      <c r="J718" s="1027"/>
      <c r="K718" s="1027"/>
      <c r="O718" s="675"/>
    </row>
    <row r="719" spans="3:15" ht="15.75" customHeight="1">
      <c r="C719" s="1026"/>
      <c r="D719" s="1026"/>
      <c r="E719" s="1026"/>
      <c r="I719" s="1027"/>
      <c r="J719" s="1027"/>
      <c r="K719" s="1027"/>
      <c r="O719" s="675"/>
    </row>
    <row r="720" spans="3:15" ht="15.75" customHeight="1">
      <c r="C720" s="1026"/>
      <c r="D720" s="1026"/>
      <c r="E720" s="1026"/>
      <c r="I720" s="1027"/>
      <c r="J720" s="1027"/>
      <c r="K720" s="1027"/>
      <c r="O720" s="675"/>
    </row>
    <row r="721" spans="3:15" ht="15.75" customHeight="1">
      <c r="C721" s="1026"/>
      <c r="D721" s="1026"/>
      <c r="E721" s="1026"/>
      <c r="I721" s="1027"/>
      <c r="J721" s="1027"/>
      <c r="K721" s="1027"/>
      <c r="O721" s="675"/>
    </row>
    <row r="722" spans="3:15" ht="15.75" customHeight="1">
      <c r="C722" s="1026"/>
      <c r="D722" s="1026"/>
      <c r="E722" s="1026"/>
      <c r="I722" s="1027"/>
      <c r="J722" s="1027"/>
      <c r="K722" s="1027"/>
      <c r="O722" s="675"/>
    </row>
    <row r="723" spans="3:15" ht="15.75" customHeight="1">
      <c r="C723" s="1026"/>
      <c r="D723" s="1026"/>
      <c r="E723" s="1026"/>
      <c r="I723" s="1027"/>
      <c r="J723" s="1027"/>
      <c r="K723" s="1027"/>
      <c r="O723" s="675"/>
    </row>
    <row r="724" spans="3:15" ht="15.75" customHeight="1">
      <c r="C724" s="1026"/>
      <c r="D724" s="1026"/>
      <c r="E724" s="1026"/>
      <c r="I724" s="1027"/>
      <c r="J724" s="1027"/>
      <c r="K724" s="1027"/>
      <c r="O724" s="675"/>
    </row>
    <row r="725" spans="3:15" ht="15.75" customHeight="1">
      <c r="C725" s="1026"/>
      <c r="D725" s="1026"/>
      <c r="E725" s="1026"/>
      <c r="I725" s="1027"/>
      <c r="J725" s="1027"/>
      <c r="K725" s="1027"/>
      <c r="O725" s="675"/>
    </row>
    <row r="726" spans="3:15" ht="15.75" customHeight="1">
      <c r="C726" s="1026"/>
      <c r="D726" s="1026"/>
      <c r="E726" s="1026"/>
      <c r="I726" s="1027"/>
      <c r="J726" s="1027"/>
      <c r="K726" s="1027"/>
      <c r="O726" s="675"/>
    </row>
    <row r="727" spans="3:15" ht="15.75" customHeight="1">
      <c r="C727" s="1026"/>
      <c r="D727" s="1026"/>
      <c r="E727" s="1026"/>
      <c r="I727" s="1027"/>
      <c r="J727" s="1027"/>
      <c r="K727" s="1027"/>
      <c r="O727" s="675"/>
    </row>
    <row r="728" spans="3:15" ht="15.75" customHeight="1">
      <c r="C728" s="1026"/>
      <c r="D728" s="1026"/>
      <c r="E728" s="1026"/>
      <c r="I728" s="1027"/>
      <c r="J728" s="1027"/>
      <c r="K728" s="1027"/>
      <c r="O728" s="675"/>
    </row>
    <row r="729" spans="3:15" ht="15.75" customHeight="1">
      <c r="C729" s="1026"/>
      <c r="D729" s="1026"/>
      <c r="E729" s="1026"/>
      <c r="I729" s="1027"/>
      <c r="J729" s="1027"/>
      <c r="K729" s="1027"/>
      <c r="O729" s="675"/>
    </row>
    <row r="730" spans="3:15" ht="15.75" customHeight="1">
      <c r="C730" s="1026"/>
      <c r="D730" s="1026"/>
      <c r="E730" s="1026"/>
      <c r="I730" s="1027"/>
      <c r="J730" s="1027"/>
      <c r="K730" s="1027"/>
      <c r="O730" s="675"/>
    </row>
    <row r="731" spans="3:15" ht="15.75" customHeight="1">
      <c r="C731" s="1026"/>
      <c r="D731" s="1026"/>
      <c r="E731" s="1026"/>
      <c r="I731" s="1027"/>
      <c r="J731" s="1027"/>
      <c r="K731" s="1027"/>
      <c r="O731" s="675"/>
    </row>
    <row r="732" spans="3:15" ht="15.75" customHeight="1">
      <c r="C732" s="1026"/>
      <c r="D732" s="1026"/>
      <c r="E732" s="1026"/>
      <c r="I732" s="1027"/>
      <c r="J732" s="1027"/>
      <c r="K732" s="1027"/>
      <c r="O732" s="675"/>
    </row>
    <row r="733" spans="3:15" ht="15.75" customHeight="1">
      <c r="C733" s="1026"/>
      <c r="D733" s="1026"/>
      <c r="E733" s="1026"/>
      <c r="I733" s="1027"/>
      <c r="J733" s="1027"/>
      <c r="K733" s="1027"/>
      <c r="O733" s="675"/>
    </row>
    <row r="734" spans="3:15" ht="15.75" customHeight="1">
      <c r="C734" s="1026"/>
      <c r="D734" s="1026"/>
      <c r="E734" s="1026"/>
      <c r="I734" s="1027"/>
      <c r="J734" s="1027"/>
      <c r="K734" s="1027"/>
      <c r="O734" s="675"/>
    </row>
    <row r="735" spans="3:15" ht="15.75" customHeight="1">
      <c r="C735" s="1026"/>
      <c r="D735" s="1026"/>
      <c r="E735" s="1026"/>
      <c r="I735" s="1027"/>
      <c r="J735" s="1027"/>
      <c r="K735" s="1027"/>
      <c r="O735" s="675"/>
    </row>
    <row r="736" spans="3:15" ht="15.75" customHeight="1">
      <c r="C736" s="1026"/>
      <c r="D736" s="1026"/>
      <c r="E736" s="1026"/>
      <c r="I736" s="1027"/>
      <c r="J736" s="1027"/>
      <c r="K736" s="1027"/>
      <c r="O736" s="675"/>
    </row>
    <row r="737" spans="3:15" ht="15.75" customHeight="1">
      <c r="C737" s="1026"/>
      <c r="D737" s="1026"/>
      <c r="E737" s="1026"/>
      <c r="I737" s="1027"/>
      <c r="J737" s="1027"/>
      <c r="K737" s="1027"/>
      <c r="O737" s="675"/>
    </row>
    <row r="738" spans="3:15" ht="15.75" customHeight="1">
      <c r="C738" s="1026"/>
      <c r="D738" s="1026"/>
      <c r="E738" s="1026"/>
      <c r="I738" s="1027"/>
      <c r="J738" s="1027"/>
      <c r="K738" s="1027"/>
      <c r="O738" s="675"/>
    </row>
    <row r="739" spans="3:15" ht="15.75" customHeight="1">
      <c r="C739" s="1026"/>
      <c r="D739" s="1026"/>
      <c r="E739" s="1026"/>
      <c r="I739" s="1027"/>
      <c r="J739" s="1027"/>
      <c r="K739" s="1027"/>
      <c r="O739" s="675"/>
    </row>
    <row r="740" spans="3:15" ht="15.75" customHeight="1">
      <c r="C740" s="1026"/>
      <c r="D740" s="1026"/>
      <c r="E740" s="1026"/>
      <c r="I740" s="1027"/>
      <c r="J740" s="1027"/>
      <c r="K740" s="1027"/>
      <c r="O740" s="675"/>
    </row>
    <row r="741" spans="3:15" ht="15.75" customHeight="1">
      <c r="C741" s="1026"/>
      <c r="D741" s="1026"/>
      <c r="E741" s="1026"/>
      <c r="I741" s="1027"/>
      <c r="J741" s="1027"/>
      <c r="K741" s="1027"/>
      <c r="O741" s="675"/>
    </row>
    <row r="742" spans="3:15" ht="15.75" customHeight="1">
      <c r="C742" s="1026"/>
      <c r="D742" s="1026"/>
      <c r="E742" s="1026"/>
      <c r="I742" s="1027"/>
      <c r="J742" s="1027"/>
      <c r="K742" s="1027"/>
      <c r="O742" s="675"/>
    </row>
    <row r="743" spans="3:15" ht="15.75" customHeight="1">
      <c r="C743" s="1026"/>
      <c r="D743" s="1026"/>
      <c r="E743" s="1026"/>
      <c r="I743" s="1027"/>
      <c r="J743" s="1027"/>
      <c r="K743" s="1027"/>
      <c r="O743" s="675"/>
    </row>
    <row r="744" spans="3:15" ht="15.75" customHeight="1">
      <c r="C744" s="1026"/>
      <c r="D744" s="1026"/>
      <c r="E744" s="1026"/>
      <c r="I744" s="1027"/>
      <c r="J744" s="1027"/>
      <c r="K744" s="1027"/>
      <c r="O744" s="675"/>
    </row>
    <row r="745" spans="3:15" ht="15.75" customHeight="1">
      <c r="C745" s="1026"/>
      <c r="D745" s="1026"/>
      <c r="E745" s="1026"/>
      <c r="I745" s="1027"/>
      <c r="J745" s="1027"/>
      <c r="K745" s="1027"/>
      <c r="O745" s="675"/>
    </row>
    <row r="746" spans="3:15" ht="15.75" customHeight="1">
      <c r="C746" s="1026"/>
      <c r="D746" s="1026"/>
      <c r="E746" s="1026"/>
      <c r="I746" s="1027"/>
      <c r="J746" s="1027"/>
      <c r="K746" s="1027"/>
      <c r="O746" s="675"/>
    </row>
    <row r="747" spans="3:15" ht="15.75" customHeight="1">
      <c r="C747" s="1026"/>
      <c r="D747" s="1026"/>
      <c r="E747" s="1026"/>
      <c r="I747" s="1027"/>
      <c r="J747" s="1027"/>
      <c r="K747" s="1027"/>
      <c r="O747" s="675"/>
    </row>
    <row r="748" spans="3:15" ht="15.75" customHeight="1">
      <c r="C748" s="1026"/>
      <c r="D748" s="1026"/>
      <c r="E748" s="1026"/>
      <c r="I748" s="1027"/>
      <c r="J748" s="1027"/>
      <c r="K748" s="1027"/>
      <c r="O748" s="675"/>
    </row>
    <row r="749" spans="3:15" ht="15.75" customHeight="1">
      <c r="C749" s="1026"/>
      <c r="D749" s="1026"/>
      <c r="E749" s="1026"/>
      <c r="I749" s="1027"/>
      <c r="J749" s="1027"/>
      <c r="K749" s="1027"/>
      <c r="O749" s="675"/>
    </row>
    <row r="750" spans="3:15" ht="15.75" customHeight="1">
      <c r="C750" s="1026"/>
      <c r="D750" s="1026"/>
      <c r="E750" s="1026"/>
      <c r="I750" s="1027"/>
      <c r="J750" s="1027"/>
      <c r="K750" s="1027"/>
      <c r="O750" s="675"/>
    </row>
    <row r="751" spans="3:15" ht="15.75" customHeight="1">
      <c r="C751" s="1026"/>
      <c r="D751" s="1026"/>
      <c r="E751" s="1026"/>
      <c r="I751" s="1027"/>
      <c r="J751" s="1027"/>
      <c r="K751" s="1027"/>
      <c r="O751" s="675"/>
    </row>
    <row r="752" spans="3:15" ht="15.75" customHeight="1">
      <c r="C752" s="1026"/>
      <c r="D752" s="1026"/>
      <c r="E752" s="1026"/>
      <c r="I752" s="1027"/>
      <c r="J752" s="1027"/>
      <c r="K752" s="1027"/>
      <c r="O752" s="675"/>
    </row>
    <row r="753" spans="3:15" ht="15.75" customHeight="1">
      <c r="C753" s="1026"/>
      <c r="D753" s="1026"/>
      <c r="E753" s="1026"/>
      <c r="I753" s="1027"/>
      <c r="J753" s="1027"/>
      <c r="K753" s="1027"/>
      <c r="O753" s="675"/>
    </row>
    <row r="754" spans="3:15" ht="15.75" customHeight="1">
      <c r="C754" s="1026"/>
      <c r="D754" s="1026"/>
      <c r="E754" s="1026"/>
      <c r="I754" s="1027"/>
      <c r="J754" s="1027"/>
      <c r="K754" s="1027"/>
      <c r="O754" s="675"/>
    </row>
    <row r="755" spans="3:15" ht="15.75" customHeight="1">
      <c r="C755" s="1026"/>
      <c r="D755" s="1026"/>
      <c r="E755" s="1026"/>
      <c r="I755" s="1027"/>
      <c r="J755" s="1027"/>
      <c r="K755" s="1027"/>
      <c r="O755" s="675"/>
    </row>
    <row r="756" spans="3:15" ht="15.75" customHeight="1">
      <c r="C756" s="1026"/>
      <c r="D756" s="1026"/>
      <c r="E756" s="1026"/>
      <c r="I756" s="1027"/>
      <c r="J756" s="1027"/>
      <c r="K756" s="1027"/>
      <c r="O756" s="675"/>
    </row>
    <row r="757" spans="3:15" ht="15.75" customHeight="1">
      <c r="C757" s="1026"/>
      <c r="D757" s="1026"/>
      <c r="E757" s="1026"/>
      <c r="I757" s="1027"/>
      <c r="J757" s="1027"/>
      <c r="K757" s="1027"/>
      <c r="O757" s="675"/>
    </row>
    <row r="758" spans="3:15" ht="15.75" customHeight="1">
      <c r="C758" s="1026"/>
      <c r="D758" s="1026"/>
      <c r="E758" s="1026"/>
      <c r="I758" s="1027"/>
      <c r="J758" s="1027"/>
      <c r="K758" s="1027"/>
      <c r="O758" s="675"/>
    </row>
    <row r="759" spans="3:15" ht="15.75" customHeight="1">
      <c r="C759" s="1026"/>
      <c r="D759" s="1026"/>
      <c r="E759" s="1026"/>
      <c r="I759" s="1027"/>
      <c r="J759" s="1027"/>
      <c r="K759" s="1027"/>
      <c r="O759" s="675"/>
    </row>
    <row r="760" spans="3:15" ht="15.75" customHeight="1">
      <c r="C760" s="1026"/>
      <c r="D760" s="1026"/>
      <c r="E760" s="1026"/>
      <c r="I760" s="1027"/>
      <c r="J760" s="1027"/>
      <c r="K760" s="1027"/>
      <c r="O760" s="675"/>
    </row>
    <row r="761" spans="3:15" ht="15.75" customHeight="1">
      <c r="C761" s="1026"/>
      <c r="D761" s="1026"/>
      <c r="E761" s="1026"/>
      <c r="I761" s="1027"/>
      <c r="J761" s="1027"/>
      <c r="K761" s="1027"/>
      <c r="O761" s="675"/>
    </row>
    <row r="762" spans="3:15" ht="15.75" customHeight="1">
      <c r="C762" s="1026"/>
      <c r="D762" s="1026"/>
      <c r="E762" s="1026"/>
      <c r="I762" s="1027"/>
      <c r="J762" s="1027"/>
      <c r="K762" s="1027"/>
      <c r="O762" s="675"/>
    </row>
    <row r="763" spans="3:15" ht="15.75" customHeight="1">
      <c r="C763" s="1026"/>
      <c r="D763" s="1026"/>
      <c r="E763" s="1026"/>
      <c r="I763" s="1027"/>
      <c r="J763" s="1027"/>
      <c r="K763" s="1027"/>
      <c r="O763" s="675"/>
    </row>
    <row r="764" spans="3:15" ht="15.75" customHeight="1">
      <c r="C764" s="1026"/>
      <c r="D764" s="1026"/>
      <c r="E764" s="1026"/>
      <c r="I764" s="1027"/>
      <c r="J764" s="1027"/>
      <c r="K764" s="1027"/>
      <c r="O764" s="675"/>
    </row>
    <row r="765" spans="3:15" ht="15.75" customHeight="1">
      <c r="C765" s="1026"/>
      <c r="D765" s="1026"/>
      <c r="E765" s="1026"/>
      <c r="I765" s="1027"/>
      <c r="J765" s="1027"/>
      <c r="K765" s="1027"/>
      <c r="O765" s="675"/>
    </row>
    <row r="766" spans="3:15" ht="15.75" customHeight="1">
      <c r="C766" s="1026"/>
      <c r="D766" s="1026"/>
      <c r="E766" s="1026"/>
      <c r="I766" s="1027"/>
      <c r="J766" s="1027"/>
      <c r="K766" s="1027"/>
      <c r="O766" s="675"/>
    </row>
  </sheetData>
  <autoFilter ref="A1:X479"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activeCell="E27" sqref="E27"/>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1" t="s">
        <v>1319</v>
      </c>
      <c r="B1" s="676" t="s">
        <v>251</v>
      </c>
      <c r="C1" s="676" t="s">
        <v>1320</v>
      </c>
      <c r="D1" s="676" t="s">
        <v>720</v>
      </c>
      <c r="E1" s="677" t="s">
        <v>721</v>
      </c>
      <c r="F1" s="677" t="s">
        <v>1321</v>
      </c>
      <c r="G1" s="677" t="s">
        <v>1322</v>
      </c>
      <c r="H1" s="4"/>
      <c r="I1" s="678" t="s">
        <v>1320</v>
      </c>
      <c r="K1" s="678" t="s">
        <v>720</v>
      </c>
    </row>
    <row r="2" spans="1:13" ht="15" customHeight="1">
      <c r="A2" s="692" t="s">
        <v>1440</v>
      </c>
      <c r="B2" s="680" t="s">
        <v>722</v>
      </c>
      <c r="C2" s="681"/>
      <c r="D2" s="681"/>
      <c r="E2" s="682"/>
      <c r="F2" s="683"/>
      <c r="G2" s="684" t="str">
        <f>+VLOOKUP([1]Data_Validation!$A2,[1]BV_Data_An_Cour!$L:$Q,6,0)</f>
        <v>1-Mémo</v>
      </c>
      <c r="H2" s="3"/>
      <c r="I2" s="685" t="s">
        <v>1323</v>
      </c>
      <c r="K2" s="685">
        <f>Print_Mois!C4</f>
        <v>0</v>
      </c>
    </row>
    <row r="3" spans="1:13" ht="15" customHeight="1">
      <c r="A3" s="692" t="s">
        <v>1443</v>
      </c>
      <c r="B3" s="680" t="s">
        <v>731</v>
      </c>
      <c r="C3" s="681"/>
      <c r="D3" s="681"/>
      <c r="E3" s="682"/>
      <c r="F3" s="683"/>
      <c r="G3" s="684" t="e">
        <f>+VLOOKUP([1]Data_Validation!$A12,[1]BV_Data_An_Cour!$L:$Q,6,0)</f>
        <v>#N/A</v>
      </c>
      <c r="H3" s="33"/>
      <c r="I3" s="685" t="str">
        <f>Print_Mois!K1</f>
        <v>Véhicules neufs</v>
      </c>
      <c r="K3" s="685" t="s">
        <v>83</v>
      </c>
    </row>
    <row r="4" spans="1:13" ht="15" customHeight="1">
      <c r="A4" s="692" t="s">
        <v>1446</v>
      </c>
      <c r="B4" s="680" t="s">
        <v>732</v>
      </c>
      <c r="C4" s="681"/>
      <c r="D4" s="681"/>
      <c r="E4" s="682"/>
      <c r="F4" s="683"/>
      <c r="G4" s="684" t="str">
        <f>+VLOOKUP([1]Data_Validation!$A13,[1]BV_Data_An_Cour!$L:$Q,6,0)</f>
        <v>2-Actifs</v>
      </c>
      <c r="H4" s="33"/>
      <c r="I4" s="685" t="str">
        <f>Print_Mois!K89</f>
        <v>Véhicules usagés</v>
      </c>
      <c r="K4" s="685" t="str">
        <f>Print_Mois!C184</f>
        <v>Ajustement M/O</v>
      </c>
      <c r="M4" s="686" t="s">
        <v>1324</v>
      </c>
    </row>
    <row r="5" spans="1:13" ht="15" customHeight="1">
      <c r="A5" s="692" t="s">
        <v>819</v>
      </c>
      <c r="B5" s="680" t="s">
        <v>817</v>
      </c>
      <c r="C5" s="681" t="s">
        <v>1323</v>
      </c>
      <c r="D5" s="681" t="s">
        <v>25</v>
      </c>
      <c r="E5" s="682" t="s">
        <v>303</v>
      </c>
      <c r="F5" s="683"/>
      <c r="G5" s="684" t="str">
        <f>+VLOOKUP([1]Data_Validation!$A95,[1]BV_Data_An_Cour!$L:$Q,6,0)</f>
        <v>2-Actifs</v>
      </c>
      <c r="H5" s="33"/>
      <c r="I5" s="685" t="str">
        <f>Print_Mois!AE402</f>
        <v>TOTAL DES REVENUS ET DÉPENSES</v>
      </c>
      <c r="K5" s="685" t="s">
        <v>70</v>
      </c>
      <c r="M5" s="138" t="s">
        <v>1325</v>
      </c>
    </row>
    <row r="6" spans="1:13" ht="15" customHeight="1">
      <c r="A6" s="692" t="s">
        <v>3360</v>
      </c>
      <c r="B6" s="680" t="s">
        <v>1340</v>
      </c>
      <c r="C6" s="681" t="s">
        <v>1323</v>
      </c>
      <c r="D6" s="681" t="s">
        <v>25</v>
      </c>
      <c r="E6" s="682" t="s">
        <v>303</v>
      </c>
      <c r="F6" s="683"/>
      <c r="G6" s="682" t="str">
        <f>+VLOOKUP([1]Data_Validation!$A96,[1]BV_Data_An_Cour!$L:$Q,6,0)</f>
        <v>2-Actifs</v>
      </c>
      <c r="H6" s="33"/>
      <c r="I6" s="685" t="str">
        <f>Print_Mois!K168</f>
        <v>Service</v>
      </c>
      <c r="K6" s="685" t="s">
        <v>72</v>
      </c>
      <c r="M6" s="138" t="s">
        <v>1326</v>
      </c>
    </row>
    <row r="7" spans="1:13" ht="15" customHeight="1">
      <c r="A7" s="692" t="s">
        <v>3361</v>
      </c>
      <c r="B7" s="680" t="s">
        <v>820</v>
      </c>
      <c r="C7" s="681" t="s">
        <v>1323</v>
      </c>
      <c r="D7" s="681" t="s">
        <v>25</v>
      </c>
      <c r="E7" s="682" t="s">
        <v>303</v>
      </c>
      <c r="F7" s="683"/>
      <c r="G7" s="684" t="str">
        <f>+VLOOKUP([1]Data_Validation!$A97,[1]BV_Data_An_Cour!$L:$Q,6,0)</f>
        <v>2-Actifs</v>
      </c>
      <c r="H7" s="33"/>
      <c r="I7" s="685" t="str">
        <f>Print_Mois!K236</f>
        <v>Carrosserie</v>
      </c>
      <c r="K7" s="685" t="str">
        <f>Print_Mois!V491</f>
        <v>Amortissement</v>
      </c>
      <c r="M7" s="138" t="s">
        <v>304</v>
      </c>
    </row>
    <row r="8" spans="1:13" ht="15" customHeight="1">
      <c r="A8" s="692" t="s">
        <v>3362</v>
      </c>
      <c r="B8" s="680" t="s">
        <v>1342</v>
      </c>
      <c r="C8" s="681" t="s">
        <v>1323</v>
      </c>
      <c r="D8" s="681" t="s">
        <v>25</v>
      </c>
      <c r="E8" s="682" t="s">
        <v>303</v>
      </c>
      <c r="F8" s="683"/>
      <c r="G8" s="682" t="e">
        <f>+VLOOKUP([1]Data_Validation!$A98,[1]BV_Data_An_Cour!$L:$Q,6,0)</f>
        <v>#N/A</v>
      </c>
      <c r="H8" s="33"/>
      <c r="I8" s="685" t="str">
        <f>Print_Mois!K291</f>
        <v>Pièces</v>
      </c>
      <c r="K8" s="685" t="s">
        <v>85</v>
      </c>
      <c r="M8" s="138" t="s">
        <v>161</v>
      </c>
    </row>
    <row r="9" spans="1:13" ht="15" customHeight="1">
      <c r="A9" s="692" t="s">
        <v>3363</v>
      </c>
      <c r="B9" s="680" t="s">
        <v>1343</v>
      </c>
      <c r="C9" s="681" t="s">
        <v>1323</v>
      </c>
      <c r="D9" s="681" t="s">
        <v>25</v>
      </c>
      <c r="E9" s="682" t="s">
        <v>303</v>
      </c>
      <c r="F9" s="683"/>
      <c r="G9" s="682" t="str">
        <f>+VLOOKUP([1]Data_Validation!$A99,[1]BV_Data_An_Cour!$L:$Q,6,0)</f>
        <v>2-Actifs</v>
      </c>
      <c r="H9" s="33"/>
      <c r="I9" s="685" t="s">
        <v>1327</v>
      </c>
      <c r="K9" s="685" t="str">
        <f>Print_Mois!V457</f>
        <v>Assurances</v>
      </c>
      <c r="M9" s="138" t="s">
        <v>180</v>
      </c>
    </row>
    <row r="10" spans="1:13" ht="15" customHeight="1">
      <c r="A10" s="692" t="s">
        <v>3900</v>
      </c>
      <c r="B10" s="680" t="s">
        <v>3899</v>
      </c>
      <c r="C10" s="681" t="s">
        <v>1323</v>
      </c>
      <c r="D10" s="681" t="s">
        <v>25</v>
      </c>
      <c r="E10" s="682" t="s">
        <v>303</v>
      </c>
      <c r="F10" s="683"/>
      <c r="G10" s="682" t="str">
        <f>+VLOOKUP([1]Data_Validation!$A100,[1]BV_Data_An_Cour!$L:$Q,6,0)</f>
        <v>1-Mémo</v>
      </c>
      <c r="H10" s="33"/>
      <c r="I10" s="685"/>
      <c r="K10" s="685"/>
      <c r="M10" s="138"/>
    </row>
    <row r="11" spans="1:13" ht="15" customHeight="1">
      <c r="A11" s="692" t="s">
        <v>3364</v>
      </c>
      <c r="B11" s="680" t="s">
        <v>821</v>
      </c>
      <c r="C11" s="681" t="s">
        <v>1323</v>
      </c>
      <c r="D11" s="681" t="s">
        <v>25</v>
      </c>
      <c r="E11" s="682" t="s">
        <v>303</v>
      </c>
      <c r="F11" s="683"/>
      <c r="G11" s="684" t="str">
        <f>+VLOOKUP([1]Data_Validation!$A100,[1]BV_Data_An_Cour!$L:$Q,6,0)</f>
        <v>1-Mémo</v>
      </c>
      <c r="H11" s="33"/>
      <c r="I11" s="685"/>
      <c r="K11" s="685" t="s">
        <v>1328</v>
      </c>
      <c r="M11" s="138" t="s">
        <v>176</v>
      </c>
    </row>
    <row r="12" spans="1:13" ht="15" customHeight="1">
      <c r="A12" s="692" t="s">
        <v>1451</v>
      </c>
      <c r="B12" s="680" t="s">
        <v>1344</v>
      </c>
      <c r="C12" s="681" t="s">
        <v>1323</v>
      </c>
      <c r="D12" s="681" t="s">
        <v>25</v>
      </c>
      <c r="E12" s="682" t="s">
        <v>303</v>
      </c>
      <c r="F12" s="683"/>
      <c r="G12" s="682" t="str">
        <f>+VLOOKUP([1]Data_Validation!$A101,[1]BV_Data_An_Cour!$L:$Q,6,0)</f>
        <v>3-Passifs</v>
      </c>
      <c r="H12" s="33"/>
      <c r="I12" s="685"/>
      <c r="K12" s="685" t="s">
        <v>1329</v>
      </c>
      <c r="M12" s="686" t="s">
        <v>1330</v>
      </c>
    </row>
    <row r="13" spans="1:13" ht="15" customHeight="1">
      <c r="A13" s="692" t="s">
        <v>1454</v>
      </c>
      <c r="B13" s="680" t="s">
        <v>822</v>
      </c>
      <c r="C13" s="681" t="s">
        <v>1323</v>
      </c>
      <c r="D13" s="681" t="s">
        <v>25</v>
      </c>
      <c r="E13" s="682" t="s">
        <v>303</v>
      </c>
      <c r="F13" s="683"/>
      <c r="G13" s="684" t="str">
        <f>+VLOOKUP([1]Data_Validation!$A102,[1]BV_Data_An_Cour!$L:$Q,6,0)</f>
        <v>3-Passifs</v>
      </c>
      <c r="H13" s="33"/>
      <c r="K13" s="685" t="str">
        <f>Print_Mois!C6</f>
        <v>Autos détail</v>
      </c>
      <c r="M13" s="5" t="s">
        <v>1326</v>
      </c>
    </row>
    <row r="14" spans="1:13" ht="15" customHeight="1">
      <c r="A14" s="692" t="s">
        <v>3365</v>
      </c>
      <c r="B14" s="680" t="s">
        <v>1345</v>
      </c>
      <c r="C14" s="681" t="s">
        <v>1323</v>
      </c>
      <c r="D14" s="681" t="s">
        <v>25</v>
      </c>
      <c r="E14" s="682" t="s">
        <v>303</v>
      </c>
      <c r="F14" s="683"/>
      <c r="G14" s="682" t="e">
        <f>+VLOOKUP([1]Data_Validation!$A103,[1]BV_Data_An_Cour!$L:$Q,6,0)</f>
        <v>#N/A</v>
      </c>
      <c r="H14" s="33"/>
      <c r="K14" s="685" t="s">
        <v>173</v>
      </c>
    </row>
    <row r="15" spans="1:13" ht="15" customHeight="1">
      <c r="A15" s="692" t="s">
        <v>3366</v>
      </c>
      <c r="B15" s="680" t="s">
        <v>822</v>
      </c>
      <c r="C15" s="681" t="s">
        <v>1323</v>
      </c>
      <c r="D15" s="681" t="s">
        <v>25</v>
      </c>
      <c r="E15" s="682" t="s">
        <v>303</v>
      </c>
      <c r="F15" s="683"/>
      <c r="G15" s="684" t="e">
        <f>+VLOOKUP([1]Data_Validation!$A104,[1]BV_Data_An_Cour!$L:$Q,6,0)</f>
        <v>#N/A</v>
      </c>
      <c r="H15" s="33"/>
      <c r="K15" s="685" t="str">
        <f>Print_Mois!C312</f>
        <v>Autostock</v>
      </c>
      <c r="M15" s="5" t="s">
        <v>304</v>
      </c>
    </row>
    <row r="16" spans="1:13" ht="15" customHeight="1">
      <c r="A16" s="692" t="s">
        <v>3356</v>
      </c>
      <c r="B16" s="680" t="s">
        <v>733</v>
      </c>
      <c r="C16" s="681"/>
      <c r="D16" s="681"/>
      <c r="E16" s="682"/>
      <c r="F16" s="683"/>
      <c r="G16" s="684" t="e">
        <f>+VLOOKUP([1]Data_Validation!$A14,[1]BV_Data_An_Cour!$L:$Q,6,0)</f>
        <v>#N/A</v>
      </c>
      <c r="H16" s="33"/>
      <c r="K16" s="685" t="s">
        <v>43</v>
      </c>
    </row>
    <row r="17" spans="1:13" ht="15" customHeight="1">
      <c r="A17" s="692" t="s">
        <v>825</v>
      </c>
      <c r="B17" s="680" t="s">
        <v>824</v>
      </c>
      <c r="C17" s="681" t="s">
        <v>1323</v>
      </c>
      <c r="D17" s="681" t="s">
        <v>29</v>
      </c>
      <c r="E17" s="682" t="s">
        <v>303</v>
      </c>
      <c r="F17" s="683"/>
      <c r="G17" s="684" t="e">
        <f>+VLOOKUP([1]Data_Validation!$A105,[1]BV_Data_An_Cour!$L:$Q,6,0)</f>
        <v>#N/A</v>
      </c>
      <c r="H17" s="33"/>
      <c r="K17" s="685" t="s">
        <v>57</v>
      </c>
      <c r="M17" s="686" t="s">
        <v>1331</v>
      </c>
    </row>
    <row r="18" spans="1:13" ht="15" customHeight="1">
      <c r="A18" s="692" t="s">
        <v>827</v>
      </c>
      <c r="B18" s="680" t="s">
        <v>826</v>
      </c>
      <c r="C18" s="681" t="s">
        <v>1323</v>
      </c>
      <c r="D18" s="681" t="s">
        <v>30</v>
      </c>
      <c r="E18" s="682" t="s">
        <v>303</v>
      </c>
      <c r="F18" s="683"/>
      <c r="G18" s="684" t="str">
        <f>+VLOOKUP([1]Data_Validation!$A106,[1]BV_Data_An_Cour!$L:$Q,6,0)</f>
        <v>3-Passifs</v>
      </c>
      <c r="H18" s="33"/>
      <c r="K18" s="685" t="s">
        <v>73</v>
      </c>
      <c r="M18" s="5" t="s">
        <v>1326</v>
      </c>
    </row>
    <row r="19" spans="1:13" ht="15" customHeight="1">
      <c r="A19" s="692" t="s">
        <v>1461</v>
      </c>
      <c r="B19" s="680" t="s">
        <v>828</v>
      </c>
      <c r="C19" s="681" t="s">
        <v>1323</v>
      </c>
      <c r="D19" s="681" t="s">
        <v>30</v>
      </c>
      <c r="E19" s="682" t="s">
        <v>303</v>
      </c>
      <c r="F19" s="683"/>
      <c r="G19" s="684" t="str">
        <f>+VLOOKUP([1]Data_Validation!$A107,[1]BV_Data_An_Cour!$L:$Q,6,0)</f>
        <v>3-Passifs</v>
      </c>
      <c r="H19" s="33"/>
      <c r="K19" s="685" t="s">
        <v>31</v>
      </c>
      <c r="M19" s="5" t="s">
        <v>304</v>
      </c>
    </row>
    <row r="20" spans="1:13" ht="15" customHeight="1">
      <c r="A20" s="692" t="s">
        <v>830</v>
      </c>
      <c r="B20" s="680" t="s">
        <v>829</v>
      </c>
      <c r="C20" s="681" t="s">
        <v>1323</v>
      </c>
      <c r="D20" s="681" t="s">
        <v>34</v>
      </c>
      <c r="E20" s="682" t="s">
        <v>303</v>
      </c>
      <c r="F20" s="683"/>
      <c r="G20" s="684" t="str">
        <f>+VLOOKUP([1]Data_Validation!$A108,[1]BV_Data_An_Cour!$L:$Q,6,0)</f>
        <v>3-Passifs</v>
      </c>
      <c r="H20" s="33"/>
      <c r="K20" s="685" t="s">
        <v>54</v>
      </c>
    </row>
    <row r="21" spans="1:13" ht="15" customHeight="1">
      <c r="A21" s="692" t="s">
        <v>1466</v>
      </c>
      <c r="B21" s="680" t="s">
        <v>831</v>
      </c>
      <c r="C21" s="681" t="s">
        <v>1323</v>
      </c>
      <c r="D21" s="681" t="s">
        <v>38</v>
      </c>
      <c r="E21" s="682" t="s">
        <v>303</v>
      </c>
      <c r="F21" s="683"/>
      <c r="G21" s="684" t="str">
        <f>+VLOOKUP([1]Data_Validation!$A109,[1]BV_Data_An_Cour!$L:$Q,6,0)</f>
        <v>3-Passifs</v>
      </c>
      <c r="H21" s="33"/>
      <c r="K21" s="685" t="s">
        <v>82</v>
      </c>
    </row>
    <row r="22" spans="1:13" ht="15" customHeight="1">
      <c r="A22" s="692" t="s">
        <v>3367</v>
      </c>
      <c r="B22" s="680" t="s">
        <v>832</v>
      </c>
      <c r="C22" s="681" t="s">
        <v>1323</v>
      </c>
      <c r="D22" s="681" t="s">
        <v>40</v>
      </c>
      <c r="E22" s="682" t="s">
        <v>303</v>
      </c>
      <c r="F22" s="683"/>
      <c r="G22" s="684" t="str">
        <f>+VLOOKUP([1]Data_Validation!$A110,[1]BV_Data_An_Cour!$L:$Q,6,0)</f>
        <v>3-Passifs</v>
      </c>
      <c r="H22" s="33"/>
      <c r="K22" s="685" t="s">
        <v>67</v>
      </c>
    </row>
    <row r="23" spans="1:13" ht="15" customHeight="1">
      <c r="A23" s="692" t="s">
        <v>3368</v>
      </c>
      <c r="B23" s="680" t="s">
        <v>833</v>
      </c>
      <c r="C23" s="681" t="s">
        <v>1323</v>
      </c>
      <c r="D23" s="681" t="s">
        <v>40</v>
      </c>
      <c r="E23" s="682" t="s">
        <v>303</v>
      </c>
      <c r="F23" s="683"/>
      <c r="G23" s="684" t="str">
        <f>+VLOOKUP([1]Data_Validation!$A111,[1]BV_Data_An_Cour!$L:$Q,6,0)</f>
        <v>3-Passifs</v>
      </c>
      <c r="H23" s="33"/>
      <c r="K23" s="685" t="s">
        <v>68</v>
      </c>
    </row>
    <row r="24" spans="1:13" ht="15" customHeight="1">
      <c r="A24" s="692" t="s">
        <v>1469</v>
      </c>
      <c r="B24" s="680" t="s">
        <v>834</v>
      </c>
      <c r="C24" s="681" t="s">
        <v>1323</v>
      </c>
      <c r="D24" s="681" t="s">
        <v>32</v>
      </c>
      <c r="E24" s="682" t="s">
        <v>303</v>
      </c>
      <c r="F24" s="683"/>
      <c r="G24" s="684" t="str">
        <f>+VLOOKUP([1]Data_Validation!$A112,[1]BV_Data_An_Cour!$L:$Q,6,0)</f>
        <v>3-Passifs</v>
      </c>
      <c r="H24" s="33"/>
      <c r="K24" s="685" t="str">
        <f>Print_Mois!V430</f>
        <v>Bénéfices marginaux</v>
      </c>
    </row>
    <row r="25" spans="1:13" ht="15" customHeight="1">
      <c r="A25" s="692" t="s">
        <v>837</v>
      </c>
      <c r="B25" s="680" t="s">
        <v>836</v>
      </c>
      <c r="C25" s="681" t="s">
        <v>1323</v>
      </c>
      <c r="D25" s="681" t="s">
        <v>36</v>
      </c>
      <c r="E25" s="682" t="s">
        <v>303</v>
      </c>
      <c r="F25" s="683"/>
      <c r="G25" s="684" t="str">
        <f>+VLOOKUP([1]Data_Validation!$A113,[1]BV_Data_An_Cour!$L:$Q,6,0)</f>
        <v>3-Passifs</v>
      </c>
      <c r="H25" s="33"/>
      <c r="K25" s="685" t="s">
        <v>86</v>
      </c>
    </row>
    <row r="26" spans="1:13" ht="15" customHeight="1">
      <c r="A26" s="692" t="s">
        <v>1474</v>
      </c>
      <c r="B26" s="680" t="s">
        <v>838</v>
      </c>
      <c r="C26" s="681" t="s">
        <v>1323</v>
      </c>
      <c r="D26" s="681" t="s">
        <v>1346</v>
      </c>
      <c r="E26" s="682" t="s">
        <v>303</v>
      </c>
      <c r="F26" s="683"/>
      <c r="G26" s="684" t="str">
        <f>+VLOOKUP([1]Data_Validation!$A114,[1]BV_Data_An_Cour!$L:$Q,6,0)</f>
        <v>3-Passifs</v>
      </c>
      <c r="H26" s="33"/>
      <c r="K26" s="685" t="s">
        <v>1323</v>
      </c>
    </row>
    <row r="27" spans="1:13" ht="15" customHeight="1">
      <c r="A27" s="692" t="s">
        <v>1477</v>
      </c>
      <c r="B27" s="680" t="s">
        <v>839</v>
      </c>
      <c r="C27" s="681" t="s">
        <v>1323</v>
      </c>
      <c r="D27" s="681" t="s">
        <v>32</v>
      </c>
      <c r="E27" s="682" t="s">
        <v>303</v>
      </c>
      <c r="F27" s="683"/>
      <c r="G27" s="684" t="str">
        <f>+VLOOKUP([1]Data_Validation!$A115,[1]BV_Data_An_Cour!$L:$Q,6,0)</f>
        <v>3-Passifs</v>
      </c>
      <c r="H27" s="33"/>
      <c r="K27" s="685" t="s">
        <v>196</v>
      </c>
    </row>
    <row r="28" spans="1:13" ht="15" customHeight="1">
      <c r="A28" s="689" t="s">
        <v>3348</v>
      </c>
      <c r="B28" s="689" t="s">
        <v>1347</v>
      </c>
      <c r="C28" s="681" t="s">
        <v>1323</v>
      </c>
      <c r="D28" s="681" t="s">
        <v>42</v>
      </c>
      <c r="E28" s="682" t="s">
        <v>303</v>
      </c>
      <c r="F28" s="683"/>
      <c r="G28" s="682" t="str">
        <f>+VLOOKUP([1]Data_Validation!$A116,[1]BV_Data_An_Cour!$L:$Q,6,0)</f>
        <v>1-Mémo</v>
      </c>
      <c r="H28" s="33"/>
      <c r="K28" s="685" t="s">
        <v>98</v>
      </c>
    </row>
    <row r="29" spans="1:13" ht="15" customHeight="1">
      <c r="A29" s="689" t="s">
        <v>3369</v>
      </c>
      <c r="B29" s="689" t="s">
        <v>1347</v>
      </c>
      <c r="C29" s="681" t="s">
        <v>1323</v>
      </c>
      <c r="D29" s="681" t="s">
        <v>42</v>
      </c>
      <c r="E29" s="682" t="s">
        <v>303</v>
      </c>
      <c r="F29" s="683"/>
      <c r="G29" s="682" t="str">
        <f>+VLOOKUP([1]Data_Validation!$A117,[1]BV_Data_An_Cour!$L:$Q,6,0)</f>
        <v>3-Passifs</v>
      </c>
      <c r="H29" s="33"/>
      <c r="K29" s="685" t="s">
        <v>84</v>
      </c>
    </row>
    <row r="30" spans="1:13" ht="15" customHeight="1">
      <c r="A30" s="692" t="s">
        <v>1480</v>
      </c>
      <c r="B30" s="680" t="s">
        <v>1348</v>
      </c>
      <c r="C30" s="681" t="s">
        <v>1323</v>
      </c>
      <c r="D30" s="681" t="s">
        <v>1346</v>
      </c>
      <c r="E30" s="682" t="s">
        <v>303</v>
      </c>
      <c r="F30" s="683"/>
      <c r="G30" s="682" t="str">
        <f>+VLOOKUP([1]Data_Validation!$A118,[1]BV_Data_An_Cour!$L:$Q,6,0)</f>
        <v>3-Passifs</v>
      </c>
      <c r="H30" s="33"/>
      <c r="K30" s="685" t="str">
        <f>Print_Mois!C94</f>
        <v>Certifié</v>
      </c>
    </row>
    <row r="31" spans="1:13" ht="15" customHeight="1">
      <c r="A31" s="692" t="s">
        <v>1431</v>
      </c>
      <c r="B31" s="680" t="s">
        <v>1349</v>
      </c>
      <c r="C31" s="681" t="s">
        <v>1323</v>
      </c>
      <c r="D31" s="681" t="s">
        <v>35</v>
      </c>
      <c r="E31" s="682" t="s">
        <v>303</v>
      </c>
      <c r="F31" s="683"/>
      <c r="G31" s="682" t="str">
        <f>+VLOOKUP([1]Data_Validation!$A119,[1]BV_Data_An_Cour!$L:$Q,6,0)</f>
        <v>3-Passifs</v>
      </c>
      <c r="H31" s="33"/>
      <c r="K31" s="685" t="str">
        <f>Print_Mois!V458</f>
        <v>Chauffage, éclairage</v>
      </c>
    </row>
    <row r="32" spans="1:13" ht="15" customHeight="1">
      <c r="A32" s="692" t="s">
        <v>841</v>
      </c>
      <c r="B32" s="680" t="s">
        <v>840</v>
      </c>
      <c r="C32" s="681" t="s">
        <v>1323</v>
      </c>
      <c r="D32" s="681" t="s">
        <v>34</v>
      </c>
      <c r="E32" s="682" t="s">
        <v>303</v>
      </c>
      <c r="F32" s="683"/>
      <c r="G32" s="684" t="str">
        <f>+VLOOKUP([1]Data_Validation!$A120,[1]BV_Data_An_Cour!$L:$Q,6,0)</f>
        <v>3-Passifs</v>
      </c>
      <c r="H32" s="33"/>
      <c r="K32" s="685" t="str">
        <f>Print_Mois!C32</f>
        <v>Comm. F&amp;I</v>
      </c>
    </row>
    <row r="33" spans="1:11" ht="15" customHeight="1">
      <c r="A33" s="692" t="s">
        <v>843</v>
      </c>
      <c r="B33" s="680" t="s">
        <v>842</v>
      </c>
      <c r="C33" s="681" t="s">
        <v>1323</v>
      </c>
      <c r="D33" s="681" t="s">
        <v>46</v>
      </c>
      <c r="E33" s="682" t="s">
        <v>303</v>
      </c>
      <c r="F33" s="683"/>
      <c r="G33" s="684" t="str">
        <f>+VLOOKUP([1]Data_Validation!$A121,[1]BV_Data_An_Cour!$L:$Q,6,0)</f>
        <v>3-Passifs</v>
      </c>
      <c r="H33" s="33"/>
      <c r="K33" s="685" t="str">
        <f>Print_Mois!C31</f>
        <v>Comm. vendeurs</v>
      </c>
    </row>
    <row r="34" spans="1:11" ht="15" customHeight="1">
      <c r="A34" s="692" t="s">
        <v>845</v>
      </c>
      <c r="B34" s="680" t="s">
        <v>844</v>
      </c>
      <c r="C34" s="681" t="s">
        <v>1323</v>
      </c>
      <c r="D34" s="681"/>
      <c r="E34" s="688" t="s">
        <v>341</v>
      </c>
      <c r="F34" s="683"/>
      <c r="G34" s="684" t="str">
        <f>+VLOOKUP([1]Data_Validation!$A545,[1]BV_Data_An_Cour!$L:$Q,6,0)</f>
        <v>7-Dépenses</v>
      </c>
      <c r="H34" s="33"/>
      <c r="K34" s="685" t="s">
        <v>33</v>
      </c>
    </row>
    <row r="35" spans="1:11" ht="15" customHeight="1">
      <c r="A35" s="692" t="s">
        <v>1489</v>
      </c>
      <c r="B35" s="680" t="s">
        <v>846</v>
      </c>
      <c r="C35" s="681" t="s">
        <v>1323</v>
      </c>
      <c r="D35" s="681" t="s">
        <v>46</v>
      </c>
      <c r="E35" s="682" t="s">
        <v>303</v>
      </c>
      <c r="F35" s="683"/>
      <c r="G35" s="684" t="str">
        <f>+VLOOKUP([1]Data_Validation!$A122,[1]BV_Data_An_Cour!$L:$Q,6,0)</f>
        <v>3-Passifs</v>
      </c>
      <c r="H35" s="33"/>
      <c r="K35" s="685" t="s">
        <v>1332</v>
      </c>
    </row>
    <row r="36" spans="1:11" ht="15" customHeight="1">
      <c r="A36" s="692" t="s">
        <v>848</v>
      </c>
      <c r="B36" s="680" t="s">
        <v>847</v>
      </c>
      <c r="C36" s="681" t="s">
        <v>1323</v>
      </c>
      <c r="D36" s="681" t="s">
        <v>48</v>
      </c>
      <c r="E36" s="682" t="s">
        <v>303</v>
      </c>
      <c r="F36" s="683"/>
      <c r="G36" s="684" t="str">
        <f>+VLOOKUP([1]Data_Validation!$A123,[1]BV_Data_An_Cour!$L:$Q,6,0)</f>
        <v>3-Passifs</v>
      </c>
      <c r="H36" s="33"/>
      <c r="K36" s="685" t="s">
        <v>1333</v>
      </c>
    </row>
    <row r="37" spans="1:11" ht="15" customHeight="1">
      <c r="A37" s="692" t="s">
        <v>850</v>
      </c>
      <c r="B37" s="680" t="s">
        <v>849</v>
      </c>
      <c r="C37" s="681" t="s">
        <v>1323</v>
      </c>
      <c r="D37" s="681" t="s">
        <v>48</v>
      </c>
      <c r="E37" s="682" t="s">
        <v>303</v>
      </c>
      <c r="F37" s="683"/>
      <c r="G37" s="684" t="str">
        <f>+VLOOKUP([1]Data_Validation!$A124,[1]BV_Data_An_Cour!$L:$Q,6,0)</f>
        <v>1-Mémo</v>
      </c>
      <c r="H37" s="33"/>
      <c r="K37" s="685" t="str">
        <f>Print_Mois!V431</f>
        <v>Csst</v>
      </c>
    </row>
    <row r="38" spans="1:11" ht="15" customHeight="1">
      <c r="A38" s="692" t="s">
        <v>852</v>
      </c>
      <c r="B38" s="680" t="s">
        <v>851</v>
      </c>
      <c r="C38" s="681" t="s">
        <v>1323</v>
      </c>
      <c r="D38" s="681"/>
      <c r="E38" s="688" t="s">
        <v>341</v>
      </c>
      <c r="F38" s="683"/>
      <c r="G38" s="684" t="str">
        <f>+VLOOKUP([1]Data_Validation!$A546,[1]BV_Data_An_Cour!$L:$Q,6,0)</f>
        <v>7-Dépenses</v>
      </c>
      <c r="H38" s="33"/>
      <c r="K38" s="685" t="s">
        <v>55</v>
      </c>
    </row>
    <row r="39" spans="1:11" ht="15" customHeight="1">
      <c r="A39" s="692" t="s">
        <v>1432</v>
      </c>
      <c r="B39" s="680" t="s">
        <v>1351</v>
      </c>
      <c r="C39" s="681" t="s">
        <v>1323</v>
      </c>
      <c r="D39" s="681" t="s">
        <v>48</v>
      </c>
      <c r="E39" s="682" t="s">
        <v>303</v>
      </c>
      <c r="F39" s="683"/>
      <c r="G39" s="682" t="str">
        <f>+VLOOKUP([1]Data_Validation!$A125,[1]BV_Data_An_Cour!$L:$Q,6,0)</f>
        <v>3-Passifs</v>
      </c>
      <c r="H39" s="33"/>
      <c r="K39" s="685" t="str">
        <f>Print_Mois!V429</f>
        <v>Déduction à la source</v>
      </c>
    </row>
    <row r="40" spans="1:11" ht="15" customHeight="1">
      <c r="A40" s="1023" t="s">
        <v>1408</v>
      </c>
      <c r="B40" s="680" t="s">
        <v>1409</v>
      </c>
      <c r="C40" s="681"/>
      <c r="D40" s="681"/>
      <c r="E40" s="682"/>
      <c r="F40" s="683"/>
      <c r="G40" s="682" t="str">
        <f>+VLOOKUP([1]Data_Validation!$A547,[1]BV_Data_An_Cour!$L:$Q,6,0)</f>
        <v>7-Dépenses</v>
      </c>
      <c r="H40" s="33"/>
      <c r="K40" s="685" t="s">
        <v>39</v>
      </c>
    </row>
    <row r="41" spans="1:11" ht="15" customHeight="1">
      <c r="A41" s="692" t="s">
        <v>854</v>
      </c>
      <c r="B41" s="680" t="s">
        <v>853</v>
      </c>
      <c r="C41" s="681" t="s">
        <v>1323</v>
      </c>
      <c r="D41" s="681" t="s">
        <v>46</v>
      </c>
      <c r="E41" s="682" t="s">
        <v>303</v>
      </c>
      <c r="F41" s="683"/>
      <c r="G41" s="684" t="str">
        <f>+VLOOKUP([1]Data_Validation!$A126,[1]BV_Data_An_Cour!$L:$Q,6,0)</f>
        <v>3-Passifs</v>
      </c>
      <c r="H41" s="33"/>
      <c r="K41" s="685" t="s">
        <v>71</v>
      </c>
    </row>
    <row r="42" spans="1:11" ht="15" customHeight="1">
      <c r="A42" s="692" t="s">
        <v>3370</v>
      </c>
      <c r="B42" s="680" t="s">
        <v>855</v>
      </c>
      <c r="C42" s="681" t="s">
        <v>1323</v>
      </c>
      <c r="D42" s="681" t="s">
        <v>46</v>
      </c>
      <c r="E42" s="682" t="s">
        <v>303</v>
      </c>
      <c r="F42" s="683"/>
      <c r="G42" s="684" t="str">
        <f>+VLOOKUP([1]Data_Validation!$A127,[1]BV_Data_An_Cour!$L:$Q,6,0)</f>
        <v>3-Passifs</v>
      </c>
      <c r="H42" s="33"/>
      <c r="K42" s="685" t="str">
        <f>Print_Mois!V446</f>
        <v>Divers</v>
      </c>
    </row>
    <row r="43" spans="1:11" ht="15" customHeight="1">
      <c r="A43" s="692" t="s">
        <v>858</v>
      </c>
      <c r="B43" s="680" t="s">
        <v>857</v>
      </c>
      <c r="C43" s="681" t="s">
        <v>1323</v>
      </c>
      <c r="D43" s="681" t="s">
        <v>50</v>
      </c>
      <c r="E43" s="682" t="s">
        <v>303</v>
      </c>
      <c r="F43" s="683"/>
      <c r="G43" s="684" t="str">
        <f>+VLOOKUP([1]Data_Validation!$A128,[1]BV_Data_An_Cour!$L:$Q,6,0)</f>
        <v>1-Mémo</v>
      </c>
      <c r="H43" s="33"/>
      <c r="K43" s="685" t="s">
        <v>87</v>
      </c>
    </row>
    <row r="44" spans="1:11" ht="15" customHeight="1">
      <c r="A44" s="692" t="s">
        <v>3371</v>
      </c>
      <c r="B44" s="680" t="s">
        <v>859</v>
      </c>
      <c r="C44" s="681" t="s">
        <v>1323</v>
      </c>
      <c r="D44" s="681" t="s">
        <v>50</v>
      </c>
      <c r="E44" s="682" t="s">
        <v>303</v>
      </c>
      <c r="F44" s="683"/>
      <c r="G44" s="684" t="str">
        <f>+VLOOKUP([1]Data_Validation!$A129,[1]BV_Data_An_Cour!$L:$Q,6,0)</f>
        <v>3-Passifs</v>
      </c>
      <c r="H44" s="33"/>
      <c r="K44" s="685" t="s">
        <v>214</v>
      </c>
    </row>
    <row r="45" spans="1:11" ht="15" customHeight="1">
      <c r="A45" s="692" t="s">
        <v>1500</v>
      </c>
      <c r="B45" s="680" t="s">
        <v>860</v>
      </c>
      <c r="C45" s="681" t="s">
        <v>1323</v>
      </c>
      <c r="D45" s="681" t="s">
        <v>50</v>
      </c>
      <c r="E45" s="682" t="s">
        <v>303</v>
      </c>
      <c r="F45" s="683"/>
      <c r="G45" s="684" t="str">
        <f>+VLOOKUP([1]Data_Validation!$A130,[1]BV_Data_An_Cour!$L:$Q,6,0)</f>
        <v>3-Passifs</v>
      </c>
      <c r="H45" s="33"/>
      <c r="K45" s="685" t="s">
        <v>47</v>
      </c>
    </row>
    <row r="46" spans="1:11" ht="15" customHeight="1">
      <c r="A46" s="692" t="s">
        <v>862</v>
      </c>
      <c r="B46" s="680" t="s">
        <v>861</v>
      </c>
      <c r="C46" s="681" t="s">
        <v>1323</v>
      </c>
      <c r="D46" s="681" t="s">
        <v>50</v>
      </c>
      <c r="E46" s="682" t="s">
        <v>303</v>
      </c>
      <c r="F46" s="683"/>
      <c r="G46" s="684" t="str">
        <f>+VLOOKUP([1]Data_Validation!$A131,[1]BV_Data_An_Cour!$L:$Q,6,0)</f>
        <v>3-Passifs</v>
      </c>
      <c r="H46" s="33"/>
      <c r="K46" s="685" t="s">
        <v>49</v>
      </c>
    </row>
    <row r="47" spans="1:11" ht="15" customHeight="1">
      <c r="A47" s="692" t="s">
        <v>864</v>
      </c>
      <c r="B47" s="680" t="s">
        <v>863</v>
      </c>
      <c r="C47" s="681" t="s">
        <v>1323</v>
      </c>
      <c r="D47" s="681" t="s">
        <v>56</v>
      </c>
      <c r="E47" s="682" t="s">
        <v>303</v>
      </c>
      <c r="F47" s="683"/>
      <c r="G47" s="684" t="str">
        <f>+VLOOKUP([1]Data_Validation!$A132,[1]BV_Data_An_Cour!$L:$Q,6,0)</f>
        <v>1-Mémo</v>
      </c>
      <c r="H47" s="33"/>
      <c r="K47" s="685" t="s">
        <v>25</v>
      </c>
    </row>
    <row r="48" spans="1:11" ht="15" customHeight="1">
      <c r="A48" s="692" t="s">
        <v>1507</v>
      </c>
      <c r="B48" s="680" t="s">
        <v>865</v>
      </c>
      <c r="C48" s="681" t="s">
        <v>1323</v>
      </c>
      <c r="D48" s="681" t="s">
        <v>58</v>
      </c>
      <c r="E48" s="682" t="s">
        <v>303</v>
      </c>
      <c r="F48" s="683"/>
      <c r="G48" s="684" t="str">
        <f>+VLOOKUP([1]Data_Validation!$A133,[1]BV_Data_An_Cour!$L:$Q,6,0)</f>
        <v>1-Mémo</v>
      </c>
      <c r="H48" s="33"/>
      <c r="K48" s="685" t="s">
        <v>79</v>
      </c>
    </row>
    <row r="49" spans="1:11" ht="15" customHeight="1">
      <c r="A49" s="692" t="s">
        <v>1510</v>
      </c>
      <c r="B49" s="680" t="s">
        <v>866</v>
      </c>
      <c r="C49" s="681" t="s">
        <v>1323</v>
      </c>
      <c r="D49" s="681" t="s">
        <v>50</v>
      </c>
      <c r="E49" s="682" t="s">
        <v>303</v>
      </c>
      <c r="F49" s="683"/>
      <c r="G49" s="684" t="str">
        <f>+VLOOKUP([1]Data_Validation!$A134,[1]BV_Data_An_Cour!$L:$Q,6,0)</f>
        <v>3-Passifs</v>
      </c>
      <c r="H49" s="33"/>
      <c r="K49" s="685" t="str">
        <f>Print_Mois!C35</f>
        <v>Entretien stock</v>
      </c>
    </row>
    <row r="50" spans="1:11" ht="15" customHeight="1">
      <c r="A50" s="692" t="s">
        <v>3372</v>
      </c>
      <c r="B50" s="680" t="s">
        <v>1352</v>
      </c>
      <c r="C50" s="681" t="s">
        <v>1323</v>
      </c>
      <c r="D50" s="681" t="s">
        <v>50</v>
      </c>
      <c r="E50" s="682" t="s">
        <v>303</v>
      </c>
      <c r="F50" s="683"/>
      <c r="G50" s="682" t="str">
        <f>+VLOOKUP([1]Data_Validation!$A135,[1]BV_Data_An_Cour!$L:$Q,6,0)</f>
        <v>1-Mémo</v>
      </c>
      <c r="H50" s="33"/>
      <c r="K50" s="685" t="s">
        <v>76</v>
      </c>
    </row>
    <row r="51" spans="1:11" ht="15" customHeight="1">
      <c r="A51" s="692" t="s">
        <v>868</v>
      </c>
      <c r="B51" s="680" t="s">
        <v>867</v>
      </c>
      <c r="C51" s="681" t="s">
        <v>1323</v>
      </c>
      <c r="D51" s="681" t="s">
        <v>50</v>
      </c>
      <c r="E51" s="682" t="s">
        <v>303</v>
      </c>
      <c r="F51" s="683"/>
      <c r="G51" s="684" t="str">
        <f>+VLOOKUP([1]Data_Validation!$A136,[1]BV_Data_An_Cour!$L:$Q,6,0)</f>
        <v>1-Mémo</v>
      </c>
      <c r="H51" s="33"/>
      <c r="K51" s="685"/>
    </row>
    <row r="52" spans="1:11" ht="15" customHeight="1">
      <c r="A52" s="692" t="s">
        <v>1515</v>
      </c>
      <c r="B52" s="680" t="s">
        <v>869</v>
      </c>
      <c r="C52" s="681" t="s">
        <v>1323</v>
      </c>
      <c r="D52" s="681" t="s">
        <v>60</v>
      </c>
      <c r="E52" s="682" t="s">
        <v>303</v>
      </c>
      <c r="F52" s="683"/>
      <c r="G52" s="684" t="str">
        <f>+VLOOKUP([1]Data_Validation!$A137,[1]BV_Data_An_Cour!$L:$Q,6,0)</f>
        <v>1-Mémo</v>
      </c>
      <c r="H52" s="33"/>
      <c r="K52" s="685" t="s">
        <v>74</v>
      </c>
    </row>
    <row r="53" spans="1:11" ht="15" customHeight="1">
      <c r="A53" s="692" t="s">
        <v>1518</v>
      </c>
      <c r="B53" s="680" t="s">
        <v>871</v>
      </c>
      <c r="C53" s="681" t="s">
        <v>1323</v>
      </c>
      <c r="D53" s="681" t="s">
        <v>60</v>
      </c>
      <c r="E53" s="682" t="s">
        <v>303</v>
      </c>
      <c r="F53" s="683"/>
      <c r="G53" s="684" t="str">
        <f>+VLOOKUP([1]Data_Validation!$A138,[1]BV_Data_An_Cour!$L:$Q,6,0)</f>
        <v>1-Mémo</v>
      </c>
      <c r="H53" s="33"/>
      <c r="K53" s="685" t="s">
        <v>77</v>
      </c>
    </row>
    <row r="54" spans="1:11" ht="15" customHeight="1">
      <c r="A54" s="680" t="s">
        <v>1521</v>
      </c>
      <c r="B54" s="690" t="s">
        <v>872</v>
      </c>
      <c r="C54" s="681" t="s">
        <v>1323</v>
      </c>
      <c r="D54" s="681" t="s">
        <v>60</v>
      </c>
      <c r="E54" s="682" t="s">
        <v>303</v>
      </c>
      <c r="F54" s="683"/>
      <c r="G54" s="684" t="str">
        <f>+VLOOKUP([1]Data_Validation!$A139,[1]BV_Data_An_Cour!$L:$Q,6,0)</f>
        <v>3-Passifs</v>
      </c>
      <c r="H54" s="33"/>
      <c r="K54" s="685" t="str">
        <f>Print_Mois!C302</f>
        <v>Escomptes</v>
      </c>
    </row>
    <row r="55" spans="1:11" ht="15" customHeight="1">
      <c r="A55" s="680" t="s">
        <v>1524</v>
      </c>
      <c r="B55" s="690" t="s">
        <v>1353</v>
      </c>
      <c r="C55" s="681" t="s">
        <v>1323</v>
      </c>
      <c r="D55" s="681" t="s">
        <v>60</v>
      </c>
      <c r="E55" s="682" t="s">
        <v>303</v>
      </c>
      <c r="F55" s="683"/>
      <c r="G55" s="682" t="str">
        <f>+VLOOKUP([1]Data_Validation!$A140,[1]BV_Data_An_Cour!$L:$Q,6,0)</f>
        <v>3-Passifs</v>
      </c>
      <c r="H55" s="33"/>
      <c r="K55" s="685" t="str">
        <f>Print_Mois!C15</f>
        <v>Ex-Démos et courtoisies</v>
      </c>
    </row>
    <row r="56" spans="1:11" ht="15" customHeight="1">
      <c r="A56" s="680" t="s">
        <v>1527</v>
      </c>
      <c r="B56" s="690" t="s">
        <v>873</v>
      </c>
      <c r="C56" s="681" t="s">
        <v>1323</v>
      </c>
      <c r="D56" s="681" t="s">
        <v>60</v>
      </c>
      <c r="E56" s="682" t="s">
        <v>303</v>
      </c>
      <c r="F56" s="683"/>
      <c r="G56" s="684" t="str">
        <f>+VLOOKUP([1]Data_Validation!$A141,[1]BV_Data_An_Cour!$L:$Q,6,0)</f>
        <v>3-Passifs</v>
      </c>
      <c r="H56" s="33"/>
      <c r="K56" s="685" t="str">
        <f>Print_Mois!C17</f>
        <v>Flottes</v>
      </c>
    </row>
    <row r="57" spans="1:11" ht="15" customHeight="1">
      <c r="A57" s="692" t="s">
        <v>1530</v>
      </c>
      <c r="B57" s="680" t="s">
        <v>874</v>
      </c>
      <c r="C57" s="681" t="s">
        <v>1323</v>
      </c>
      <c r="D57" s="681" t="s">
        <v>60</v>
      </c>
      <c r="E57" s="682" t="s">
        <v>303</v>
      </c>
      <c r="F57" s="683"/>
      <c r="G57" s="684" t="e">
        <f>+VLOOKUP([1]Data_Validation!$A142,[1]BV_Data_An_Cour!$L:$Q,6,0)</f>
        <v>#N/A</v>
      </c>
      <c r="H57" s="33"/>
      <c r="K57" s="685" t="s">
        <v>1334</v>
      </c>
    </row>
    <row r="58" spans="1:11" ht="15" customHeight="1">
      <c r="A58" s="692" t="s">
        <v>1533</v>
      </c>
      <c r="B58" s="680" t="s">
        <v>1354</v>
      </c>
      <c r="C58" s="681" t="s">
        <v>1323</v>
      </c>
      <c r="D58" s="681" t="s">
        <v>60</v>
      </c>
      <c r="E58" s="682" t="s">
        <v>303</v>
      </c>
      <c r="F58" s="683"/>
      <c r="G58" s="682" t="e">
        <f>+VLOOKUP([1]Data_Validation!$A143,[1]BV_Data_An_Cour!$L:$Q,6,0)</f>
        <v>#N/A</v>
      </c>
      <c r="H58" s="33"/>
      <c r="K58" s="685" t="str">
        <f>Print_Mois!V447</f>
        <v>Formation</v>
      </c>
    </row>
    <row r="59" spans="1:11" ht="15" customHeight="1">
      <c r="A59" s="692" t="s">
        <v>3373</v>
      </c>
      <c r="B59" s="680" t="s">
        <v>1355</v>
      </c>
      <c r="C59" s="681" t="s">
        <v>1323</v>
      </c>
      <c r="D59" s="681" t="s">
        <v>60</v>
      </c>
      <c r="E59" s="682" t="s">
        <v>303</v>
      </c>
      <c r="F59" s="683"/>
      <c r="G59" s="682" t="str">
        <f>+VLOOKUP([1]Data_Validation!$A144,[1]BV_Data_An_Cour!$L:$Q,6,0)</f>
        <v>3-Passifs</v>
      </c>
      <c r="H59" s="33"/>
      <c r="K59" s="685" t="str">
        <f>Print_Mois!V441</f>
        <v>Fournitures autres</v>
      </c>
    </row>
    <row r="60" spans="1:11" ht="15" customHeight="1">
      <c r="A60" s="692" t="s">
        <v>1536</v>
      </c>
      <c r="B60" s="680" t="s">
        <v>1356</v>
      </c>
      <c r="C60" s="681" t="s">
        <v>1323</v>
      </c>
      <c r="D60" s="681" t="s">
        <v>57</v>
      </c>
      <c r="E60" s="682" t="s">
        <v>303</v>
      </c>
      <c r="F60" s="683"/>
      <c r="G60" s="682" t="str">
        <f>+VLOOKUP([1]Data_Validation!$A145,[1]BV_Data_An_Cour!$L:$Q,6,0)</f>
        <v>3-Passifs</v>
      </c>
      <c r="H60" s="33"/>
      <c r="K60" s="685" t="s">
        <v>490</v>
      </c>
    </row>
    <row r="61" spans="1:11" ht="15" customHeight="1">
      <c r="A61" s="692" t="s">
        <v>1539</v>
      </c>
      <c r="B61" s="680" t="s">
        <v>1357</v>
      </c>
      <c r="C61" s="681" t="s">
        <v>1323</v>
      </c>
      <c r="D61" s="681" t="s">
        <v>60</v>
      </c>
      <c r="E61" s="682" t="s">
        <v>303</v>
      </c>
      <c r="F61" s="683"/>
      <c r="G61" s="682" t="str">
        <f>+VLOOKUP([1]Data_Validation!$A146,[1]BV_Data_An_Cour!$L:$Q,6,0)</f>
        <v>1-Mémo</v>
      </c>
      <c r="H61" s="33"/>
      <c r="K61" s="685" t="str">
        <f>Print_Mois!V480</f>
        <v>Frais administration</v>
      </c>
    </row>
    <row r="62" spans="1:11" ht="15" customHeight="1">
      <c r="A62" s="692" t="s">
        <v>1542</v>
      </c>
      <c r="B62" s="680" t="s">
        <v>875</v>
      </c>
      <c r="C62" s="681" t="s">
        <v>1323</v>
      </c>
      <c r="D62" s="681" t="s">
        <v>60</v>
      </c>
      <c r="E62" s="682" t="s">
        <v>303</v>
      </c>
      <c r="F62" s="683"/>
      <c r="G62" s="684" t="str">
        <f>+VLOOKUP([1]Data_Validation!$A147,[1]BV_Data_An_Cour!$L:$Q,6,0)</f>
        <v>3-Passifs</v>
      </c>
      <c r="H62" s="33"/>
      <c r="K62" s="685" t="s">
        <v>142</v>
      </c>
    </row>
    <row r="63" spans="1:11" ht="15" customHeight="1">
      <c r="A63" s="692" t="s">
        <v>1545</v>
      </c>
      <c r="B63" s="680" t="s">
        <v>876</v>
      </c>
      <c r="C63" s="681" t="s">
        <v>1323</v>
      </c>
      <c r="D63" s="681" t="s">
        <v>60</v>
      </c>
      <c r="E63" s="682" t="s">
        <v>303</v>
      </c>
      <c r="F63" s="683"/>
      <c r="G63" s="684" t="str">
        <f>+VLOOKUP([1]Data_Validation!$A148,[1]BV_Data_An_Cour!$L:$Q,6,0)</f>
        <v>3-Passifs</v>
      </c>
      <c r="H63" s="33"/>
      <c r="K63" s="685"/>
    </row>
    <row r="64" spans="1:11" ht="15" customHeight="1">
      <c r="A64" s="692" t="s">
        <v>1548</v>
      </c>
      <c r="B64" s="680" t="s">
        <v>1358</v>
      </c>
      <c r="C64" s="681" t="s">
        <v>1323</v>
      </c>
      <c r="D64" s="681" t="s">
        <v>60</v>
      </c>
      <c r="E64" s="682" t="s">
        <v>303</v>
      </c>
      <c r="F64" s="683"/>
      <c r="G64" s="682" t="str">
        <f>+VLOOKUP([1]Data_Validation!$A149,[1]BV_Data_An_Cour!$L:$Q,6,0)</f>
        <v>1-Mémo</v>
      </c>
      <c r="H64" s="33"/>
      <c r="K64" s="685" t="str">
        <f>Print_Mois!V451</f>
        <v>[...]</v>
      </c>
    </row>
    <row r="65" spans="1:11" ht="15" customHeight="1">
      <c r="A65" s="692" t="s">
        <v>1551</v>
      </c>
      <c r="B65" s="680" t="s">
        <v>1359</v>
      </c>
      <c r="C65" s="681" t="s">
        <v>1323</v>
      </c>
      <c r="D65" s="681" t="s">
        <v>60</v>
      </c>
      <c r="E65" s="682" t="s">
        <v>303</v>
      </c>
      <c r="F65" s="683"/>
      <c r="G65" s="682" t="str">
        <f>+VLOOKUP([1]Data_Validation!$A150,[1]BV_Data_An_Cour!$L:$Q,6,0)</f>
        <v>1-Mémo</v>
      </c>
      <c r="H65" s="33"/>
      <c r="K65" s="685" t="str">
        <f>Print_Mois!V438</f>
        <v>Frais de déplacement</v>
      </c>
    </row>
    <row r="66" spans="1:11" ht="15" customHeight="1">
      <c r="A66" s="692" t="s">
        <v>1554</v>
      </c>
      <c r="B66" s="680" t="s">
        <v>877</v>
      </c>
      <c r="C66" s="681" t="s">
        <v>1323</v>
      </c>
      <c r="D66" s="681" t="s">
        <v>60</v>
      </c>
      <c r="E66" s="682" t="s">
        <v>303</v>
      </c>
      <c r="F66" s="683"/>
      <c r="G66" s="684" t="str">
        <f>+VLOOKUP([1]Data_Validation!$A151,[1]BV_Data_An_Cour!$L:$Q,6,0)</f>
        <v>1-Mémo</v>
      </c>
      <c r="H66" s="33"/>
      <c r="K66" s="685" t="str">
        <f>Print_Mois!C33</f>
        <v>Frais de livraison</v>
      </c>
    </row>
    <row r="67" spans="1:11" ht="15" customHeight="1">
      <c r="A67" s="692" t="s">
        <v>1557</v>
      </c>
      <c r="B67" s="680" t="s">
        <v>878</v>
      </c>
      <c r="C67" s="681" t="s">
        <v>1323</v>
      </c>
      <c r="D67" s="681" t="s">
        <v>57</v>
      </c>
      <c r="E67" s="682" t="s">
        <v>303</v>
      </c>
      <c r="F67" s="683"/>
      <c r="G67" s="684" t="e">
        <f>+VLOOKUP([1]Data_Validation!$A152,[1]BV_Data_An_Cour!$L:$Q,6,0)</f>
        <v>#N/A</v>
      </c>
      <c r="H67" s="33"/>
      <c r="K67" s="685" t="s">
        <v>1336</v>
      </c>
    </row>
    <row r="68" spans="1:11" ht="15" customHeight="1">
      <c r="A68" s="692" t="s">
        <v>1560</v>
      </c>
      <c r="B68" s="680" t="s">
        <v>879</v>
      </c>
      <c r="C68" s="681" t="s">
        <v>1323</v>
      </c>
      <c r="D68" s="681" t="s">
        <v>57</v>
      </c>
      <c r="E68" s="682" t="s">
        <v>303</v>
      </c>
      <c r="F68" s="683"/>
      <c r="G68" s="684" t="e">
        <f>+VLOOKUP([1]Data_Validation!$A153,[1]BV_Data_An_Cour!$L:$Q,6,0)</f>
        <v>#N/A</v>
      </c>
      <c r="H68" s="33"/>
      <c r="K68" s="685" t="s">
        <v>60</v>
      </c>
    </row>
    <row r="69" spans="1:11" ht="15" customHeight="1">
      <c r="A69" s="692" t="s">
        <v>1563</v>
      </c>
      <c r="B69" s="680" t="s">
        <v>880</v>
      </c>
      <c r="C69" s="681" t="s">
        <v>1323</v>
      </c>
      <c r="D69" s="681" t="s">
        <v>60</v>
      </c>
      <c r="E69" s="682" t="s">
        <v>303</v>
      </c>
      <c r="F69" s="683"/>
      <c r="G69" s="684" t="e">
        <f>+VLOOKUP([1]Data_Validation!$A154,[1]BV_Data_An_Cour!$L:$Q,6,0)</f>
        <v>#N/A</v>
      </c>
      <c r="H69" s="33"/>
      <c r="K69" s="685" t="str">
        <f>Print_Mois!V445</f>
        <v>Frais postaux</v>
      </c>
    </row>
    <row r="70" spans="1:11" ht="15" customHeight="1">
      <c r="A70" s="692" t="s">
        <v>3374</v>
      </c>
      <c r="B70" s="680" t="s">
        <v>881</v>
      </c>
      <c r="C70" s="681" t="s">
        <v>1323</v>
      </c>
      <c r="D70" s="681" t="s">
        <v>60</v>
      </c>
      <c r="E70" s="682" t="s">
        <v>303</v>
      </c>
      <c r="F70" s="683"/>
      <c r="G70" s="684" t="str">
        <f>+VLOOKUP([1]Data_Validation!$A155,[1]BV_Data_An_Cour!$L:$Q,6,0)</f>
        <v>1-Mémo</v>
      </c>
      <c r="H70" s="33"/>
      <c r="K70" s="685" t="s">
        <v>1338</v>
      </c>
    </row>
    <row r="71" spans="1:11" ht="15" customHeight="1">
      <c r="A71" s="692" t="s">
        <v>1566</v>
      </c>
      <c r="B71" s="680" t="s">
        <v>882</v>
      </c>
      <c r="C71" s="681" t="s">
        <v>1323</v>
      </c>
      <c r="D71" s="681" t="s">
        <v>60</v>
      </c>
      <c r="E71" s="682" t="s">
        <v>303</v>
      </c>
      <c r="F71" s="683"/>
      <c r="G71" s="684" t="str">
        <f>+VLOOKUP([1]Data_Validation!$A156,[1]BV_Data_An_Cour!$L:$Q,6,0)</f>
        <v>4-Valeur nette</v>
      </c>
      <c r="H71" s="33"/>
      <c r="K71" s="685" t="str">
        <f>Print_Mois!V436</f>
        <v>Frais véhicules de cie</v>
      </c>
    </row>
    <row r="72" spans="1:11" ht="15" customHeight="1">
      <c r="A72" s="692" t="s">
        <v>1569</v>
      </c>
      <c r="B72" s="680" t="s">
        <v>1360</v>
      </c>
      <c r="C72" s="681" t="s">
        <v>1323</v>
      </c>
      <c r="D72" s="681" t="s">
        <v>60</v>
      </c>
      <c r="E72" s="682" t="s">
        <v>303</v>
      </c>
      <c r="F72" s="683"/>
      <c r="G72" s="682" t="str">
        <f>+VLOOKUP([1]Data_Validation!$A157,[1]BV_Data_An_Cour!$L:$Q,6,0)</f>
        <v>4-Valeur nette</v>
      </c>
      <c r="H72" s="33"/>
      <c r="K72" s="685" t="s">
        <v>1339</v>
      </c>
    </row>
    <row r="73" spans="1:11" ht="15" customHeight="1">
      <c r="A73" s="692" t="s">
        <v>1572</v>
      </c>
      <c r="B73" s="680" t="s">
        <v>883</v>
      </c>
      <c r="C73" s="681" t="s">
        <v>1323</v>
      </c>
      <c r="D73" s="681" t="s">
        <v>60</v>
      </c>
      <c r="E73" s="682" t="s">
        <v>303</v>
      </c>
      <c r="F73" s="683"/>
      <c r="G73" s="684" t="str">
        <f>+VLOOKUP([1]Data_Validation!$A158,[1]BV_Data_An_Cour!$L:$Q,6,0)</f>
        <v>4-Valeur nette</v>
      </c>
      <c r="H73" s="33"/>
      <c r="K73" s="685" t="str">
        <f>Print_Mois!V470</f>
        <v>Holdbacks</v>
      </c>
    </row>
    <row r="74" spans="1:11" ht="15" customHeight="1">
      <c r="A74" s="692" t="s">
        <v>3375</v>
      </c>
      <c r="B74" s="680" t="s">
        <v>884</v>
      </c>
      <c r="C74" s="681" t="s">
        <v>1323</v>
      </c>
      <c r="D74" s="681" t="s">
        <v>60</v>
      </c>
      <c r="E74" s="682" t="s">
        <v>303</v>
      </c>
      <c r="F74" s="683"/>
      <c r="G74" s="684" t="str">
        <f>+VLOOKUP([1]Data_Validation!$A159,[1]BV_Data_An_Cour!$L:$Q,6,0)</f>
        <v>1-Mémo</v>
      </c>
      <c r="H74" s="33"/>
      <c r="K74" s="685" t="str">
        <f>Print_Mois!V459</f>
        <v>Honoraires</v>
      </c>
    </row>
    <row r="75" spans="1:11" ht="15" customHeight="1">
      <c r="A75" s="692" t="s">
        <v>1575</v>
      </c>
      <c r="B75" s="680" t="s">
        <v>885</v>
      </c>
      <c r="C75" s="681" t="s">
        <v>1323</v>
      </c>
      <c r="D75" s="681" t="s">
        <v>60</v>
      </c>
      <c r="E75" s="682" t="s">
        <v>303</v>
      </c>
      <c r="F75" s="683"/>
      <c r="G75" s="684" t="str">
        <f>+VLOOKUP([1]Data_Validation!$A160,[1]BV_Data_An_Cour!$L:$Q,6,0)</f>
        <v>1-Mémo</v>
      </c>
      <c r="H75" s="33"/>
      <c r="K75" s="685" t="str">
        <f>Print_Mois!C308</f>
        <v>Huiles et Graisse</v>
      </c>
    </row>
    <row r="76" spans="1:11" ht="15" customHeight="1">
      <c r="A76" s="692" t="s">
        <v>1578</v>
      </c>
      <c r="B76" s="680" t="s">
        <v>1361</v>
      </c>
      <c r="C76" s="681" t="s">
        <v>1323</v>
      </c>
      <c r="D76" s="681" t="s">
        <v>60</v>
      </c>
      <c r="E76" s="682" t="s">
        <v>303</v>
      </c>
      <c r="F76" s="683"/>
      <c r="G76" s="682" t="str">
        <f>+VLOOKUP([1]Data_Validation!$A161,[1]BV_Data_An_Cour!$L:$Q,6,0)</f>
        <v>1-Mémo</v>
      </c>
      <c r="H76" s="33"/>
      <c r="K76" s="685" t="s">
        <v>69</v>
      </c>
    </row>
    <row r="77" spans="1:11" ht="15" customHeight="1">
      <c r="A77" s="692" t="s">
        <v>1581</v>
      </c>
      <c r="B77" s="680" t="s">
        <v>1362</v>
      </c>
      <c r="C77" s="681" t="s">
        <v>1323</v>
      </c>
      <c r="D77" s="681" t="s">
        <v>60</v>
      </c>
      <c r="E77" s="682" t="s">
        <v>303</v>
      </c>
      <c r="F77" s="683"/>
      <c r="G77" s="682" t="str">
        <f>+VLOOKUP([1]Data_Validation!$A162,[1]BV_Data_An_Cour!$L:$Q,6,0)</f>
        <v>1-Mémo</v>
      </c>
      <c r="H77" s="33"/>
      <c r="K77" s="685" t="s">
        <v>37</v>
      </c>
    </row>
    <row r="78" spans="1:11" ht="15" customHeight="1">
      <c r="A78" s="692" t="s">
        <v>1584</v>
      </c>
      <c r="B78" s="680" t="s">
        <v>1363</v>
      </c>
      <c r="C78" s="681" t="s">
        <v>1323</v>
      </c>
      <c r="D78" s="681" t="s">
        <v>60</v>
      </c>
      <c r="E78" s="682" t="s">
        <v>303</v>
      </c>
      <c r="F78" s="683"/>
      <c r="G78" s="682" t="str">
        <f>+VLOOKUP([1]Data_Validation!$A163,[1]BV_Data_An_Cour!$L:$Q,6,0)</f>
        <v>1-Mémo</v>
      </c>
      <c r="H78" s="33"/>
      <c r="K78" s="685" t="s">
        <v>65</v>
      </c>
    </row>
    <row r="79" spans="1:11" ht="15" customHeight="1">
      <c r="A79" s="692" t="s">
        <v>1587</v>
      </c>
      <c r="B79" s="680" t="s">
        <v>886</v>
      </c>
      <c r="C79" s="681" t="s">
        <v>1323</v>
      </c>
      <c r="D79" s="681" t="s">
        <v>70</v>
      </c>
      <c r="E79" s="682" t="s">
        <v>303</v>
      </c>
      <c r="F79" s="683"/>
      <c r="G79" s="684" t="str">
        <f>+VLOOKUP([1]Data_Validation!$A164,[1]BV_Data_An_Cour!$L:$Q,6,0)</f>
        <v>1-Mémo</v>
      </c>
      <c r="H79" s="33"/>
      <c r="K79" s="685" t="str">
        <f>Print_Mois!V437</f>
        <v>Informatique</v>
      </c>
    </row>
    <row r="80" spans="1:11" ht="15" customHeight="1">
      <c r="A80" s="692" t="s">
        <v>1590</v>
      </c>
      <c r="B80" s="680" t="s">
        <v>888</v>
      </c>
      <c r="C80" s="681" t="s">
        <v>1323</v>
      </c>
      <c r="D80" s="681" t="s">
        <v>70</v>
      </c>
      <c r="E80" s="682" t="s">
        <v>303</v>
      </c>
      <c r="F80" s="683"/>
      <c r="G80" s="684" t="str">
        <f>+VLOOKUP([1]Data_Validation!$A165,[1]BV_Data_An_Cour!$L:$Q,6,0)</f>
        <v>1-Mémo</v>
      </c>
      <c r="H80" s="33"/>
      <c r="K80" s="685" t="s">
        <v>177</v>
      </c>
    </row>
    <row r="81" spans="1:11" ht="15" customHeight="1">
      <c r="A81" s="692" t="s">
        <v>3376</v>
      </c>
      <c r="B81" s="680" t="s">
        <v>886</v>
      </c>
      <c r="C81" s="681" t="s">
        <v>1323</v>
      </c>
      <c r="D81" s="681" t="s">
        <v>70</v>
      </c>
      <c r="E81" s="682" t="s">
        <v>303</v>
      </c>
      <c r="F81" s="683"/>
      <c r="G81" s="684" t="str">
        <f>+VLOOKUP([1]Data_Validation!$A166,[1]BV_Data_An_Cour!$L:$Q,6,0)</f>
        <v>4-Valeur nette</v>
      </c>
      <c r="H81" s="33"/>
      <c r="K81" s="685" t="s">
        <v>117</v>
      </c>
    </row>
    <row r="82" spans="1:11" ht="15" customHeight="1">
      <c r="A82" s="1024" t="s">
        <v>3411</v>
      </c>
      <c r="B82" s="680" t="s">
        <v>3410</v>
      </c>
      <c r="C82" s="681" t="s">
        <v>1323</v>
      </c>
      <c r="D82" s="681" t="s">
        <v>70</v>
      </c>
      <c r="E82" s="682" t="s">
        <v>303</v>
      </c>
      <c r="F82" s="683"/>
      <c r="G82" s="684" t="str">
        <f>+VLOOKUP([1]Data_Validation!$A167,[1]BV_Data_An_Cour!$L:$Q,6,0)</f>
        <v>1-Mémo</v>
      </c>
      <c r="H82" s="33"/>
      <c r="K82" s="685" t="str">
        <f>Print_Mois!V492</f>
        <v>Intérêts sur marge</v>
      </c>
    </row>
    <row r="83" spans="1:11" ht="15" customHeight="1">
      <c r="A83" s="692" t="s">
        <v>1593</v>
      </c>
      <c r="B83" s="680" t="s">
        <v>889</v>
      </c>
      <c r="C83" s="681" t="s">
        <v>1323</v>
      </c>
      <c r="D83" s="681" t="s">
        <v>74</v>
      </c>
      <c r="E83" s="682" t="s">
        <v>303</v>
      </c>
      <c r="F83" s="683"/>
      <c r="G83" s="684" t="str">
        <f>+VLOOKUP([1]Data_Validation!$A168,[1]BV_Data_An_Cour!$L:$Q,6,0)</f>
        <v>1-Mémo</v>
      </c>
      <c r="H83" s="33"/>
      <c r="K83" s="685" t="str">
        <f>Print_Mois!V493</f>
        <v>Intérêts sur prêt</v>
      </c>
    </row>
    <row r="84" spans="1:11" ht="15" customHeight="1">
      <c r="A84" s="692" t="s">
        <v>1596</v>
      </c>
      <c r="B84" s="680" t="s">
        <v>890</v>
      </c>
      <c r="C84" s="681" t="s">
        <v>1323</v>
      </c>
      <c r="D84" s="681" t="s">
        <v>74</v>
      </c>
      <c r="E84" s="682" t="s">
        <v>303</v>
      </c>
      <c r="F84" s="683"/>
      <c r="G84" s="684" t="str">
        <f>+VLOOKUP([1]Data_Validation!$A169,[1]BV_Data_An_Cour!$L:$Q,6,0)</f>
        <v>1-Mémo</v>
      </c>
      <c r="H84" s="33"/>
      <c r="K84" s="685" t="s">
        <v>50</v>
      </c>
    </row>
    <row r="85" spans="1:11" ht="15" customHeight="1">
      <c r="A85" s="692" t="s">
        <v>1599</v>
      </c>
      <c r="B85" s="680" t="s">
        <v>891</v>
      </c>
      <c r="C85" s="681" t="s">
        <v>1323</v>
      </c>
      <c r="D85" s="681" t="s">
        <v>74</v>
      </c>
      <c r="E85" s="682" t="s">
        <v>303</v>
      </c>
      <c r="F85" s="683"/>
      <c r="G85" s="684" t="str">
        <f>+VLOOKUP([1]Data_Validation!$A170,[1]BV_Data_An_Cour!$L:$Q,6,0)</f>
        <v>1-Mémo</v>
      </c>
      <c r="H85" s="33"/>
      <c r="K85" s="685" t="s">
        <v>46</v>
      </c>
    </row>
    <row r="86" spans="1:11" ht="15" customHeight="1">
      <c r="A86" s="692" t="s">
        <v>1602</v>
      </c>
      <c r="B86" s="680" t="s">
        <v>892</v>
      </c>
      <c r="C86" s="681" t="s">
        <v>1323</v>
      </c>
      <c r="D86" s="681" t="s">
        <v>74</v>
      </c>
      <c r="E86" s="682" t="s">
        <v>303</v>
      </c>
      <c r="F86" s="683"/>
      <c r="G86" s="684" t="e">
        <f>+VLOOKUP([1]Data_Validation!$A171,[1]BV_Data_An_Cour!$L:$Q,6,0)</f>
        <v>#N/A</v>
      </c>
      <c r="H86" s="33"/>
      <c r="K86" s="685" t="s">
        <v>48</v>
      </c>
    </row>
    <row r="87" spans="1:11" ht="15" customHeight="1">
      <c r="A87" s="692" t="s">
        <v>1605</v>
      </c>
      <c r="B87" s="680" t="s">
        <v>1364</v>
      </c>
      <c r="C87" s="681" t="s">
        <v>1323</v>
      </c>
      <c r="D87" s="681" t="s">
        <v>77</v>
      </c>
      <c r="E87" s="682" t="s">
        <v>303</v>
      </c>
      <c r="F87" s="683"/>
      <c r="G87" s="682" t="str">
        <f>+VLOOKUP([1]Data_Validation!$A172,[1]BV_Data_An_Cour!$L:$Q,6,0)</f>
        <v>1-Mémo</v>
      </c>
      <c r="H87" s="33"/>
      <c r="K87" s="685" t="str">
        <f>Print_Mois!V461</f>
        <v>Location équipement</v>
      </c>
    </row>
    <row r="88" spans="1:11" ht="15" customHeight="1">
      <c r="A88" s="692" t="s">
        <v>1608</v>
      </c>
      <c r="B88" s="680" t="s">
        <v>1365</v>
      </c>
      <c r="C88" s="681" t="s">
        <v>1323</v>
      </c>
      <c r="D88" s="681" t="s">
        <v>77</v>
      </c>
      <c r="E88" s="682" t="s">
        <v>303</v>
      </c>
      <c r="F88" s="683"/>
      <c r="G88" s="682" t="str">
        <f>+VLOOKUP([1]Data_Validation!$A173,[1]BV_Data_An_Cour!$L:$Q,6,0)</f>
        <v>1-Mémo</v>
      </c>
      <c r="H88" s="33"/>
      <c r="K88" s="685" t="str">
        <f>Print_Mois!V453</f>
        <v>Loyer</v>
      </c>
    </row>
    <row r="89" spans="1:11" ht="15" customHeight="1">
      <c r="A89" s="692" t="s">
        <v>1611</v>
      </c>
      <c r="B89" s="680" t="s">
        <v>893</v>
      </c>
      <c r="C89" s="681" t="s">
        <v>1323</v>
      </c>
      <c r="D89" s="681" t="s">
        <v>75</v>
      </c>
      <c r="E89" s="682" t="s">
        <v>303</v>
      </c>
      <c r="F89" s="683"/>
      <c r="G89" s="684" t="e">
        <f>+VLOOKUP([1]Data_Validation!$A174,[1]BV_Data_An_Cour!$L:$Q,6,0)</f>
        <v>#N/A</v>
      </c>
      <c r="H89" s="33"/>
      <c r="K89" s="685" t="str">
        <f>Print_Mois!C244</f>
        <v>M/O Carrosserie</v>
      </c>
    </row>
    <row r="90" spans="1:11" ht="15" customHeight="1">
      <c r="A90" s="692" t="s">
        <v>1614</v>
      </c>
      <c r="B90" s="680" t="s">
        <v>894</v>
      </c>
      <c r="C90" s="681" t="s">
        <v>1323</v>
      </c>
      <c r="D90" s="681" t="s">
        <v>75</v>
      </c>
      <c r="E90" s="682" t="s">
        <v>303</v>
      </c>
      <c r="F90" s="683"/>
      <c r="G90" s="684" t="e">
        <f>+VLOOKUP([1]Data_Validation!$A175,[1]BV_Data_An_Cour!$L:$Q,6,0)</f>
        <v>#N/A</v>
      </c>
      <c r="H90" s="33"/>
      <c r="K90" s="685" t="str">
        <f>Print_Mois!C172</f>
        <v>M/O Client</v>
      </c>
    </row>
    <row r="91" spans="1:11" ht="15" customHeight="1">
      <c r="A91" s="692" t="s">
        <v>1617</v>
      </c>
      <c r="B91" s="680" t="s">
        <v>895</v>
      </c>
      <c r="C91" s="681" t="s">
        <v>1323</v>
      </c>
      <c r="D91" s="681" t="s">
        <v>74</v>
      </c>
      <c r="E91" s="682" t="s">
        <v>303</v>
      </c>
      <c r="F91" s="683"/>
      <c r="G91" s="684" t="e">
        <f>+VLOOKUP([1]Data_Validation!$A176,[1]BV_Data_An_Cour!$L:$Q,6,0)</f>
        <v>#N/A</v>
      </c>
      <c r="H91" s="33"/>
      <c r="K91" s="685" t="str">
        <f>Print_Mois!C181</f>
        <v>M/O Esthétique</v>
      </c>
    </row>
    <row r="92" spans="1:11" ht="15" customHeight="1">
      <c r="A92" s="692" t="s">
        <v>1620</v>
      </c>
      <c r="B92" s="680" t="s">
        <v>896</v>
      </c>
      <c r="C92" s="681" t="s">
        <v>1323</v>
      </c>
      <c r="D92" s="681" t="s">
        <v>74</v>
      </c>
      <c r="E92" s="682" t="s">
        <v>303</v>
      </c>
      <c r="F92" s="683"/>
      <c r="G92" s="684" t="e">
        <f>+VLOOKUP([1]Data_Validation!$A177,[1]BV_Data_An_Cour!$L:$Q,6,0)</f>
        <v>#N/A</v>
      </c>
      <c r="H92" s="33"/>
      <c r="K92" s="685" t="str">
        <f>+Print_Mois!C247</f>
        <v>M/O Esthétique Carr.</v>
      </c>
    </row>
    <row r="93" spans="1:11" ht="15" customHeight="1">
      <c r="A93" s="692" t="s">
        <v>1623</v>
      </c>
      <c r="B93" s="680" t="s">
        <v>897</v>
      </c>
      <c r="C93" s="681" t="s">
        <v>1323</v>
      </c>
      <c r="D93" s="681" t="s">
        <v>76</v>
      </c>
      <c r="E93" s="682" t="s">
        <v>303</v>
      </c>
      <c r="F93" s="683"/>
      <c r="G93" s="684" t="e">
        <f>+VLOOKUP([1]Data_Validation!$A178,[1]BV_Data_An_Cour!$L:$Q,6,0)</f>
        <v>#N/A</v>
      </c>
      <c r="H93" s="33"/>
      <c r="K93" s="685" t="str">
        <f>Print_Mois!C175</f>
        <v>M/O Garantie</v>
      </c>
    </row>
    <row r="94" spans="1:11" ht="15" customHeight="1">
      <c r="A94" s="692" t="s">
        <v>1626</v>
      </c>
      <c r="B94" s="680" t="s">
        <v>898</v>
      </c>
      <c r="C94" s="681" t="s">
        <v>1323</v>
      </c>
      <c r="D94" s="681" t="s">
        <v>76</v>
      </c>
      <c r="E94" s="682" t="s">
        <v>303</v>
      </c>
      <c r="F94" s="683"/>
      <c r="G94" s="684" t="e">
        <f>+VLOOKUP([1]Data_Validation!$A179,[1]BV_Data_An_Cour!$L:$Q,6,0)</f>
        <v>#N/A</v>
      </c>
      <c r="H94" s="33"/>
      <c r="K94" s="685" t="str">
        <f>Print_Mois!C178</f>
        <v>M/O Interne</v>
      </c>
    </row>
    <row r="95" spans="1:11" ht="15" customHeight="1">
      <c r="A95" s="692" t="s">
        <v>1629</v>
      </c>
      <c r="B95" s="680" t="s">
        <v>899</v>
      </c>
      <c r="C95" s="681" t="s">
        <v>1323</v>
      </c>
      <c r="D95" s="681" t="s">
        <v>79</v>
      </c>
      <c r="E95" s="682" t="s">
        <v>303</v>
      </c>
      <c r="F95" s="683"/>
      <c r="G95" s="684" t="e">
        <f>+VLOOKUP([1]Data_Validation!$A180,[1]BV_Data_An_Cour!$L:$Q,6,0)</f>
        <v>#N/A</v>
      </c>
      <c r="H95" s="33"/>
      <c r="K95" s="685" t="s">
        <v>26</v>
      </c>
    </row>
    <row r="96" spans="1:11" ht="15" customHeight="1">
      <c r="A96" s="692" t="s">
        <v>1632</v>
      </c>
      <c r="B96" s="680" t="s">
        <v>900</v>
      </c>
      <c r="C96" s="681" t="s">
        <v>1323</v>
      </c>
      <c r="D96" s="681" t="s">
        <v>79</v>
      </c>
      <c r="E96" s="682" t="s">
        <v>303</v>
      </c>
      <c r="F96" s="683"/>
      <c r="G96" s="684" t="e">
        <f>+VLOOKUP([1]Data_Validation!$A181,[1]BV_Data_An_Cour!$L:$Q,6,0)</f>
        <v>#N/A</v>
      </c>
      <c r="H96" s="33"/>
      <c r="K96" s="685" t="s">
        <v>1341</v>
      </c>
    </row>
    <row r="97" spans="1:11" ht="15" customHeight="1">
      <c r="A97" s="692" t="s">
        <v>901</v>
      </c>
      <c r="B97" s="680" t="s">
        <v>3323</v>
      </c>
      <c r="C97" s="681" t="s">
        <v>1323</v>
      </c>
      <c r="D97" s="681" t="s">
        <v>82</v>
      </c>
      <c r="E97" s="682" t="s">
        <v>303</v>
      </c>
      <c r="F97" s="683"/>
      <c r="G97" s="684" t="str">
        <f>+VLOOKUP([1]Data_Validation!$A182,[1]BV_Data_An_Cour!$L:$Q,6,0)</f>
        <v>5-Ventes</v>
      </c>
      <c r="H97" s="33"/>
      <c r="K97" s="685" t="s">
        <v>75</v>
      </c>
    </row>
    <row r="98" spans="1:11" ht="15" customHeight="1">
      <c r="A98" s="692" t="s">
        <v>3377</v>
      </c>
      <c r="B98" s="680" t="s">
        <v>3324</v>
      </c>
      <c r="C98" s="681" t="s">
        <v>1323</v>
      </c>
      <c r="D98" s="681" t="s">
        <v>82</v>
      </c>
      <c r="E98" s="682" t="s">
        <v>303</v>
      </c>
      <c r="F98" s="683"/>
      <c r="G98" s="684" t="str">
        <f>+VLOOKUP([1]Data_Validation!$A183,[1]BV_Data_An_Cour!$L:$Q,6,0)</f>
        <v>10-Compte compteur</v>
      </c>
      <c r="H98" s="33"/>
      <c r="K98" s="685" t="str">
        <f>Print_Mois!C95</f>
        <v>Non Certifié</v>
      </c>
    </row>
    <row r="99" spans="1:11" ht="15" customHeight="1">
      <c r="A99" s="692" t="s">
        <v>1637</v>
      </c>
      <c r="B99" s="680" t="s">
        <v>902</v>
      </c>
      <c r="C99" s="681" t="s">
        <v>1323</v>
      </c>
      <c r="D99" s="681" t="s">
        <v>42</v>
      </c>
      <c r="E99" s="682" t="s">
        <v>303</v>
      </c>
      <c r="F99" s="683"/>
      <c r="G99" s="684" t="e">
        <f>+VLOOKUP([1]Data_Validation!$A184,[1]BV_Data_An_Cour!$L:$Q,6,0)</f>
        <v>#N/A</v>
      </c>
      <c r="H99" s="33"/>
      <c r="K99" s="685"/>
    </row>
    <row r="100" spans="1:11" ht="15" customHeight="1">
      <c r="A100" s="692" t="s">
        <v>1640</v>
      </c>
      <c r="B100" s="680" t="s">
        <v>723</v>
      </c>
      <c r="C100" s="681"/>
      <c r="D100" s="681"/>
      <c r="E100" s="682"/>
      <c r="F100" s="683"/>
      <c r="G100" s="684" t="e">
        <f>+VLOOKUP([1]Data_Validation!$A3,[1]BV_Data_An_Cour!$L:$Q,6,0)</f>
        <v>#N/A</v>
      </c>
      <c r="H100" s="33"/>
      <c r="K100" s="685" t="str">
        <f>Print_Mois!C297</f>
        <v>P/A Garantie</v>
      </c>
    </row>
    <row r="101" spans="1:11" ht="15" customHeight="1">
      <c r="A101" s="692" t="s">
        <v>905</v>
      </c>
      <c r="B101" s="680" t="s">
        <v>903</v>
      </c>
      <c r="C101" s="681" t="s">
        <v>1323</v>
      </c>
      <c r="D101" s="681" t="s">
        <v>47</v>
      </c>
      <c r="E101" s="682" t="s">
        <v>303</v>
      </c>
      <c r="F101" s="683"/>
      <c r="G101" s="684" t="e">
        <f>+VLOOKUP([1]Data_Validation!$A185,[1]BV_Data_An_Cour!$L:$Q,6,0)</f>
        <v>#N/A</v>
      </c>
      <c r="H101" s="33"/>
      <c r="K101" s="685" t="str">
        <f>Print_Mois!V443</f>
        <v>Papeterie</v>
      </c>
    </row>
    <row r="102" spans="1:11" ht="15" customHeight="1">
      <c r="A102" s="692" t="s">
        <v>907</v>
      </c>
      <c r="B102" s="680" t="s">
        <v>906</v>
      </c>
      <c r="C102" s="681" t="s">
        <v>1323</v>
      </c>
      <c r="D102" s="681" t="s">
        <v>49</v>
      </c>
      <c r="E102" s="682" t="s">
        <v>303</v>
      </c>
      <c r="F102" s="683"/>
      <c r="G102" s="684" t="e">
        <f>+VLOOKUP([1]Data_Validation!$A186,[1]BV_Data_An_Cour!$L:$Q,6,0)</f>
        <v>#N/A</v>
      </c>
      <c r="H102" s="33"/>
      <c r="K102" s="685" t="str">
        <f>Print_Mois!C296</f>
        <v>Pièces Ro Carrosserie</v>
      </c>
    </row>
    <row r="103" spans="1:11" ht="15" customHeight="1">
      <c r="A103" s="692" t="s">
        <v>3378</v>
      </c>
      <c r="B103" s="680" t="s">
        <v>3315</v>
      </c>
      <c r="C103" s="681" t="s">
        <v>1323</v>
      </c>
      <c r="D103" s="681" t="s">
        <v>57</v>
      </c>
      <c r="E103" s="682" t="s">
        <v>303</v>
      </c>
      <c r="F103" s="683"/>
      <c r="G103" s="684" t="e">
        <f>+VLOOKUP([1]Data_Validation!$A187,[1]BV_Data_An_Cour!$L:$Q,6,0)</f>
        <v>#N/A</v>
      </c>
      <c r="H103" s="33"/>
      <c r="K103" s="685" t="str">
        <f>Print_Mois!C295</f>
        <v>Pièces Ro Clients</v>
      </c>
    </row>
    <row r="104" spans="1:11" ht="15" customHeight="1">
      <c r="A104" s="692" t="s">
        <v>3379</v>
      </c>
      <c r="B104" s="680" t="s">
        <v>3316</v>
      </c>
      <c r="C104" s="681" t="s">
        <v>1323</v>
      </c>
      <c r="D104" s="681" t="s">
        <v>57</v>
      </c>
      <c r="E104" s="682" t="s">
        <v>303</v>
      </c>
      <c r="F104" s="683"/>
      <c r="G104" s="684" t="e">
        <f>+VLOOKUP([1]Data_Validation!$A188,[1]BV_Data_An_Cour!$L:$Q,6,0)</f>
        <v>#N/A</v>
      </c>
      <c r="H104" s="33"/>
      <c r="K104" s="685" t="s">
        <v>28</v>
      </c>
    </row>
    <row r="105" spans="1:11" ht="15" customHeight="1">
      <c r="A105" s="692" t="s">
        <v>909</v>
      </c>
      <c r="B105" s="680" t="s">
        <v>908</v>
      </c>
      <c r="C105" s="681" t="s">
        <v>1323</v>
      </c>
      <c r="D105" s="681" t="s">
        <v>28</v>
      </c>
      <c r="E105" s="682" t="s">
        <v>303</v>
      </c>
      <c r="F105" s="683"/>
      <c r="G105" s="684" t="e">
        <f>+VLOOKUP([1]Data_Validation!$A189,[1]BV_Data_An_Cour!$L:$Q,6,0)</f>
        <v>#N/A</v>
      </c>
      <c r="H105" s="33"/>
      <c r="K105" s="685" t="str">
        <f>Print_Mois!V471</f>
        <v>Programme neuf 1</v>
      </c>
    </row>
    <row r="106" spans="1:11" ht="15" customHeight="1">
      <c r="A106" s="680" t="s">
        <v>911</v>
      </c>
      <c r="B106" s="680" t="s">
        <v>910</v>
      </c>
      <c r="C106" s="681" t="s">
        <v>1323</v>
      </c>
      <c r="D106" s="681" t="s">
        <v>35</v>
      </c>
      <c r="E106" s="682" t="s">
        <v>303</v>
      </c>
      <c r="F106" s="682"/>
      <c r="G106" s="684" t="str">
        <f>+VLOOKUP([1]Data_Validation!$A190,[1]BV_Data_An_Cour!$L:$Q,6,0)</f>
        <v>5-Ventes</v>
      </c>
      <c r="H106" s="33"/>
      <c r="K106" s="685" t="s">
        <v>41</v>
      </c>
    </row>
    <row r="107" spans="1:11" ht="15" customHeight="1">
      <c r="A107" s="680" t="s">
        <v>913</v>
      </c>
      <c r="B107" s="680" t="s">
        <v>912</v>
      </c>
      <c r="C107" s="681" t="s">
        <v>1323</v>
      </c>
      <c r="D107" s="681" t="s">
        <v>35</v>
      </c>
      <c r="E107" s="682" t="s">
        <v>303</v>
      </c>
      <c r="F107" s="682"/>
      <c r="G107" s="684" t="str">
        <f>+VLOOKUP([1]Data_Validation!$A191,[1]BV_Data_An_Cour!$L:$Q,6,0)</f>
        <v>10-Compte compteur</v>
      </c>
      <c r="H107" s="33"/>
      <c r="K107" s="685"/>
    </row>
    <row r="108" spans="1:11" ht="15" customHeight="1">
      <c r="A108" s="680" t="s">
        <v>1654</v>
      </c>
      <c r="B108" s="680" t="s">
        <v>914</v>
      </c>
      <c r="C108" s="681" t="s">
        <v>1323</v>
      </c>
      <c r="D108" s="681" t="s">
        <v>35</v>
      </c>
      <c r="E108" s="682" t="s">
        <v>303</v>
      </c>
      <c r="F108" s="682"/>
      <c r="G108" s="684" t="e">
        <f>+VLOOKUP([1]Data_Validation!$A192,[1]BV_Data_An_Cour!$L:$Q,6,0)</f>
        <v>#N/A</v>
      </c>
      <c r="H108" s="33"/>
      <c r="K108" s="685" t="str">
        <f>Print_Mois!V472</f>
        <v>Programme neuf 2</v>
      </c>
    </row>
    <row r="109" spans="1:11" ht="15" customHeight="1">
      <c r="A109" s="680" t="s">
        <v>916</v>
      </c>
      <c r="B109" s="680" t="s">
        <v>915</v>
      </c>
      <c r="C109" s="681" t="s">
        <v>1323</v>
      </c>
      <c r="D109" s="681" t="s">
        <v>35</v>
      </c>
      <c r="E109" s="682" t="s">
        <v>303</v>
      </c>
      <c r="F109" s="682"/>
      <c r="G109" s="684" t="str">
        <f>+VLOOKUP([1]Data_Validation!$A193,[1]BV_Data_An_Cour!$L:$Q,6,0)</f>
        <v>5-Ventes</v>
      </c>
      <c r="H109" s="33"/>
      <c r="K109" s="685" t="str">
        <f>Print_Mois!V473</f>
        <v>Programme neuf 3</v>
      </c>
    </row>
    <row r="110" spans="1:11" ht="15" customHeight="1">
      <c r="A110" s="680" t="s">
        <v>1659</v>
      </c>
      <c r="B110" s="680" t="s">
        <v>917</v>
      </c>
      <c r="C110" s="681" t="s">
        <v>1323</v>
      </c>
      <c r="D110" s="681" t="s">
        <v>35</v>
      </c>
      <c r="E110" s="682" t="s">
        <v>303</v>
      </c>
      <c r="F110" s="682"/>
      <c r="G110" s="684" t="str">
        <f>+VLOOKUP([1]Data_Validation!$A194,[1]BV_Data_An_Cour!$L:$Q,6,0)</f>
        <v>10-Compte compteur</v>
      </c>
      <c r="H110" s="33"/>
      <c r="K110" s="685" t="s">
        <v>116</v>
      </c>
    </row>
    <row r="111" spans="1:11" ht="15" customHeight="1">
      <c r="A111" s="680" t="s">
        <v>1662</v>
      </c>
      <c r="B111" s="680" t="s">
        <v>918</v>
      </c>
      <c r="C111" s="681" t="s">
        <v>1323</v>
      </c>
      <c r="D111" s="681" t="s">
        <v>35</v>
      </c>
      <c r="E111" s="682" t="s">
        <v>303</v>
      </c>
      <c r="F111" s="682"/>
      <c r="G111" s="684" t="e">
        <f>+VLOOKUP([1]Data_Validation!$A195,[1]BV_Data_An_Cour!$L:$Q,6,0)</f>
        <v>#N/A</v>
      </c>
      <c r="H111" s="33"/>
      <c r="K111" s="685" t="s">
        <v>129</v>
      </c>
    </row>
    <row r="112" spans="1:11" ht="15" customHeight="1">
      <c r="A112" s="680" t="s">
        <v>1665</v>
      </c>
      <c r="B112" s="680" t="s">
        <v>919</v>
      </c>
      <c r="C112" s="681" t="s">
        <v>1323</v>
      </c>
      <c r="D112" s="681" t="s">
        <v>43</v>
      </c>
      <c r="E112" s="682" t="s">
        <v>303</v>
      </c>
      <c r="F112" s="682"/>
      <c r="G112" s="684" t="e">
        <f>+VLOOKUP([1]Data_Validation!$A196,[1]BV_Data_An_Cour!$L:$Q,6,0)</f>
        <v>#N/A</v>
      </c>
      <c r="H112" s="33"/>
      <c r="K112" s="685" t="str">
        <f>Print_Mois!C19</f>
        <v>Rachat bail</v>
      </c>
    </row>
    <row r="113" spans="1:11" ht="15" customHeight="1">
      <c r="A113" s="680" t="s">
        <v>920</v>
      </c>
      <c r="B113" s="680" t="s">
        <v>921</v>
      </c>
      <c r="C113" s="681" t="s">
        <v>1323</v>
      </c>
      <c r="D113" s="681" t="s">
        <v>43</v>
      </c>
      <c r="E113" s="682" t="s">
        <v>303</v>
      </c>
      <c r="F113" s="682"/>
      <c r="G113" s="684" t="e">
        <f>+VLOOKUP([1]Data_Validation!$A197,[1]BV_Data_An_Cour!$L:$Q,6,0)</f>
        <v>#N/A</v>
      </c>
      <c r="H113" s="33"/>
      <c r="K113" s="685" t="s">
        <v>42</v>
      </c>
    </row>
    <row r="114" spans="1:11" ht="15" customHeight="1">
      <c r="A114" s="692" t="s">
        <v>1670</v>
      </c>
      <c r="B114" s="680" t="s">
        <v>922</v>
      </c>
      <c r="C114" s="681" t="s">
        <v>1323</v>
      </c>
      <c r="D114" s="681" t="s">
        <v>43</v>
      </c>
      <c r="E114" s="682" t="s">
        <v>303</v>
      </c>
      <c r="F114" s="683"/>
      <c r="G114" s="684" t="e">
        <f>+VLOOKUP([1]Data_Validation!$A198,[1]BV_Data_An_Cour!$L:$Q,6,0)</f>
        <v>#N/A</v>
      </c>
      <c r="H114" s="33"/>
      <c r="K114" s="685" t="s">
        <v>38</v>
      </c>
    </row>
    <row r="115" spans="1:11" ht="15" customHeight="1">
      <c r="A115" s="692" t="s">
        <v>1673</v>
      </c>
      <c r="B115" s="680" t="s">
        <v>923</v>
      </c>
      <c r="C115" s="681" t="s">
        <v>1323</v>
      </c>
      <c r="D115" s="681" t="s">
        <v>43</v>
      </c>
      <c r="E115" s="682" t="s">
        <v>303</v>
      </c>
      <c r="F115" s="683"/>
      <c r="G115" s="684" t="str">
        <f>+VLOOKUP([1]Data_Validation!$A199,[1]BV_Data_An_Cour!$L:$Q,6,0)</f>
        <v>5-Ventes</v>
      </c>
      <c r="H115" s="33"/>
      <c r="K115" s="685" t="s">
        <v>29</v>
      </c>
    </row>
    <row r="116" spans="1:11" ht="15" customHeight="1">
      <c r="A116" s="692" t="s">
        <v>1676</v>
      </c>
      <c r="B116" s="680" t="s">
        <v>734</v>
      </c>
      <c r="C116" s="681"/>
      <c r="D116" s="681"/>
      <c r="E116" s="682"/>
      <c r="F116" s="683"/>
      <c r="G116" s="684" t="str">
        <f>+VLOOKUP([1]Data_Validation!$A15,[1]BV_Data_An_Cour!$L:$Q,6,0)</f>
        <v>2-Actifs</v>
      </c>
      <c r="H116" s="33"/>
      <c r="K116" s="685" t="s">
        <v>29</v>
      </c>
    </row>
    <row r="117" spans="1:11" ht="15" customHeight="1">
      <c r="A117" s="692" t="s">
        <v>925</v>
      </c>
      <c r="B117" s="680" t="s">
        <v>924</v>
      </c>
      <c r="C117" s="681" t="s">
        <v>1323</v>
      </c>
      <c r="D117" s="681" t="s">
        <v>33</v>
      </c>
      <c r="E117" s="682" t="s">
        <v>303</v>
      </c>
      <c r="F117" s="683"/>
      <c r="G117" s="684" t="str">
        <f>+VLOOKUP([1]Data_Validation!$A200,[1]BV_Data_An_Cour!$L:$Q,6,0)</f>
        <v>10-Compte compteur</v>
      </c>
      <c r="H117" s="33"/>
      <c r="K117" s="685" t="s">
        <v>36</v>
      </c>
    </row>
    <row r="118" spans="1:11" ht="15" customHeight="1">
      <c r="A118" s="692" t="s">
        <v>1681</v>
      </c>
      <c r="B118" s="680" t="s">
        <v>926</v>
      </c>
      <c r="C118" s="681" t="s">
        <v>1323</v>
      </c>
      <c r="D118" s="681" t="s">
        <v>43</v>
      </c>
      <c r="E118" s="682" t="s">
        <v>303</v>
      </c>
      <c r="F118" s="683"/>
      <c r="G118" s="684" t="str">
        <f>+VLOOKUP([1]Data_Validation!$A201,[1]BV_Data_An_Cour!$L:$Q,6,0)</f>
        <v>5-Ventes</v>
      </c>
      <c r="H118" s="33"/>
      <c r="K118" s="685" t="s">
        <v>34</v>
      </c>
    </row>
    <row r="119" spans="1:11" ht="15" customHeight="1">
      <c r="A119" s="692" t="s">
        <v>930</v>
      </c>
      <c r="B119" s="680" t="s">
        <v>927</v>
      </c>
      <c r="C119" s="681" t="s">
        <v>1323</v>
      </c>
      <c r="D119" s="681" t="s">
        <v>57</v>
      </c>
      <c r="E119" s="682" t="s">
        <v>303</v>
      </c>
      <c r="F119" s="683"/>
      <c r="G119" s="684" t="str">
        <f>+VLOOKUP([1]Data_Validation!$A202,[1]BV_Data_An_Cour!$L:$Q,6,0)</f>
        <v>10-Compte compteur</v>
      </c>
      <c r="H119" s="33"/>
      <c r="K119" s="685" t="s">
        <v>30</v>
      </c>
    </row>
    <row r="120" spans="1:11" ht="15" customHeight="1">
      <c r="A120" s="692" t="s">
        <v>3380</v>
      </c>
      <c r="B120" s="680" t="s">
        <v>1367</v>
      </c>
      <c r="C120" s="681" t="s">
        <v>1323</v>
      </c>
      <c r="D120" s="681" t="s">
        <v>57</v>
      </c>
      <c r="E120" s="682" t="s">
        <v>303</v>
      </c>
      <c r="F120" s="683"/>
      <c r="G120" s="684" t="e">
        <f>+VLOOKUP([1]Data_Validation!$A203,[1]BV_Data_An_Cour!$L:$Q,6,0)</f>
        <v>#N/A</v>
      </c>
      <c r="H120" s="33"/>
      <c r="K120" s="685" t="s">
        <v>189</v>
      </c>
    </row>
    <row r="121" spans="1:11" ht="15" customHeight="1">
      <c r="A121" s="692" t="s">
        <v>1686</v>
      </c>
      <c r="B121" s="680" t="s">
        <v>929</v>
      </c>
      <c r="C121" s="681" t="s">
        <v>1323</v>
      </c>
      <c r="D121" s="681" t="s">
        <v>57</v>
      </c>
      <c r="E121" s="682" t="s">
        <v>303</v>
      </c>
      <c r="F121" s="683"/>
      <c r="G121" s="684" t="e">
        <f>+VLOOKUP([1]Data_Validation!$A204,[1]BV_Data_An_Cour!$L:$Q,6,0)</f>
        <v>#N/A</v>
      </c>
      <c r="H121" s="33"/>
      <c r="K121" s="685" t="s">
        <v>40</v>
      </c>
    </row>
    <row r="122" spans="1:11" ht="15" customHeight="1">
      <c r="A122" s="692" t="s">
        <v>3381</v>
      </c>
      <c r="B122" s="680" t="s">
        <v>1368</v>
      </c>
      <c r="C122" s="681" t="s">
        <v>1323</v>
      </c>
      <c r="D122" s="681" t="s">
        <v>41</v>
      </c>
      <c r="E122" s="682" t="s">
        <v>303</v>
      </c>
      <c r="F122" s="683"/>
      <c r="G122" s="684" t="e">
        <f>+VLOOKUP([1]Data_Validation!$A205,[1]BV_Data_An_Cour!$L:$Q,6,0)</f>
        <v>#N/A</v>
      </c>
      <c r="H122" s="33"/>
      <c r="K122" s="685" t="str">
        <f>Print_Mois!V460</f>
        <v>Réparation équipement</v>
      </c>
    </row>
    <row r="123" spans="1:11" ht="15" customHeight="1">
      <c r="A123" s="692" t="s">
        <v>1689</v>
      </c>
      <c r="B123" s="680" t="s">
        <v>932</v>
      </c>
      <c r="C123" s="681" t="s">
        <v>1323</v>
      </c>
      <c r="D123" s="681" t="s">
        <v>57</v>
      </c>
      <c r="E123" s="682" t="s">
        <v>303</v>
      </c>
      <c r="F123" s="683"/>
      <c r="G123" s="684" t="str">
        <f>+VLOOKUP([1]Data_Validation!$A206,[1]BV_Data_An_Cour!$L:$Q,6,0)</f>
        <v>5-Ventes</v>
      </c>
      <c r="H123" s="33"/>
      <c r="K123" s="685" t="s">
        <v>1350</v>
      </c>
    </row>
    <row r="124" spans="1:11" ht="15" customHeight="1">
      <c r="A124" s="692" t="s">
        <v>1692</v>
      </c>
      <c r="B124" s="680" t="s">
        <v>735</v>
      </c>
      <c r="C124" s="681"/>
      <c r="D124" s="681"/>
      <c r="E124" s="682" t="s">
        <v>303</v>
      </c>
      <c r="F124" s="683"/>
      <c r="G124" s="684" t="e">
        <f>+VLOOKUP([1]Data_Validation!$A16,[1]BV_Data_An_Cour!$L:$Q,6,0)</f>
        <v>#N/A</v>
      </c>
      <c r="H124" s="33"/>
      <c r="K124" s="685" t="str">
        <f>Print_Mois!C23</f>
        <v>Rev. Autres</v>
      </c>
    </row>
    <row r="125" spans="1:11" ht="15" customHeight="1">
      <c r="A125" s="692" t="s">
        <v>3340</v>
      </c>
      <c r="B125" s="680" t="s">
        <v>3341</v>
      </c>
      <c r="C125" s="681" t="s">
        <v>1323</v>
      </c>
      <c r="D125" s="681" t="s">
        <v>55</v>
      </c>
      <c r="E125" s="682" t="s">
        <v>303</v>
      </c>
      <c r="F125" s="683"/>
      <c r="G125" s="684" t="str">
        <f>+VLOOKUP([1]Data_Validation!$A207,[1]BV_Data_An_Cour!$L:$Q,6,0)</f>
        <v>10-Compte compteur</v>
      </c>
      <c r="H125" s="33"/>
      <c r="K125" s="685" t="str">
        <f>Print_Mois!C24</f>
        <v>Total F&amp;I</v>
      </c>
    </row>
    <row r="126" spans="1:11" ht="15" customHeight="1">
      <c r="A126" s="692" t="s">
        <v>934</v>
      </c>
      <c r="B126" s="680" t="s">
        <v>933</v>
      </c>
      <c r="C126" s="681" t="s">
        <v>1323</v>
      </c>
      <c r="D126" s="681" t="s">
        <v>55</v>
      </c>
      <c r="E126" s="682" t="s">
        <v>303</v>
      </c>
      <c r="F126" s="683"/>
      <c r="G126" s="684" t="str">
        <f>+VLOOKUP([1]Data_Validation!$A208,[1]BV_Data_An_Cour!$L:$Q,6,0)</f>
        <v>5-Ventes</v>
      </c>
      <c r="H126" s="33"/>
      <c r="K126" s="685" t="str">
        <f>Print_Mois!C21</f>
        <v>Rev. Finances</v>
      </c>
    </row>
    <row r="127" spans="1:11" ht="15" customHeight="1">
      <c r="A127" s="692" t="s">
        <v>1697</v>
      </c>
      <c r="B127" s="680" t="s">
        <v>935</v>
      </c>
      <c r="C127" s="681" t="s">
        <v>1323</v>
      </c>
      <c r="D127" s="681" t="s">
        <v>55</v>
      </c>
      <c r="E127" s="682" t="s">
        <v>303</v>
      </c>
      <c r="F127" s="683"/>
      <c r="G127" s="684" t="str">
        <f>+VLOOKUP([1]Data_Validation!$A209,[1]BV_Data_An_Cour!$L:$Q,6,0)</f>
        <v>10-Compte compteur</v>
      </c>
      <c r="H127" s="33"/>
      <c r="K127" s="685" t="str">
        <f>Print_Mois!C22</f>
        <v>Rev. Protections</v>
      </c>
    </row>
    <row r="128" spans="1:11" ht="15" customHeight="1">
      <c r="A128" s="692" t="s">
        <v>1700</v>
      </c>
      <c r="B128" s="680" t="s">
        <v>736</v>
      </c>
      <c r="C128" s="681"/>
      <c r="D128" s="681"/>
      <c r="E128" s="682"/>
      <c r="F128" s="683"/>
      <c r="G128" s="684" t="str">
        <f>+VLOOKUP([1]Data_Validation!$A17,[1]BV_Data_An_Cour!$L:$Q,6,0)</f>
        <v>2-Actifs</v>
      </c>
      <c r="H128" s="33"/>
      <c r="K128" s="685" t="str">
        <f>Print_Mois!V469</f>
        <v>Revenus autres</v>
      </c>
    </row>
    <row r="129" spans="1:29" ht="15" customHeight="1">
      <c r="A129" s="692" t="s">
        <v>1703</v>
      </c>
      <c r="B129" s="680" t="s">
        <v>936</v>
      </c>
      <c r="C129" s="681" t="s">
        <v>1323</v>
      </c>
      <c r="D129" s="681" t="s">
        <v>55</v>
      </c>
      <c r="E129" s="682" t="s">
        <v>303</v>
      </c>
      <c r="F129" s="683"/>
      <c r="G129" s="684" t="e">
        <f>+VLOOKUP([1]Data_Validation!$A210,[1]BV_Data_An_Cour!$L:$Q,6,0)</f>
        <v>#N/A</v>
      </c>
      <c r="H129" s="33"/>
      <c r="K129" s="685" t="s">
        <v>53</v>
      </c>
    </row>
    <row r="130" spans="1:29" ht="15" customHeight="1">
      <c r="A130" s="692" t="s">
        <v>1706</v>
      </c>
      <c r="B130" s="680" t="s">
        <v>937</v>
      </c>
      <c r="C130" s="681" t="s">
        <v>1323</v>
      </c>
      <c r="D130" s="681" t="s">
        <v>55</v>
      </c>
      <c r="E130" s="682" t="s">
        <v>303</v>
      </c>
      <c r="F130" s="683"/>
      <c r="G130" s="684" t="e">
        <f>+VLOOKUP([1]Data_Validation!$A211,[1]BV_Data_An_Cour!$L:$Q,6,0)</f>
        <v>#N/A</v>
      </c>
      <c r="H130" s="33"/>
      <c r="K130" s="685" t="str">
        <f>Print_Mois!V423</f>
        <v>Salaires autres</v>
      </c>
    </row>
    <row r="131" spans="1:29" ht="15" customHeight="1">
      <c r="A131" s="692" t="s">
        <v>1709</v>
      </c>
      <c r="B131" s="680" t="s">
        <v>938</v>
      </c>
      <c r="C131" s="681" t="s">
        <v>1323</v>
      </c>
      <c r="D131" s="681" t="s">
        <v>55</v>
      </c>
      <c r="E131" s="682" t="s">
        <v>303</v>
      </c>
      <c r="F131" s="683"/>
      <c r="G131" s="684" t="str">
        <f>+VLOOKUP([1]Data_Validation!$A212,[1]BV_Data_An_Cour!$L:$Q,6,0)</f>
        <v>5-Ventes</v>
      </c>
      <c r="H131" s="33"/>
      <c r="K131" s="685" t="str">
        <f>Print_Mois!V421</f>
        <v>Salaires cadres</v>
      </c>
    </row>
    <row r="132" spans="1:29" ht="15" customHeight="1">
      <c r="A132" s="692" t="s">
        <v>1712</v>
      </c>
      <c r="B132" s="680" t="s">
        <v>737</v>
      </c>
      <c r="C132" s="681"/>
      <c r="D132" s="681"/>
      <c r="E132" s="682"/>
      <c r="F132" s="683"/>
      <c r="G132" s="684" t="str">
        <f>+VLOOKUP([1]Data_Validation!$A18,[1]BV_Data_An_Cour!$L:$Q,6,0)</f>
        <v>2-Actifs</v>
      </c>
      <c r="H132" s="33"/>
      <c r="K132" s="685" t="str">
        <f>Print_Mois!C43</f>
        <v>Salaires commis</v>
      </c>
    </row>
    <row r="133" spans="1:29" ht="15" customHeight="1">
      <c r="A133" s="692" t="s">
        <v>1715</v>
      </c>
      <c r="B133" s="680" t="s">
        <v>738</v>
      </c>
      <c r="C133" s="681"/>
      <c r="D133" s="681"/>
      <c r="E133" s="682"/>
      <c r="F133" s="683"/>
      <c r="G133" s="684" t="str">
        <f>+VLOOKUP([1]Data_Validation!$A19,[1]BV_Data_An_Cour!$L:$Q,6,0)</f>
        <v>2-Actifs</v>
      </c>
      <c r="H133" s="33"/>
      <c r="K133" s="685" t="str">
        <f>Print_Mois!V422</f>
        <v>Salaires commis</v>
      </c>
    </row>
    <row r="134" spans="1:29" ht="15" customHeight="1">
      <c r="A134" s="692" t="s">
        <v>940</v>
      </c>
      <c r="B134" s="680" t="s">
        <v>939</v>
      </c>
      <c r="C134" s="681" t="s">
        <v>1323</v>
      </c>
      <c r="D134" s="681" t="s">
        <v>39</v>
      </c>
      <c r="E134" s="682" t="s">
        <v>303</v>
      </c>
      <c r="F134" s="683"/>
      <c r="G134" s="684" t="str">
        <f>+VLOOKUP([1]Data_Validation!$A213,[1]BV_Data_An_Cour!$L:$Q,6,0)</f>
        <v>10-Compte compteur</v>
      </c>
      <c r="H134" s="33"/>
      <c r="K134" s="685" t="str">
        <f>Print_Mois!V428</f>
        <v>Salaires en absences</v>
      </c>
    </row>
    <row r="135" spans="1:29" ht="15" customHeight="1">
      <c r="A135" s="692" t="s">
        <v>1720</v>
      </c>
      <c r="B135" s="680" t="s">
        <v>739</v>
      </c>
      <c r="C135" s="681"/>
      <c r="D135" s="681"/>
      <c r="E135" s="682"/>
      <c r="F135" s="683"/>
      <c r="G135" s="684" t="str">
        <f>+VLOOKUP([1]Data_Validation!$A20,[1]BV_Data_An_Cour!$L:$Q,6,0)</f>
        <v>2-Actifs</v>
      </c>
      <c r="H135" s="33"/>
      <c r="K135" s="685" t="str">
        <f>Print_Mois!V420</f>
        <v>Salaires propriétaire</v>
      </c>
    </row>
    <row r="136" spans="1:29" ht="15" customHeight="1">
      <c r="A136" s="692" t="s">
        <v>1723</v>
      </c>
      <c r="B136" s="680" t="s">
        <v>740</v>
      </c>
      <c r="C136" s="681"/>
      <c r="D136" s="681"/>
      <c r="E136" s="682"/>
      <c r="F136" s="683"/>
      <c r="G136" s="684" t="str">
        <f>+VLOOKUP([1]Data_Validation!$A21,[1]BV_Data_An_Cour!$L:$Q,6,0)</f>
        <v>2-Actifs</v>
      </c>
      <c r="H136" s="33"/>
      <c r="K136" s="685" t="str">
        <f>Print_Mois!V424</f>
        <v>Salaires spécialistes</v>
      </c>
    </row>
    <row r="137" spans="1:29" ht="15" customHeight="1">
      <c r="A137" s="692" t="s">
        <v>1726</v>
      </c>
      <c r="B137" s="680" t="s">
        <v>741</v>
      </c>
      <c r="C137" s="681"/>
      <c r="D137" s="681"/>
      <c r="E137" s="682"/>
      <c r="F137" s="683"/>
      <c r="G137" s="684" t="str">
        <f>+VLOOKUP([1]Data_Validation!$A22,[1]BV_Data_An_Cour!$L:$Q,6,0)</f>
        <v>2-Actifs</v>
      </c>
      <c r="H137" s="33"/>
      <c r="K137" s="685" t="str">
        <f>Print_Mois!C34</f>
        <v>Service gratuit 1</v>
      </c>
    </row>
    <row r="138" spans="1:29" ht="15" customHeight="1">
      <c r="A138" s="692" t="s">
        <v>1729</v>
      </c>
      <c r="B138" s="680" t="s">
        <v>742</v>
      </c>
      <c r="C138" s="681"/>
      <c r="D138" s="681"/>
      <c r="E138" s="682"/>
      <c r="F138" s="683"/>
      <c r="G138" s="684" t="str">
        <f>+VLOOKUP([1]Data_Validation!$A23,[1]BV_Data_An_Cour!$L:$Q,6,0)</f>
        <v>2-Actifs</v>
      </c>
      <c r="H138" s="33"/>
      <c r="K138" s="685" t="str">
        <f>Print_Mois!V435</f>
        <v>Service gratuit 2</v>
      </c>
    </row>
    <row r="139" spans="1:29" ht="15" customHeight="1">
      <c r="A139" s="692" t="s">
        <v>942</v>
      </c>
      <c r="B139" s="680" t="s">
        <v>941</v>
      </c>
      <c r="C139" s="681" t="s">
        <v>1323</v>
      </c>
      <c r="D139" s="681" t="s">
        <v>53</v>
      </c>
      <c r="E139" s="682" t="s">
        <v>303</v>
      </c>
      <c r="F139" s="683"/>
      <c r="G139" s="684" t="str">
        <f>+VLOOKUP([1]Data_Validation!$A214,[1]BV_Data_An_Cour!$L:$Q,6,0)</f>
        <v>5-Ventes</v>
      </c>
      <c r="H139" s="33"/>
      <c r="I139" s="3"/>
      <c r="J139" s="3"/>
      <c r="K139" s="685" t="str">
        <f>Print_Mois!V439</f>
        <v>Services extérieurs</v>
      </c>
      <c r="L139" s="3"/>
      <c r="M139" s="3"/>
      <c r="P139" s="3"/>
      <c r="Q139" s="3"/>
      <c r="R139" s="3"/>
      <c r="S139" s="3"/>
      <c r="T139" s="3"/>
      <c r="U139" s="3"/>
      <c r="V139" s="3"/>
      <c r="W139" s="3"/>
      <c r="X139" s="3"/>
      <c r="Y139" s="3"/>
      <c r="Z139" s="3"/>
      <c r="AA139" s="3"/>
      <c r="AB139" s="3"/>
      <c r="AC139" s="3"/>
    </row>
    <row r="140" spans="1:29" ht="15" customHeight="1">
      <c r="A140" s="692" t="s">
        <v>3382</v>
      </c>
      <c r="B140" s="680" t="s">
        <v>943</v>
      </c>
      <c r="C140" s="681" t="s">
        <v>1323</v>
      </c>
      <c r="D140" s="681" t="s">
        <v>53</v>
      </c>
      <c r="E140" s="682" t="s">
        <v>303</v>
      </c>
      <c r="F140" s="683"/>
      <c r="G140" s="684" t="str">
        <f>+VLOOKUP([1]Data_Validation!$A215,[1]BV_Data_An_Cour!$L:$Q,6,0)</f>
        <v>10-Compte compteur</v>
      </c>
      <c r="H140" s="33"/>
      <c r="K140" s="685" t="s">
        <v>58</v>
      </c>
    </row>
    <row r="141" spans="1:29" ht="15" customHeight="1">
      <c r="A141" s="692" t="s">
        <v>946</v>
      </c>
      <c r="B141" s="680" t="s">
        <v>945</v>
      </c>
      <c r="C141" s="681" t="s">
        <v>1323</v>
      </c>
      <c r="D141" s="681" t="s">
        <v>53</v>
      </c>
      <c r="E141" s="682" t="s">
        <v>303</v>
      </c>
      <c r="F141" s="683"/>
      <c r="G141" s="684" t="str">
        <f>+VLOOKUP([1]Data_Validation!$A218,[1]BV_Data_An_Cour!$L:$Q,6,0)</f>
        <v>5-Ventes</v>
      </c>
      <c r="H141" s="33"/>
      <c r="K141" s="685" t="str">
        <f>Print_Mois!C188</f>
        <v>Sous-traitement</v>
      </c>
    </row>
    <row r="142" spans="1:29" ht="15" customHeight="1">
      <c r="A142" s="692" t="s">
        <v>1736</v>
      </c>
      <c r="B142" s="680" t="s">
        <v>947</v>
      </c>
      <c r="C142" s="681" t="s">
        <v>1323</v>
      </c>
      <c r="D142" s="681" t="s">
        <v>53</v>
      </c>
      <c r="E142" s="682" t="s">
        <v>303</v>
      </c>
      <c r="F142" s="683"/>
      <c r="G142" s="684" t="str">
        <f>+VLOOKUP([1]Data_Validation!$A219,[1]BV_Data_An_Cour!$L:$Q,6,0)</f>
        <v>10-Compte compteur</v>
      </c>
      <c r="H142" s="33"/>
      <c r="K142" s="685" t="s">
        <v>129</v>
      </c>
    </row>
    <row r="143" spans="1:29" ht="15" customHeight="1">
      <c r="A143" s="692" t="s">
        <v>1739</v>
      </c>
      <c r="B143" s="680" t="s">
        <v>1369</v>
      </c>
      <c r="C143" s="681" t="s">
        <v>1323</v>
      </c>
      <c r="D143" s="681" t="s">
        <v>53</v>
      </c>
      <c r="E143" s="682" t="s">
        <v>303</v>
      </c>
      <c r="F143" s="683"/>
      <c r="G143" s="682" t="e">
        <f>+VLOOKUP([1]Data_Validation!$A220,[1]BV_Data_An_Cour!$L:$Q,6,0)</f>
        <v>#N/A</v>
      </c>
      <c r="H143" s="33"/>
      <c r="K143" s="685" t="s">
        <v>99</v>
      </c>
    </row>
    <row r="144" spans="1:29" ht="15" customHeight="1">
      <c r="A144" s="692" t="s">
        <v>1742</v>
      </c>
      <c r="B144" s="680" t="s">
        <v>948</v>
      </c>
      <c r="C144" s="681" t="s">
        <v>1323</v>
      </c>
      <c r="D144" s="681" t="s">
        <v>53</v>
      </c>
      <c r="E144" s="682" t="s">
        <v>303</v>
      </c>
      <c r="F144" s="683"/>
      <c r="G144" s="684" t="str">
        <f>+VLOOKUP([1]Data_Validation!$A221,[1]BV_Data_An_Cour!$L:$Q,6,0)</f>
        <v>5-Ventes</v>
      </c>
      <c r="H144" s="33"/>
      <c r="K144" s="685" t="s">
        <v>206</v>
      </c>
    </row>
    <row r="145" spans="1:11" ht="15" customHeight="1">
      <c r="A145" s="692" t="s">
        <v>1745</v>
      </c>
      <c r="B145" s="680" t="s">
        <v>949</v>
      </c>
      <c r="C145" s="681" t="s">
        <v>1323</v>
      </c>
      <c r="D145" s="681" t="s">
        <v>53</v>
      </c>
      <c r="E145" s="682" t="s">
        <v>303</v>
      </c>
      <c r="F145" s="683"/>
      <c r="G145" s="684" t="str">
        <f>+VLOOKUP([1]Data_Validation!$A222,[1]BV_Data_An_Cour!$L:$Q,6,0)</f>
        <v>10-Compte compteur</v>
      </c>
      <c r="H145" s="33"/>
      <c r="K145" s="685" t="s">
        <v>207</v>
      </c>
    </row>
    <row r="146" spans="1:11" ht="15" customHeight="1">
      <c r="A146" s="692" t="s">
        <v>744</v>
      </c>
      <c r="B146" s="680" t="s">
        <v>743</v>
      </c>
      <c r="C146" s="681"/>
      <c r="D146" s="681"/>
      <c r="E146" s="682"/>
      <c r="F146" s="683"/>
      <c r="G146" s="684" t="str">
        <f>+VLOOKUP([1]Data_Validation!$A24,[1]BV_Data_An_Cour!$L:$Q,6,0)</f>
        <v>2-Actifs</v>
      </c>
      <c r="H146" s="33"/>
      <c r="K146" s="685" t="str">
        <f>Print_Mois!V456</f>
        <v>Taxe sur le capital</v>
      </c>
    </row>
    <row r="147" spans="1:11" ht="15" customHeight="1">
      <c r="A147" s="692" t="s">
        <v>951</v>
      </c>
      <c r="B147" s="680" t="s">
        <v>950</v>
      </c>
      <c r="C147" s="681" t="s">
        <v>1323</v>
      </c>
      <c r="D147" s="681" t="s">
        <v>57</v>
      </c>
      <c r="E147" s="682" t="s">
        <v>303</v>
      </c>
      <c r="F147" s="683"/>
      <c r="G147" s="684" t="str">
        <f>+VLOOKUP([1]Data_Validation!$A223,[1]BV_Data_An_Cour!$L:$Q,6,0)</f>
        <v>1-Mémo</v>
      </c>
      <c r="H147" s="33"/>
      <c r="K147" s="685" t="s">
        <v>35</v>
      </c>
    </row>
    <row r="148" spans="1:11" ht="15" customHeight="1">
      <c r="A148" s="692" t="s">
        <v>3383</v>
      </c>
      <c r="B148" s="680" t="s">
        <v>952</v>
      </c>
      <c r="C148" s="681" t="s">
        <v>1323</v>
      </c>
      <c r="D148" s="681" t="s">
        <v>57</v>
      </c>
      <c r="E148" s="682" t="s">
        <v>303</v>
      </c>
      <c r="F148" s="683"/>
      <c r="G148" s="684" t="str">
        <f>+VLOOKUP([1]Data_Validation!$A224,[1]BV_Data_An_Cour!$L:$Q,6,0)</f>
        <v>5-Ventes</v>
      </c>
      <c r="H148" s="33"/>
      <c r="K148" s="685" t="str">
        <f>Print_Mois!V444</f>
        <v>Téléphone</v>
      </c>
    </row>
    <row r="149" spans="1:11" ht="15" customHeight="1">
      <c r="A149" s="692" t="s">
        <v>746</v>
      </c>
      <c r="B149" s="680" t="s">
        <v>745</v>
      </c>
      <c r="C149" s="681"/>
      <c r="D149" s="681"/>
      <c r="E149" s="682"/>
      <c r="F149" s="683"/>
      <c r="G149" s="684" t="str">
        <f>+VLOOKUP([1]Data_Validation!$A25,[1]BV_Data_An_Cour!$L:$Q,6,0)</f>
        <v>2-Actifs</v>
      </c>
      <c r="H149" s="33"/>
      <c r="K149" s="685" t="s">
        <v>56</v>
      </c>
    </row>
    <row r="150" spans="1:11" ht="15" customHeight="1">
      <c r="A150" s="692" t="s">
        <v>1752</v>
      </c>
      <c r="B150" s="680" t="s">
        <v>747</v>
      </c>
      <c r="C150" s="681"/>
      <c r="D150" s="681"/>
      <c r="E150" s="682"/>
      <c r="F150" s="683"/>
      <c r="G150" s="684" t="str">
        <f>+VLOOKUP([1]Data_Validation!$A26,[1]BV_Data_An_Cour!$L:$Q,6,0)</f>
        <v>2-Actifs</v>
      </c>
      <c r="H150" s="33"/>
      <c r="K150" s="685" t="s">
        <v>136</v>
      </c>
    </row>
    <row r="151" spans="1:11" ht="15" customHeight="1">
      <c r="A151" s="692" t="s">
        <v>1755</v>
      </c>
      <c r="B151" s="680" t="s">
        <v>748</v>
      </c>
      <c r="C151" s="681"/>
      <c r="D151" s="681"/>
      <c r="E151" s="682"/>
      <c r="F151" s="683"/>
      <c r="G151" s="684" t="str">
        <f>+VLOOKUP([1]Data_Validation!$A27,[1]BV_Data_An_Cour!$L:$Q,6,0)</f>
        <v>2-Actifs</v>
      </c>
      <c r="H151" s="33"/>
      <c r="K151" s="685" t="str">
        <f>Print_Mois!C100</f>
        <v>Ventes au Gros</v>
      </c>
    </row>
    <row r="152" spans="1:11" ht="15" customHeight="1">
      <c r="A152" s="692" t="s">
        <v>955</v>
      </c>
      <c r="B152" s="680" t="s">
        <v>954</v>
      </c>
      <c r="C152" s="681" t="s">
        <v>1323</v>
      </c>
      <c r="D152" s="681" t="s">
        <v>71</v>
      </c>
      <c r="E152" s="682" t="s">
        <v>303</v>
      </c>
      <c r="F152" s="683"/>
      <c r="G152" s="684" t="str">
        <f>+VLOOKUP([1]Data_Validation!$A225,[1]BV_Data_An_Cour!$L:$Q,6,0)</f>
        <v>10-Compte compteur</v>
      </c>
      <c r="H152" s="33"/>
      <c r="K152" s="685"/>
    </row>
    <row r="153" spans="1:11" ht="15" customHeight="1">
      <c r="A153" s="692" t="s">
        <v>957</v>
      </c>
      <c r="B153" s="680" t="s">
        <v>956</v>
      </c>
      <c r="C153" s="681" t="s">
        <v>1323</v>
      </c>
      <c r="D153" s="681" t="s">
        <v>57</v>
      </c>
      <c r="E153" s="682" t="s">
        <v>303</v>
      </c>
      <c r="F153" s="683"/>
      <c r="G153" s="684" t="str">
        <f>+VLOOKUP([1]Data_Validation!$A226,[1]BV_Data_An_Cour!$L:$Q,6,0)</f>
        <v>1-Mémo</v>
      </c>
      <c r="H153" s="33"/>
      <c r="K153" s="685" t="str">
        <f>Print_Mois!C300</f>
        <v>Ventes de Gros</v>
      </c>
    </row>
    <row r="154" spans="1:11" ht="15" customHeight="1">
      <c r="A154" s="692" t="s">
        <v>750</v>
      </c>
      <c r="B154" s="680" t="s">
        <v>724</v>
      </c>
      <c r="C154" s="681"/>
      <c r="D154" s="681"/>
      <c r="E154" s="682"/>
      <c r="F154" s="683"/>
      <c r="G154" s="684" t="e">
        <f>+VLOOKUP([1]Data_Validation!$A4,[1]BV_Data_An_Cour!$L:$Q,6,0)</f>
        <v>#N/A</v>
      </c>
      <c r="H154" s="33"/>
      <c r="K154" s="685" t="s">
        <v>186</v>
      </c>
    </row>
    <row r="155" spans="1:11" ht="15" customHeight="1">
      <c r="A155" s="692" t="s">
        <v>1765</v>
      </c>
      <c r="B155" s="680" t="s">
        <v>749</v>
      </c>
      <c r="C155" s="681"/>
      <c r="D155" s="681"/>
      <c r="E155" s="682"/>
      <c r="F155" s="683"/>
      <c r="G155" s="684" t="e">
        <f>+VLOOKUP([1]Data_Validation!$A28,[1]BV_Data_An_Cour!$L:$Q,6,0)</f>
        <v>#N/A</v>
      </c>
      <c r="H155" s="33"/>
      <c r="K155" s="685" t="str">
        <f>Print_Mois!C298</f>
        <v>Ventes Internes</v>
      </c>
    </row>
    <row r="156" spans="1:11" ht="15" customHeight="1">
      <c r="A156" s="692" t="s">
        <v>960</v>
      </c>
      <c r="B156" s="680" t="s">
        <v>958</v>
      </c>
      <c r="C156" s="681" t="s">
        <v>1323</v>
      </c>
      <c r="D156" s="681" t="s">
        <v>84</v>
      </c>
      <c r="E156" s="682" t="s">
        <v>303</v>
      </c>
      <c r="F156" s="683"/>
      <c r="G156" s="684" t="e">
        <f>+VLOOKUP([1]Data_Validation!$A227,[1]BV_Data_An_Cour!$L:$Q,6,0)</f>
        <v>#N/A</v>
      </c>
      <c r="H156" s="33"/>
      <c r="K156" s="685"/>
    </row>
    <row r="157" spans="1:11" ht="15" customHeight="1">
      <c r="A157" s="692" t="s">
        <v>1770</v>
      </c>
      <c r="B157" s="680" t="s">
        <v>961</v>
      </c>
      <c r="C157" s="681" t="s">
        <v>1323</v>
      </c>
      <c r="D157" s="681" t="s">
        <v>85</v>
      </c>
      <c r="E157" s="682" t="s">
        <v>303</v>
      </c>
      <c r="F157" s="683"/>
      <c r="G157" s="684" t="e">
        <f>+VLOOKUP([1]Data_Validation!$A228,[1]BV_Data_An_Cour!$L:$Q,6,0)</f>
        <v>#N/A</v>
      </c>
      <c r="H157" s="33"/>
      <c r="K157" s="685" t="str">
        <f>Print_Mois!C307</f>
        <v>Ventes Pneus</v>
      </c>
    </row>
    <row r="158" spans="1:11" ht="15" customHeight="1">
      <c r="A158" s="692" t="s">
        <v>1773</v>
      </c>
      <c r="B158" s="680" t="s">
        <v>962</v>
      </c>
      <c r="C158" s="681" t="s">
        <v>1323</v>
      </c>
      <c r="D158" s="681" t="s">
        <v>84</v>
      </c>
      <c r="E158" s="682"/>
      <c r="F158" s="683"/>
      <c r="G158" s="684" t="e">
        <f>+VLOOKUP([1]Data_Validation!$A229,[1]BV_Data_An_Cour!$L:$Q,6,0)</f>
        <v>#N/A</v>
      </c>
      <c r="H158" s="33"/>
    </row>
    <row r="159" spans="1:11" ht="15" customHeight="1">
      <c r="A159" s="692" t="s">
        <v>1776</v>
      </c>
      <c r="B159" s="680" t="s">
        <v>751</v>
      </c>
      <c r="C159" s="681"/>
      <c r="D159" s="681"/>
      <c r="E159" s="682"/>
      <c r="F159" s="683"/>
      <c r="G159" s="684" t="e">
        <f>+VLOOKUP([1]Data_Validation!$A29,[1]BV_Data_An_Cour!$L:$Q,6,0)</f>
        <v>#N/A</v>
      </c>
      <c r="H159" s="33"/>
    </row>
    <row r="160" spans="1:11" ht="15" customHeight="1">
      <c r="A160" s="692" t="s">
        <v>1779</v>
      </c>
      <c r="B160" s="680" t="s">
        <v>752</v>
      </c>
      <c r="C160" s="681"/>
      <c r="D160" s="681"/>
      <c r="E160" s="682"/>
      <c r="F160" s="683"/>
      <c r="G160" s="684" t="e">
        <f>+VLOOKUP([1]Data_Validation!$A30,[1]BV_Data_An_Cour!$L:$Q,6,0)</f>
        <v>#N/A</v>
      </c>
      <c r="H160" s="33"/>
    </row>
    <row r="161" spans="1:8" ht="15" customHeight="1">
      <c r="A161" s="692" t="s">
        <v>1782</v>
      </c>
      <c r="B161" s="680" t="s">
        <v>753</v>
      </c>
      <c r="C161" s="681"/>
      <c r="D161" s="681"/>
      <c r="E161" s="682"/>
      <c r="F161" s="683"/>
      <c r="G161" s="684" t="str">
        <f>+VLOOKUP([1]Data_Validation!$A31,[1]BV_Data_An_Cour!$L:$Q,6,0)</f>
        <v>2-Actifs</v>
      </c>
      <c r="H161" s="33"/>
    </row>
    <row r="162" spans="1:8" ht="15" customHeight="1">
      <c r="A162" s="692" t="s">
        <v>1785</v>
      </c>
      <c r="B162" s="680" t="s">
        <v>754</v>
      </c>
      <c r="C162" s="681"/>
      <c r="D162" s="681"/>
      <c r="E162" s="682"/>
      <c r="F162" s="683"/>
      <c r="G162" s="684" t="e">
        <f>+VLOOKUP([1]Data_Validation!$A32,[1]BV_Data_An_Cour!$L:$Q,6,0)</f>
        <v>#N/A</v>
      </c>
      <c r="H162" s="33"/>
    </row>
    <row r="163" spans="1:8" ht="15" customHeight="1">
      <c r="A163" s="692" t="s">
        <v>1788</v>
      </c>
      <c r="B163" s="680" t="s">
        <v>755</v>
      </c>
      <c r="C163" s="681"/>
      <c r="D163" s="681"/>
      <c r="E163" s="682"/>
      <c r="F163" s="683"/>
      <c r="G163" s="684" t="str">
        <f>+VLOOKUP([1]Data_Validation!$A33,[1]BV_Data_An_Cour!$L:$Q,6,0)</f>
        <v>2-Actifs</v>
      </c>
      <c r="H163" s="33"/>
    </row>
    <row r="164" spans="1:8" ht="15" customHeight="1">
      <c r="A164" s="692" t="s">
        <v>1791</v>
      </c>
      <c r="B164" s="680" t="s">
        <v>756</v>
      </c>
      <c r="C164" s="681"/>
      <c r="D164" s="681"/>
      <c r="E164" s="682"/>
      <c r="F164" s="683"/>
      <c r="G164" s="684" t="str">
        <f>+VLOOKUP([1]Data_Validation!$A34,[1]BV_Data_An_Cour!$L:$Q,6,0)</f>
        <v>10-Compte compteur</v>
      </c>
      <c r="H164" s="3"/>
    </row>
    <row r="165" spans="1:8" ht="15" customHeight="1">
      <c r="A165" s="692" t="s">
        <v>1794</v>
      </c>
      <c r="B165" s="680" t="s">
        <v>757</v>
      </c>
      <c r="C165" s="681"/>
      <c r="D165" s="681"/>
      <c r="E165" s="682"/>
      <c r="F165" s="683"/>
      <c r="G165" s="684" t="str">
        <f>+VLOOKUP([1]Data_Validation!$A35,[1]BV_Data_An_Cour!$L:$Q,6,0)</f>
        <v>2-Actifs</v>
      </c>
      <c r="H165" s="3"/>
    </row>
    <row r="166" spans="1:8" ht="15" customHeight="1">
      <c r="A166" s="692" t="s">
        <v>1797</v>
      </c>
      <c r="B166" s="680" t="s">
        <v>963</v>
      </c>
      <c r="C166" s="681" t="s">
        <v>1323</v>
      </c>
      <c r="D166" s="681" t="s">
        <v>86</v>
      </c>
      <c r="E166" s="682" t="s">
        <v>303</v>
      </c>
      <c r="F166" s="683"/>
      <c r="G166" s="684" t="e">
        <f>+VLOOKUP([1]Data_Validation!$A230,[1]BV_Data_An_Cour!$L:$Q,6,0)</f>
        <v>#N/A</v>
      </c>
      <c r="H166" s="3"/>
    </row>
    <row r="167" spans="1:8" ht="15" customHeight="1">
      <c r="A167" s="692" t="s">
        <v>1800</v>
      </c>
      <c r="B167" s="680" t="s">
        <v>758</v>
      </c>
      <c r="C167" s="681"/>
      <c r="D167" s="681"/>
      <c r="E167" s="682"/>
      <c r="F167" s="683"/>
      <c r="G167" s="684" t="str">
        <f>+VLOOKUP([1]Data_Validation!$A36,[1]BV_Data_An_Cour!$L:$Q,6,0)</f>
        <v>2-Actifs</v>
      </c>
      <c r="H167" s="3"/>
    </row>
    <row r="168" spans="1:8" ht="15" customHeight="1">
      <c r="A168" s="680" t="s">
        <v>1803</v>
      </c>
      <c r="B168" s="680" t="s">
        <v>759</v>
      </c>
      <c r="C168" s="681"/>
      <c r="D168" s="681"/>
      <c r="E168" s="682"/>
      <c r="F168" s="683"/>
      <c r="G168" s="684" t="str">
        <f>+VLOOKUP([1]Data_Validation!$A37,[1]BV_Data_An_Cour!$L:$Q,6,0)</f>
        <v>2-Actifs</v>
      </c>
      <c r="H168" s="3"/>
    </row>
    <row r="169" spans="1:8" ht="15" customHeight="1">
      <c r="A169" s="692" t="s">
        <v>1806</v>
      </c>
      <c r="B169" s="680" t="s">
        <v>760</v>
      </c>
      <c r="C169" s="681"/>
      <c r="D169" s="681"/>
      <c r="E169" s="682"/>
      <c r="F169" s="683"/>
      <c r="G169" s="684" t="str">
        <f>+VLOOKUP([1]Data_Validation!$A38,[1]BV_Data_An_Cour!$L:$Q,6,0)</f>
        <v>10-Compte compteur</v>
      </c>
      <c r="H169" s="3"/>
    </row>
    <row r="170" spans="1:8" ht="15" customHeight="1">
      <c r="A170" s="692" t="s">
        <v>1809</v>
      </c>
      <c r="B170" s="680" t="s">
        <v>761</v>
      </c>
      <c r="C170" s="681"/>
      <c r="D170" s="681"/>
      <c r="E170" s="682"/>
      <c r="F170" s="683"/>
      <c r="G170" s="684" t="e">
        <f>+VLOOKUP([1]Data_Validation!$A39,[1]BV_Data_An_Cour!$L:$Q,6,0)</f>
        <v>#N/A</v>
      </c>
      <c r="H170" s="3"/>
    </row>
    <row r="171" spans="1:8" ht="15" customHeight="1">
      <c r="A171" s="692" t="s">
        <v>763</v>
      </c>
      <c r="B171" s="680" t="s">
        <v>725</v>
      </c>
      <c r="C171" s="681"/>
      <c r="D171" s="681"/>
      <c r="E171" s="682"/>
      <c r="F171" s="683"/>
      <c r="G171" s="684" t="str">
        <f>+VLOOKUP([1]Data_Validation!$A5,[1]BV_Data_An_Cour!$L:$Q,6,0)</f>
        <v>2-Actifs</v>
      </c>
      <c r="H171" s="3"/>
    </row>
    <row r="172" spans="1:8" ht="15" customHeight="1">
      <c r="A172" s="692" t="s">
        <v>1814</v>
      </c>
      <c r="B172" s="680" t="s">
        <v>762</v>
      </c>
      <c r="C172" s="681"/>
      <c r="D172" s="681"/>
      <c r="E172" s="682"/>
      <c r="F172" s="683"/>
      <c r="G172" s="684" t="e">
        <f>+VLOOKUP([1]Data_Validation!$A40,[1]BV_Data_An_Cour!$L:$Q,6,0)</f>
        <v>#N/A</v>
      </c>
      <c r="H172" s="3"/>
    </row>
    <row r="173" spans="1:8" ht="15" customHeight="1">
      <c r="A173" s="692" t="s">
        <v>1817</v>
      </c>
      <c r="B173" s="680" t="s">
        <v>764</v>
      </c>
      <c r="C173" s="681"/>
      <c r="D173" s="681"/>
      <c r="E173" s="682"/>
      <c r="F173" s="683"/>
      <c r="G173" s="684" t="str">
        <f>+VLOOKUP([1]Data_Validation!$A41,[1]BV_Data_An_Cour!$L:$Q,6,0)</f>
        <v>2-Actifs</v>
      </c>
      <c r="H173" s="3"/>
    </row>
    <row r="174" spans="1:8" ht="15" customHeight="1">
      <c r="A174" s="692" t="s">
        <v>1820</v>
      </c>
      <c r="B174" s="680" t="s">
        <v>765</v>
      </c>
      <c r="C174" s="681"/>
      <c r="D174" s="681"/>
      <c r="E174" s="682"/>
      <c r="F174" s="683"/>
      <c r="G174" s="684" t="str">
        <f>+VLOOKUP([1]Data_Validation!$A42,[1]BV_Data_An_Cour!$L:$Q,6,0)</f>
        <v>2-Actifs</v>
      </c>
      <c r="H174" s="3"/>
    </row>
    <row r="175" spans="1:8" ht="15" customHeight="1">
      <c r="A175" s="692" t="s">
        <v>1823</v>
      </c>
      <c r="B175" s="680" t="s">
        <v>766</v>
      </c>
      <c r="C175" s="681"/>
      <c r="D175" s="681"/>
      <c r="E175" s="688"/>
      <c r="F175" s="688"/>
      <c r="G175" s="684" t="str">
        <f>+VLOOKUP([1]Data_Validation!$A43,[1]BV_Data_An_Cour!$L:$Q,6,0)</f>
        <v>2-Actifs</v>
      </c>
      <c r="H175" s="3"/>
    </row>
    <row r="176" spans="1:8" ht="15" customHeight="1">
      <c r="A176" s="692" t="s">
        <v>1826</v>
      </c>
      <c r="B176" s="680" t="s">
        <v>767</v>
      </c>
      <c r="C176" s="681"/>
      <c r="D176" s="681"/>
      <c r="E176" s="682"/>
      <c r="F176" s="683"/>
      <c r="G176" s="684" t="str">
        <f>+VLOOKUP([1]Data_Validation!$A44,[1]BV_Data_An_Cour!$L:$Q,6,0)</f>
        <v>2-Actifs</v>
      </c>
      <c r="H176" s="3"/>
    </row>
    <row r="177" spans="1:11" ht="15" customHeight="1">
      <c r="A177" s="692" t="s">
        <v>1829</v>
      </c>
      <c r="B177" s="680" t="s">
        <v>768</v>
      </c>
      <c r="C177" s="681"/>
      <c r="D177" s="681"/>
      <c r="E177" s="682"/>
      <c r="F177" s="683"/>
      <c r="G177" s="684" t="str">
        <f>+VLOOKUP([1]Data_Validation!$A45,[1]BV_Data_An_Cour!$L:$Q,6,0)</f>
        <v>2-Actifs</v>
      </c>
      <c r="H177" s="3"/>
    </row>
    <row r="178" spans="1:11" ht="15" customHeight="1">
      <c r="A178" s="692" t="s">
        <v>1832</v>
      </c>
      <c r="B178" s="680" t="s">
        <v>769</v>
      </c>
      <c r="C178" s="681"/>
      <c r="D178" s="681"/>
      <c r="E178" s="682"/>
      <c r="F178" s="683"/>
      <c r="G178" s="684" t="str">
        <f>+VLOOKUP([1]Data_Validation!$A46,[1]BV_Data_An_Cour!$L:$Q,6,0)</f>
        <v>2-Actifs</v>
      </c>
      <c r="H178" s="3"/>
      <c r="K178" s="3"/>
    </row>
    <row r="179" spans="1:11" ht="15" customHeight="1">
      <c r="A179" s="692" t="s">
        <v>1835</v>
      </c>
      <c r="B179" s="680" t="s">
        <v>770</v>
      </c>
      <c r="C179" s="681"/>
      <c r="D179" s="681"/>
      <c r="E179" s="688"/>
      <c r="F179" s="688"/>
      <c r="G179" s="684" t="str">
        <f>+VLOOKUP([1]Data_Validation!$A47,[1]BV_Data_An_Cour!$L:$Q,6,0)</f>
        <v>2-Actifs</v>
      </c>
      <c r="H179" s="3"/>
    </row>
    <row r="180" spans="1:11" ht="15" customHeight="1">
      <c r="A180" s="692" t="s">
        <v>1838</v>
      </c>
      <c r="B180" s="680" t="s">
        <v>771</v>
      </c>
      <c r="C180" s="681"/>
      <c r="D180" s="681"/>
      <c r="E180" s="682"/>
      <c r="F180" s="683"/>
      <c r="G180" s="684" t="str">
        <f>+VLOOKUP([1]Data_Validation!$A48,[1]BV_Data_An_Cour!$L:$Q,6,0)</f>
        <v>2-Actifs</v>
      </c>
      <c r="H180" s="3"/>
    </row>
    <row r="181" spans="1:11" ht="15" customHeight="1">
      <c r="A181" s="692" t="s">
        <v>1841</v>
      </c>
      <c r="B181" s="680" t="s">
        <v>772</v>
      </c>
      <c r="C181" s="681"/>
      <c r="D181" s="681"/>
      <c r="E181" s="688"/>
      <c r="F181" s="688"/>
      <c r="G181" s="684" t="str">
        <f>+VLOOKUP([1]Data_Validation!$A49,[1]BV_Data_An_Cour!$L:$Q,6,0)</f>
        <v>2-Actifs</v>
      </c>
      <c r="H181" s="3"/>
    </row>
    <row r="182" spans="1:11" ht="15" customHeight="1">
      <c r="A182" s="692" t="s">
        <v>966</v>
      </c>
      <c r="B182" s="680" t="s">
        <v>964</v>
      </c>
      <c r="C182" s="681" t="s">
        <v>92</v>
      </c>
      <c r="D182" s="681" t="s">
        <v>104</v>
      </c>
      <c r="E182" s="682" t="s">
        <v>303</v>
      </c>
      <c r="F182" s="683" t="s">
        <v>1370</v>
      </c>
      <c r="G182" s="684" t="e">
        <f>+VLOOKUP([1]Data_Validation!$A231,[1]BV_Data_An_Cour!$L:$Q,6,0)</f>
        <v>#N/A</v>
      </c>
      <c r="H182" s="3"/>
    </row>
    <row r="183" spans="1:11" ht="15" customHeight="1">
      <c r="A183" s="692" t="s">
        <v>968</v>
      </c>
      <c r="B183" s="680" t="s">
        <v>967</v>
      </c>
      <c r="C183" s="681" t="s">
        <v>92</v>
      </c>
      <c r="D183" s="681" t="s">
        <v>104</v>
      </c>
      <c r="E183" s="688" t="s">
        <v>341</v>
      </c>
      <c r="F183" s="688"/>
      <c r="G183" s="684" t="str">
        <f>+VLOOKUP([1]Data_Validation!$A548,[1]BV_Data_An_Cour!$L:$Q,6,0)</f>
        <v>7-Dépenses</v>
      </c>
      <c r="H183" s="3"/>
    </row>
    <row r="184" spans="1:11" ht="15" customHeight="1">
      <c r="A184" s="692" t="s">
        <v>1848</v>
      </c>
      <c r="B184" s="680" t="s">
        <v>1371</v>
      </c>
      <c r="C184" s="681" t="s">
        <v>92</v>
      </c>
      <c r="D184" s="681" t="s">
        <v>97</v>
      </c>
      <c r="E184" s="682" t="s">
        <v>303</v>
      </c>
      <c r="F184" s="683" t="s">
        <v>1370</v>
      </c>
      <c r="G184" s="682" t="e">
        <f>+VLOOKUP([1]Data_Validation!$A232,[1]BV_Data_An_Cour!$L:$Q,6,0)</f>
        <v>#N/A</v>
      </c>
      <c r="H184" s="3"/>
    </row>
    <row r="185" spans="1:11" ht="15" customHeight="1">
      <c r="A185" s="692" t="s">
        <v>1410</v>
      </c>
      <c r="B185" s="680" t="s">
        <v>1411</v>
      </c>
      <c r="C185" s="681" t="s">
        <v>92</v>
      </c>
      <c r="D185" s="681" t="s">
        <v>97</v>
      </c>
      <c r="E185" s="688" t="s">
        <v>341</v>
      </c>
      <c r="F185" s="688"/>
      <c r="G185" s="682" t="str">
        <f>+VLOOKUP([1]Data_Validation!$A549,[1]BV_Data_An_Cour!$L:$Q,6,0)</f>
        <v>7-Dépenses</v>
      </c>
      <c r="H185" s="3"/>
    </row>
    <row r="186" spans="1:11" ht="15" customHeight="1">
      <c r="A186" s="692" t="s">
        <v>1433</v>
      </c>
      <c r="B186" s="680" t="s">
        <v>1372</v>
      </c>
      <c r="C186" s="681" t="s">
        <v>92</v>
      </c>
      <c r="D186" s="681" t="s">
        <v>97</v>
      </c>
      <c r="E186" s="682" t="s">
        <v>303</v>
      </c>
      <c r="F186" s="683" t="s">
        <v>1370</v>
      </c>
      <c r="G186" s="682" t="str">
        <f>+VLOOKUP([1]Data_Validation!$A233,[1]BV_Data_An_Cour!$L:$Q,6,0)</f>
        <v>5-Ventes</v>
      </c>
      <c r="H186" s="3"/>
    </row>
    <row r="187" spans="1:11" ht="15" customHeight="1">
      <c r="A187" s="692" t="s">
        <v>1412</v>
      </c>
      <c r="B187" s="680" t="s">
        <v>1413</v>
      </c>
      <c r="C187" s="681" t="s">
        <v>92</v>
      </c>
      <c r="D187" s="681" t="s">
        <v>97</v>
      </c>
      <c r="E187" s="688" t="s">
        <v>341</v>
      </c>
      <c r="F187" s="688"/>
      <c r="G187" s="682" t="e">
        <f>+VLOOKUP([1]Data_Validation!$A550,[1]BV_Data_An_Cour!$L:$Q,6,0)</f>
        <v>#N/A</v>
      </c>
      <c r="H187" s="3"/>
    </row>
    <row r="188" spans="1:11" ht="15" customHeight="1">
      <c r="A188" s="692" t="s">
        <v>1434</v>
      </c>
      <c r="B188" s="680" t="s">
        <v>1373</v>
      </c>
      <c r="C188" s="681" t="s">
        <v>92</v>
      </c>
      <c r="D188" s="681" t="s">
        <v>97</v>
      </c>
      <c r="E188" s="682" t="s">
        <v>303</v>
      </c>
      <c r="F188" s="683" t="s">
        <v>1370</v>
      </c>
      <c r="G188" s="682" t="str">
        <f>+VLOOKUP([1]Data_Validation!$A234,[1]BV_Data_An_Cour!$L:$Q,6,0)</f>
        <v>10-Compte compteur</v>
      </c>
      <c r="H188" s="3"/>
    </row>
    <row r="189" spans="1:11" ht="15" customHeight="1">
      <c r="A189" s="692" t="s">
        <v>1414</v>
      </c>
      <c r="B189" s="680" t="s">
        <v>1415</v>
      </c>
      <c r="C189" s="681" t="s">
        <v>92</v>
      </c>
      <c r="D189" s="681" t="s">
        <v>97</v>
      </c>
      <c r="E189" s="688" t="s">
        <v>341</v>
      </c>
      <c r="F189" s="688"/>
      <c r="G189" s="682" t="str">
        <f>+VLOOKUP([1]Data_Validation!$A551,[1]BV_Data_An_Cour!$L:$Q,6,0)</f>
        <v>7-Dépenses</v>
      </c>
      <c r="H189" s="3"/>
    </row>
    <row r="190" spans="1:11" ht="15" customHeight="1">
      <c r="A190" s="692" t="s">
        <v>970</v>
      </c>
      <c r="B190" s="680" t="s">
        <v>969</v>
      </c>
      <c r="C190" s="681" t="s">
        <v>92</v>
      </c>
      <c r="D190" s="681" t="s">
        <v>97</v>
      </c>
      <c r="E190" s="682" t="s">
        <v>303</v>
      </c>
      <c r="F190" s="683" t="s">
        <v>1370</v>
      </c>
      <c r="G190" s="684" t="e">
        <f>+VLOOKUP([1]Data_Validation!$A235,[1]BV_Data_An_Cour!$L:$Q,6,0)</f>
        <v>#N/A</v>
      </c>
      <c r="H190" s="3"/>
    </row>
    <row r="191" spans="1:11" ht="15" customHeight="1">
      <c r="A191" s="692" t="s">
        <v>972</v>
      </c>
      <c r="B191" s="680" t="s">
        <v>971</v>
      </c>
      <c r="C191" s="681" t="s">
        <v>92</v>
      </c>
      <c r="D191" s="681" t="s">
        <v>97</v>
      </c>
      <c r="E191" s="688" t="s">
        <v>341</v>
      </c>
      <c r="F191" s="688"/>
      <c r="G191" s="684" t="str">
        <f>+VLOOKUP([1]Data_Validation!$A552,[1]BV_Data_An_Cour!$L:$Q,6,0)</f>
        <v>7-Dépenses</v>
      </c>
      <c r="H191" s="3"/>
    </row>
    <row r="192" spans="1:11" ht="15" customHeight="1">
      <c r="A192" s="692" t="s">
        <v>980</v>
      </c>
      <c r="B192" s="680" t="s">
        <v>773</v>
      </c>
      <c r="C192" s="681"/>
      <c r="D192" s="681"/>
      <c r="E192" s="682"/>
      <c r="F192" s="683"/>
      <c r="G192" s="684" t="e">
        <f>+VLOOKUP([1]Data_Validation!$A50,[1]BV_Data_An_Cour!$L:$Q,6,0)</f>
        <v>#N/A</v>
      </c>
      <c r="H192" s="3"/>
    </row>
    <row r="193" spans="1:8" ht="15" customHeight="1">
      <c r="A193" s="692" t="s">
        <v>974</v>
      </c>
      <c r="B193" s="680" t="s">
        <v>1374</v>
      </c>
      <c r="C193" s="681" t="s">
        <v>92</v>
      </c>
      <c r="D193" s="681" t="s">
        <v>97</v>
      </c>
      <c r="E193" s="682" t="s">
        <v>303</v>
      </c>
      <c r="F193" s="683" t="s">
        <v>1370</v>
      </c>
      <c r="G193" s="684" t="str">
        <f>+VLOOKUP([1]Data_Validation!$A236,[1]BV_Data_An_Cour!$L:$Q,6,0)</f>
        <v>5-Ventes</v>
      </c>
      <c r="H193" s="3"/>
    </row>
    <row r="194" spans="1:8" ht="15" customHeight="1">
      <c r="A194" s="692" t="s">
        <v>975</v>
      </c>
      <c r="B194" s="680" t="s">
        <v>1416</v>
      </c>
      <c r="C194" s="681" t="s">
        <v>92</v>
      </c>
      <c r="D194" s="681" t="s">
        <v>97</v>
      </c>
      <c r="E194" s="688" t="s">
        <v>341</v>
      </c>
      <c r="F194" s="688"/>
      <c r="G194" s="684" t="str">
        <f>+VLOOKUP([1]Data_Validation!$A553,[1]BV_Data_An_Cour!$L:$Q,6,0)</f>
        <v>7-Dépenses</v>
      </c>
      <c r="H194" s="3"/>
    </row>
    <row r="195" spans="1:8" ht="15" customHeight="1">
      <c r="A195" s="692" t="s">
        <v>1871</v>
      </c>
      <c r="B195" s="680" t="s">
        <v>1375</v>
      </c>
      <c r="C195" s="681" t="s">
        <v>92</v>
      </c>
      <c r="D195" s="681" t="s">
        <v>97</v>
      </c>
      <c r="E195" s="682" t="s">
        <v>303</v>
      </c>
      <c r="F195" s="683" t="s">
        <v>1370</v>
      </c>
      <c r="G195" s="682" t="str">
        <f>+VLOOKUP([1]Data_Validation!$A237,[1]BV_Data_An_Cour!$L:$Q,6,0)</f>
        <v>10-Compte compteur</v>
      </c>
      <c r="H195" s="3"/>
    </row>
    <row r="196" spans="1:8" ht="15" customHeight="1">
      <c r="A196" s="692" t="s">
        <v>1417</v>
      </c>
      <c r="B196" s="680" t="s">
        <v>1418</v>
      </c>
      <c r="C196" s="681" t="s">
        <v>92</v>
      </c>
      <c r="D196" s="681" t="s">
        <v>97</v>
      </c>
      <c r="E196" s="688" t="s">
        <v>341</v>
      </c>
      <c r="F196" s="688"/>
      <c r="G196" s="682" t="str">
        <f>+VLOOKUP([1]Data_Validation!$A554,[1]BV_Data_An_Cour!$L:$Q,6,0)</f>
        <v>7-Dépenses</v>
      </c>
      <c r="H196" s="3"/>
    </row>
    <row r="197" spans="1:8" ht="15" customHeight="1">
      <c r="A197" s="692" t="s">
        <v>1437</v>
      </c>
      <c r="B197" s="680" t="s">
        <v>1376</v>
      </c>
      <c r="C197" s="681" t="s">
        <v>92</v>
      </c>
      <c r="D197" s="681" t="s">
        <v>97</v>
      </c>
      <c r="E197" s="682" t="s">
        <v>303</v>
      </c>
      <c r="F197" s="683" t="s">
        <v>1370</v>
      </c>
      <c r="G197" s="682" t="e">
        <f>+VLOOKUP([1]Data_Validation!$A238,[1]BV_Data_An_Cour!$L:$Q,6,0)</f>
        <v>#N/A</v>
      </c>
      <c r="H197" s="3"/>
    </row>
    <row r="198" spans="1:8" ht="15" customHeight="1">
      <c r="A198" s="692" t="s">
        <v>1419</v>
      </c>
      <c r="B198" s="680" t="s">
        <v>1420</v>
      </c>
      <c r="C198" s="681" t="s">
        <v>92</v>
      </c>
      <c r="D198" s="681" t="s">
        <v>97</v>
      </c>
      <c r="E198" s="688" t="s">
        <v>341</v>
      </c>
      <c r="F198" s="688"/>
      <c r="G198" s="682" t="str">
        <f>+VLOOKUP([1]Data_Validation!$A555,[1]BV_Data_An_Cour!$L:$Q,6,0)</f>
        <v>7-Dépenses</v>
      </c>
      <c r="H198" s="3"/>
    </row>
    <row r="199" spans="1:8" ht="15" customHeight="1">
      <c r="A199" s="680" t="s">
        <v>3384</v>
      </c>
      <c r="B199" s="680" t="s">
        <v>1377</v>
      </c>
      <c r="C199" s="681" t="s">
        <v>92</v>
      </c>
      <c r="D199" s="681" t="s">
        <v>98</v>
      </c>
      <c r="E199" s="682" t="s">
        <v>303</v>
      </c>
      <c r="F199" s="683" t="s">
        <v>1370</v>
      </c>
      <c r="G199" s="684" t="e">
        <f>+VLOOKUP([1]Data_Validation!$A239,[1]BV_Data_An_Cour!$L:$Q,6,0)</f>
        <v>#N/A</v>
      </c>
      <c r="H199" s="3"/>
    </row>
    <row r="200" spans="1:8" ht="15" customHeight="1">
      <c r="A200" s="1023" t="s">
        <v>979</v>
      </c>
      <c r="B200" s="680" t="s">
        <v>1421</v>
      </c>
      <c r="C200" s="681" t="s">
        <v>92</v>
      </c>
      <c r="D200" s="681" t="s">
        <v>98</v>
      </c>
      <c r="E200" s="688" t="s">
        <v>341</v>
      </c>
      <c r="F200" s="688"/>
      <c r="G200" s="684" t="str">
        <f>+VLOOKUP([1]Data_Validation!$A556,[1]BV_Data_An_Cour!$L:$Q,6,0)</f>
        <v>7-Dépenses</v>
      </c>
      <c r="H200" s="3"/>
    </row>
    <row r="201" spans="1:8" ht="15" customHeight="1">
      <c r="A201" s="680" t="s">
        <v>982</v>
      </c>
      <c r="B201" s="680" t="s">
        <v>981</v>
      </c>
      <c r="C201" s="681" t="s">
        <v>92</v>
      </c>
      <c r="D201" s="681" t="s">
        <v>98</v>
      </c>
      <c r="E201" s="682" t="s">
        <v>303</v>
      </c>
      <c r="F201" s="683" t="s">
        <v>1370</v>
      </c>
      <c r="G201" s="684" t="e">
        <f>+VLOOKUP([1]Data_Validation!$A240,[1]BV_Data_An_Cour!$L:$Q,6,0)</f>
        <v>#N/A</v>
      </c>
      <c r="H201" s="3"/>
    </row>
    <row r="202" spans="1:8" ht="15" customHeight="1">
      <c r="A202" s="692" t="s">
        <v>984</v>
      </c>
      <c r="B202" s="680" t="s">
        <v>983</v>
      </c>
      <c r="C202" s="681" t="s">
        <v>92</v>
      </c>
      <c r="D202" s="681" t="s">
        <v>98</v>
      </c>
      <c r="E202" s="688" t="s">
        <v>341</v>
      </c>
      <c r="F202" s="688"/>
      <c r="G202" s="684" t="str">
        <f>+VLOOKUP([1]Data_Validation!$A557,[1]BV_Data_An_Cour!$L:$Q,6,0)</f>
        <v>7-Dépenses</v>
      </c>
      <c r="H202" s="3"/>
    </row>
    <row r="203" spans="1:8" ht="15" customHeight="1">
      <c r="A203" s="692" t="s">
        <v>3357</v>
      </c>
      <c r="B203" s="680" t="s">
        <v>774</v>
      </c>
      <c r="C203" s="681"/>
      <c r="D203" s="681"/>
      <c r="E203" s="682"/>
      <c r="F203" s="683"/>
      <c r="G203" s="684" t="str">
        <f>+VLOOKUP([1]Data_Validation!$A51,[1]BV_Data_An_Cour!$L:$Q,6,0)</f>
        <v>2-Actifs</v>
      </c>
      <c r="H203" s="3"/>
    </row>
    <row r="204" spans="1:8" ht="15" customHeight="1">
      <c r="A204" s="692" t="s">
        <v>3353</v>
      </c>
      <c r="B204" s="687" t="s">
        <v>985</v>
      </c>
      <c r="C204" s="681" t="s">
        <v>92</v>
      </c>
      <c r="D204" s="681" t="s">
        <v>98</v>
      </c>
      <c r="E204" s="682" t="s">
        <v>303</v>
      </c>
      <c r="F204" s="683" t="s">
        <v>249</v>
      </c>
      <c r="G204" s="684" t="str">
        <f>+VLOOKUP([1]Data_Validation!$A241,[1]BV_Data_An_Cour!$L:$Q,6,0)</f>
        <v>5-Ventes</v>
      </c>
      <c r="H204" s="3"/>
    </row>
    <row r="205" spans="1:8" ht="15" customHeight="1">
      <c r="A205" s="1023" t="s">
        <v>987</v>
      </c>
      <c r="B205" s="687" t="s">
        <v>986</v>
      </c>
      <c r="C205" s="681" t="s">
        <v>92</v>
      </c>
      <c r="D205" s="681" t="s">
        <v>98</v>
      </c>
      <c r="E205" s="688" t="s">
        <v>341</v>
      </c>
      <c r="F205" s="683"/>
      <c r="G205" s="684" t="str">
        <f>+VLOOKUP([1]Data_Validation!$A558,[1]BV_Data_An_Cour!$L:$Q,6,0)</f>
        <v>7-Dépenses</v>
      </c>
      <c r="H205" s="3"/>
    </row>
    <row r="206" spans="1:8" ht="15" customHeight="1">
      <c r="A206" s="692" t="s">
        <v>989</v>
      </c>
      <c r="B206" s="680" t="s">
        <v>988</v>
      </c>
      <c r="C206" s="681" t="s">
        <v>92</v>
      </c>
      <c r="D206" s="681" t="s">
        <v>97</v>
      </c>
      <c r="E206" s="682" t="s">
        <v>303</v>
      </c>
      <c r="F206" s="683" t="s">
        <v>1370</v>
      </c>
      <c r="G206" s="684" t="str">
        <f>+VLOOKUP([1]Data_Validation!$A242,[1]BV_Data_An_Cour!$L:$Q,6,0)</f>
        <v>10-Compte compteur</v>
      </c>
      <c r="H206" s="3"/>
    </row>
    <row r="207" spans="1:8" ht="15" customHeight="1">
      <c r="A207" s="692" t="s">
        <v>991</v>
      </c>
      <c r="B207" s="680" t="s">
        <v>990</v>
      </c>
      <c r="C207" s="681" t="s">
        <v>92</v>
      </c>
      <c r="D207" s="681" t="s">
        <v>97</v>
      </c>
      <c r="E207" s="688" t="s">
        <v>341</v>
      </c>
      <c r="F207" s="688"/>
      <c r="G207" s="684" t="str">
        <f>+VLOOKUP([1]Data_Validation!$A559,[1]BV_Data_An_Cour!$L:$Q,6,0)</f>
        <v>7-Dépenses</v>
      </c>
      <c r="H207" s="3"/>
    </row>
    <row r="208" spans="1:8" ht="15" customHeight="1">
      <c r="A208" s="692" t="s">
        <v>993</v>
      </c>
      <c r="B208" s="680" t="s">
        <v>992</v>
      </c>
      <c r="C208" s="681" t="s">
        <v>92</v>
      </c>
      <c r="D208" s="681" t="s">
        <v>98</v>
      </c>
      <c r="E208" s="682" t="s">
        <v>303</v>
      </c>
      <c r="F208" s="683" t="s">
        <v>1370</v>
      </c>
      <c r="G208" s="684" t="str">
        <f>+VLOOKUP([1]Data_Validation!$A243,[1]BV_Data_An_Cour!$L:$Q,6,0)</f>
        <v>5-Ventes</v>
      </c>
      <c r="H208" s="3"/>
    </row>
    <row r="209" spans="1:8" ht="15" customHeight="1">
      <c r="A209" s="680" t="s">
        <v>995</v>
      </c>
      <c r="B209" s="680" t="s">
        <v>994</v>
      </c>
      <c r="C209" s="681" t="s">
        <v>92</v>
      </c>
      <c r="D209" s="681" t="s">
        <v>98</v>
      </c>
      <c r="E209" s="688" t="s">
        <v>341</v>
      </c>
      <c r="F209" s="688"/>
      <c r="G209" s="684" t="str">
        <f>+VLOOKUP([1]Data_Validation!$A561,[1]BV_Data_An_Cour!$L:$Q,6,0)</f>
        <v>7-Dépenses</v>
      </c>
      <c r="H209" s="3"/>
    </row>
    <row r="210" spans="1:8" ht="15" customHeight="1">
      <c r="A210" s="692" t="s">
        <v>1435</v>
      </c>
      <c r="B210" s="680" t="s">
        <v>1378</v>
      </c>
      <c r="C210" s="681" t="s">
        <v>92</v>
      </c>
      <c r="D210" s="681" t="s">
        <v>97</v>
      </c>
      <c r="E210" s="682" t="s">
        <v>303</v>
      </c>
      <c r="F210" s="683" t="s">
        <v>1370</v>
      </c>
      <c r="G210" s="682" t="e">
        <f>+VLOOKUP([1]Data_Validation!$A244,[1]BV_Data_An_Cour!$L:$Q,6,0)</f>
        <v>#N/A</v>
      </c>
      <c r="H210" s="3"/>
    </row>
    <row r="211" spans="1:8" ht="15" customHeight="1">
      <c r="A211" s="692" t="s">
        <v>1422</v>
      </c>
      <c r="B211" s="680" t="s">
        <v>1423</v>
      </c>
      <c r="C211" s="681" t="s">
        <v>92</v>
      </c>
      <c r="D211" s="681" t="s">
        <v>97</v>
      </c>
      <c r="E211" s="688" t="s">
        <v>341</v>
      </c>
      <c r="F211" s="688"/>
      <c r="G211" s="682" t="str">
        <f>+VLOOKUP([1]Data_Validation!$A562,[1]BV_Data_An_Cour!$L:$Q,6,0)</f>
        <v>7-Dépenses</v>
      </c>
      <c r="H211" s="3"/>
    </row>
    <row r="212" spans="1:8" ht="15" customHeight="1">
      <c r="A212" s="692" t="s">
        <v>997</v>
      </c>
      <c r="B212" s="680" t="s">
        <v>996</v>
      </c>
      <c r="C212" s="681" t="s">
        <v>92</v>
      </c>
      <c r="D212" s="681" t="s">
        <v>103</v>
      </c>
      <c r="E212" s="682" t="s">
        <v>303</v>
      </c>
      <c r="F212" s="683" t="s">
        <v>1370</v>
      </c>
      <c r="G212" s="684" t="str">
        <f>+VLOOKUP([1]Data_Validation!$A245,[1]BV_Data_An_Cour!$L:$Q,6,0)</f>
        <v>5-Ventes</v>
      </c>
      <c r="H212" s="3"/>
    </row>
    <row r="213" spans="1:8" ht="15" customHeight="1">
      <c r="A213" s="692" t="s">
        <v>999</v>
      </c>
      <c r="B213" s="680" t="s">
        <v>998</v>
      </c>
      <c r="C213" s="681" t="s">
        <v>92</v>
      </c>
      <c r="D213" s="681" t="s">
        <v>103</v>
      </c>
      <c r="E213" s="688" t="s">
        <v>341</v>
      </c>
      <c r="F213" s="688"/>
      <c r="G213" s="684" t="e">
        <f>+VLOOKUP([1]Data_Validation!$A563,[1]BV_Data_An_Cour!$L:$Q,6,0)</f>
        <v>#N/A</v>
      </c>
      <c r="H213" s="3"/>
    </row>
    <row r="214" spans="1:8" ht="15" customHeight="1">
      <c r="A214" s="692" t="s">
        <v>1001</v>
      </c>
      <c r="B214" s="680" t="s">
        <v>1000</v>
      </c>
      <c r="C214" s="681" t="s">
        <v>92</v>
      </c>
      <c r="D214" s="681" t="s">
        <v>102</v>
      </c>
      <c r="E214" s="682" t="s">
        <v>303</v>
      </c>
      <c r="F214" s="683" t="s">
        <v>1370</v>
      </c>
      <c r="G214" s="684" t="str">
        <f>+VLOOKUP([1]Data_Validation!$A246,[1]BV_Data_An_Cour!$L:$Q,6,0)</f>
        <v>10-Compte compteur</v>
      </c>
      <c r="H214" s="3"/>
    </row>
    <row r="215" spans="1:8" ht="15" customHeight="1">
      <c r="A215" s="680" t="s">
        <v>1003</v>
      </c>
      <c r="B215" s="680" t="s">
        <v>1002</v>
      </c>
      <c r="C215" s="681" t="s">
        <v>92</v>
      </c>
      <c r="D215" s="681" t="s">
        <v>102</v>
      </c>
      <c r="E215" s="688" t="s">
        <v>341</v>
      </c>
      <c r="F215" s="688"/>
      <c r="G215" s="684" t="str">
        <f>+VLOOKUP([1]Data_Validation!$A564,[1]BV_Data_An_Cour!$L:$Q,6,0)</f>
        <v>1-Mémo</v>
      </c>
      <c r="H215" s="3"/>
    </row>
    <row r="216" spans="1:8" ht="15" customHeight="1">
      <c r="A216" s="680" t="s">
        <v>3921</v>
      </c>
      <c r="B216" s="680" t="s">
        <v>3920</v>
      </c>
      <c r="C216" s="681" t="s">
        <v>92</v>
      </c>
      <c r="D216" s="681" t="s">
        <v>98</v>
      </c>
      <c r="E216" s="682" t="s">
        <v>303</v>
      </c>
      <c r="F216" s="683" t="s">
        <v>1370</v>
      </c>
      <c r="G216" s="684" t="e">
        <f>+VLOOKUP([1]Data_Validation!$A251,[1]BV_Data_An_Cour!$L:$Q,6,0)</f>
        <v>#N/A</v>
      </c>
      <c r="H216" s="3"/>
    </row>
    <row r="217" spans="1:8" ht="15" customHeight="1">
      <c r="A217" s="1163" t="s">
        <v>3926</v>
      </c>
      <c r="B217" s="680" t="s">
        <v>3925</v>
      </c>
      <c r="C217" s="681" t="s">
        <v>92</v>
      </c>
      <c r="D217" s="681" t="s">
        <v>98</v>
      </c>
      <c r="E217" s="688" t="s">
        <v>341</v>
      </c>
      <c r="F217" s="688"/>
      <c r="G217" s="684" t="str">
        <f>+VLOOKUP([1]Data_Validation!$A569,[1]BV_Data_An_Cour!$L:$Q,6,0)</f>
        <v>7-Dépenses</v>
      </c>
      <c r="H217" s="3"/>
    </row>
    <row r="218" spans="1:8" ht="15" customHeight="1">
      <c r="A218" s="692" t="s">
        <v>3385</v>
      </c>
      <c r="B218" s="680" t="s">
        <v>1379</v>
      </c>
      <c r="C218" s="681" t="s">
        <v>92</v>
      </c>
      <c r="D218" s="681" t="s">
        <v>97</v>
      </c>
      <c r="E218" s="682" t="s">
        <v>303</v>
      </c>
      <c r="F218" s="683" t="s">
        <v>1370</v>
      </c>
      <c r="G218" s="684" t="str">
        <f>+VLOOKUP([1]Data_Validation!$A247,[1]BV_Data_An_Cour!$L:$Q,6,0)</f>
        <v>5-Ventes</v>
      </c>
      <c r="H218" s="3"/>
    </row>
    <row r="219" spans="1:8" ht="15" customHeight="1">
      <c r="A219" s="692" t="s">
        <v>1007</v>
      </c>
      <c r="B219" s="680" t="s">
        <v>1424</v>
      </c>
      <c r="C219" s="681" t="s">
        <v>92</v>
      </c>
      <c r="D219" s="681" t="s">
        <v>97</v>
      </c>
      <c r="E219" s="688" t="s">
        <v>341</v>
      </c>
      <c r="F219" s="688"/>
      <c r="G219" s="684" t="str">
        <f>+VLOOKUP([1]Data_Validation!$A565,[1]BV_Data_An_Cour!$L:$Q,6,0)</f>
        <v>7-Dépenses</v>
      </c>
      <c r="H219" s="3"/>
    </row>
    <row r="220" spans="1:8" ht="15" customHeight="1">
      <c r="A220" s="692" t="s">
        <v>3386</v>
      </c>
      <c r="B220" s="680" t="s">
        <v>1380</v>
      </c>
      <c r="C220" s="681" t="s">
        <v>92</v>
      </c>
      <c r="D220" s="681" t="s">
        <v>104</v>
      </c>
      <c r="E220" s="682" t="s">
        <v>303</v>
      </c>
      <c r="F220" s="683" t="s">
        <v>1370</v>
      </c>
      <c r="G220" s="682" t="str">
        <f>+VLOOKUP([1]Data_Validation!$A248,[1]BV_Data_An_Cour!$L:$Q,6,0)</f>
        <v>10-Compte compteur</v>
      </c>
      <c r="H220" s="3"/>
    </row>
    <row r="221" spans="1:8" ht="15" customHeight="1">
      <c r="A221" s="692" t="s">
        <v>1009</v>
      </c>
      <c r="B221" s="680" t="s">
        <v>1008</v>
      </c>
      <c r="C221" s="681" t="s">
        <v>152</v>
      </c>
      <c r="D221" s="681" t="s">
        <v>153</v>
      </c>
      <c r="E221" s="682" t="s">
        <v>303</v>
      </c>
      <c r="F221" s="683" t="s">
        <v>1370</v>
      </c>
      <c r="G221" s="684" t="e">
        <f>+VLOOKUP([1]Data_Validation!$A249,[1]BV_Data_An_Cour!$L:$Q,6,0)</f>
        <v>#N/A</v>
      </c>
      <c r="H221" s="3"/>
    </row>
    <row r="222" spans="1:8" ht="15" customHeight="1">
      <c r="A222" s="692" t="s">
        <v>1011</v>
      </c>
      <c r="B222" s="680" t="s">
        <v>1010</v>
      </c>
      <c r="C222" s="681" t="s">
        <v>152</v>
      </c>
      <c r="D222" s="681" t="s">
        <v>153</v>
      </c>
      <c r="E222" s="688" t="s">
        <v>341</v>
      </c>
      <c r="F222" s="688"/>
      <c r="G222" s="684" t="str">
        <f>+VLOOKUP([1]Data_Validation!$A566,[1]BV_Data_An_Cour!$L:$Q,6,0)</f>
        <v>7-Dépenses</v>
      </c>
      <c r="H222" s="3"/>
    </row>
    <row r="223" spans="1:8" ht="15" customHeight="1">
      <c r="A223" s="692" t="s">
        <v>1907</v>
      </c>
      <c r="B223" s="680" t="s">
        <v>775</v>
      </c>
      <c r="C223" s="681"/>
      <c r="D223" s="681"/>
      <c r="E223" s="682"/>
      <c r="F223" s="683"/>
      <c r="G223" s="684" t="str">
        <f>+VLOOKUP([1]Data_Validation!$A52,[1]BV_Data_An_Cour!$L:$Q,6,0)</f>
        <v>2-Actifs</v>
      </c>
      <c r="H223" s="3"/>
    </row>
    <row r="224" spans="1:8" ht="15" customHeight="1">
      <c r="A224" s="692" t="s">
        <v>1013</v>
      </c>
      <c r="B224" s="680" t="s">
        <v>1012</v>
      </c>
      <c r="C224" s="681" t="s">
        <v>152</v>
      </c>
      <c r="D224" s="681" t="s">
        <v>154</v>
      </c>
      <c r="E224" s="682" t="s">
        <v>303</v>
      </c>
      <c r="F224" s="683" t="s">
        <v>1370</v>
      </c>
      <c r="G224" s="684" t="e">
        <f>+VLOOKUP([1]Data_Validation!$A250,[1]BV_Data_An_Cour!$L:$Q,6,0)</f>
        <v>#N/A</v>
      </c>
      <c r="H224" s="4"/>
    </row>
    <row r="225" spans="1:8" ht="15" customHeight="1">
      <c r="A225" s="692" t="s">
        <v>1015</v>
      </c>
      <c r="B225" s="680" t="s">
        <v>1014</v>
      </c>
      <c r="C225" s="681" t="s">
        <v>152</v>
      </c>
      <c r="D225" s="681" t="s">
        <v>154</v>
      </c>
      <c r="E225" s="688" t="s">
        <v>341</v>
      </c>
      <c r="F225" s="688"/>
      <c r="G225" s="684" t="str">
        <f>+VLOOKUP([1]Data_Validation!$A567,[1]BV_Data_An_Cour!$L:$Q,6,0)</f>
        <v>7-Dépenses</v>
      </c>
      <c r="H225" s="3"/>
    </row>
    <row r="226" spans="1:8" ht="15" customHeight="1">
      <c r="A226" s="692" t="s">
        <v>1914</v>
      </c>
      <c r="B226" s="680" t="s">
        <v>776</v>
      </c>
      <c r="C226" s="681"/>
      <c r="D226" s="681"/>
      <c r="E226" s="682"/>
      <c r="F226" s="683"/>
      <c r="G226" s="684" t="e">
        <f>+VLOOKUP([1]Data_Validation!$A53,[1]BV_Data_An_Cour!$L:$Q,6,0)</f>
        <v>#N/A</v>
      </c>
      <c r="H226" s="3"/>
    </row>
    <row r="227" spans="1:8" ht="15" customHeight="1">
      <c r="A227" s="692" t="s">
        <v>1917</v>
      </c>
      <c r="B227" s="680" t="s">
        <v>777</v>
      </c>
      <c r="C227" s="681"/>
      <c r="D227" s="681"/>
      <c r="E227" s="682"/>
      <c r="F227" s="683"/>
      <c r="G227" s="684" t="str">
        <f>+VLOOKUP([1]Data_Validation!$A54,[1]BV_Data_An_Cour!$L:$Q,6,0)</f>
        <v>2-Actifs</v>
      </c>
      <c r="H227" s="3"/>
    </row>
    <row r="228" spans="1:8" ht="15" customHeight="1">
      <c r="A228" s="692" t="s">
        <v>1920</v>
      </c>
      <c r="B228" s="680" t="s">
        <v>778</v>
      </c>
      <c r="C228" s="681"/>
      <c r="D228" s="681"/>
      <c r="E228" s="682"/>
      <c r="F228" s="683"/>
      <c r="G228" s="684" t="e">
        <f>+VLOOKUP([1]Data_Validation!$A55,[1]BV_Data_An_Cour!$L:$Q,6,0)</f>
        <v>#N/A</v>
      </c>
      <c r="H228" s="3"/>
    </row>
    <row r="229" spans="1:8" ht="15" customHeight="1">
      <c r="A229" s="692" t="s">
        <v>1923</v>
      </c>
      <c r="B229" s="680" t="s">
        <v>779</v>
      </c>
      <c r="C229" s="681"/>
      <c r="D229" s="681"/>
      <c r="E229" s="682"/>
      <c r="F229" s="683"/>
      <c r="G229" s="684" t="str">
        <f>+VLOOKUP([1]Data_Validation!$A56,[1]BV_Data_An_Cour!$L:$Q,6,0)</f>
        <v>2-Actifs</v>
      </c>
      <c r="H229" s="3"/>
    </row>
    <row r="230" spans="1:8" ht="15" customHeight="1">
      <c r="A230" s="692" t="s">
        <v>1926</v>
      </c>
      <c r="B230" s="680" t="s">
        <v>780</v>
      </c>
      <c r="C230" s="681"/>
      <c r="D230" s="681"/>
      <c r="E230" s="682"/>
      <c r="F230" s="683"/>
      <c r="G230" s="684" t="str">
        <f>+VLOOKUP([1]Data_Validation!$A57,[1]BV_Data_An_Cour!$L:$Q,6,0)</f>
        <v>2-Actifs</v>
      </c>
      <c r="H230" s="3"/>
    </row>
    <row r="231" spans="1:8" ht="15" customHeight="1">
      <c r="A231" s="692" t="s">
        <v>1929</v>
      </c>
      <c r="B231" s="680" t="s">
        <v>781</v>
      </c>
      <c r="C231" s="681"/>
      <c r="D231" s="681"/>
      <c r="E231" s="682"/>
      <c r="F231" s="683"/>
      <c r="G231" s="684" t="e">
        <f>+VLOOKUP([1]Data_Validation!$A58,[1]BV_Data_An_Cour!$L:$Q,6,0)</f>
        <v>#N/A</v>
      </c>
      <c r="H231" s="3"/>
    </row>
    <row r="232" spans="1:8" ht="15" customHeight="1">
      <c r="A232" s="692" t="s">
        <v>1932</v>
      </c>
      <c r="B232" s="680" t="s">
        <v>782</v>
      </c>
      <c r="C232" s="681"/>
      <c r="D232" s="681"/>
      <c r="E232" s="682"/>
      <c r="F232" s="683"/>
      <c r="G232" s="684" t="e">
        <f>+VLOOKUP([1]Data_Validation!$A59,[1]BV_Data_An_Cour!$L:$Q,6,0)</f>
        <v>#N/A</v>
      </c>
      <c r="H232" s="3"/>
    </row>
    <row r="233" spans="1:8" ht="15" customHeight="1">
      <c r="A233" s="692" t="s">
        <v>1935</v>
      </c>
      <c r="B233" s="680" t="s">
        <v>1016</v>
      </c>
      <c r="C233" s="681" t="s">
        <v>152</v>
      </c>
      <c r="D233" s="681" t="s">
        <v>154</v>
      </c>
      <c r="E233" s="682" t="s">
        <v>303</v>
      </c>
      <c r="F233" s="683" t="s">
        <v>1370</v>
      </c>
      <c r="G233" s="684" t="str">
        <f>+VLOOKUP([1]Data_Validation!$A252,[1]BV_Data_An_Cour!$L:$Q,6,0)</f>
        <v>5-Ventes</v>
      </c>
      <c r="H233" s="3"/>
    </row>
    <row r="234" spans="1:8" ht="15" customHeight="1">
      <c r="A234" s="692" t="s">
        <v>1019</v>
      </c>
      <c r="B234" s="680" t="s">
        <v>1018</v>
      </c>
      <c r="C234" s="681" t="s">
        <v>152</v>
      </c>
      <c r="D234" s="681" t="s">
        <v>154</v>
      </c>
      <c r="E234" s="688" t="s">
        <v>341</v>
      </c>
      <c r="F234" s="688"/>
      <c r="G234" s="684" t="str">
        <f>+VLOOKUP([1]Data_Validation!$A568,[1]BV_Data_An_Cour!$L:$Q,6,0)</f>
        <v>7-Dépenses</v>
      </c>
      <c r="H234" s="3"/>
    </row>
    <row r="235" spans="1:8" ht="15" customHeight="1">
      <c r="A235" s="692" t="s">
        <v>1941</v>
      </c>
      <c r="B235" s="680" t="s">
        <v>783</v>
      </c>
      <c r="C235" s="681"/>
      <c r="D235" s="681"/>
      <c r="E235" s="682"/>
      <c r="F235" s="683"/>
      <c r="G235" s="684" t="e">
        <f>+VLOOKUP([1]Data_Validation!$A60,[1]BV_Data_An_Cour!$L:$Q,6,0)</f>
        <v>#N/A</v>
      </c>
      <c r="H235" s="3"/>
    </row>
    <row r="236" spans="1:8" ht="15" customHeight="1">
      <c r="A236" s="692" t="s">
        <v>1944</v>
      </c>
      <c r="B236" s="680" t="s">
        <v>1020</v>
      </c>
      <c r="C236" s="681" t="s">
        <v>152</v>
      </c>
      <c r="D236" s="681" t="s">
        <v>156</v>
      </c>
      <c r="E236" s="682" t="s">
        <v>303</v>
      </c>
      <c r="F236" s="683" t="s">
        <v>1370</v>
      </c>
      <c r="G236" s="684" t="str">
        <f>+VLOOKUP([1]Data_Validation!$A253,[1]BV_Data_An_Cour!$L:$Q,6,0)</f>
        <v>10-Compte compteur</v>
      </c>
      <c r="H236" s="3"/>
    </row>
    <row r="237" spans="1:8" ht="15" customHeight="1">
      <c r="A237" s="692" t="s">
        <v>1023</v>
      </c>
      <c r="B237" s="680" t="s">
        <v>1022</v>
      </c>
      <c r="C237" s="681" t="s">
        <v>152</v>
      </c>
      <c r="D237" s="681" t="s">
        <v>156</v>
      </c>
      <c r="E237" s="688" t="s">
        <v>341</v>
      </c>
      <c r="F237" s="688"/>
      <c r="G237" s="684" t="str">
        <f>+VLOOKUP([1]Data_Validation!$A569,[1]BV_Data_An_Cour!$L:$Q,6,0)</f>
        <v>7-Dépenses</v>
      </c>
      <c r="H237" s="3"/>
    </row>
    <row r="238" spans="1:8" ht="15" customHeight="1">
      <c r="A238" s="692" t="s">
        <v>1949</v>
      </c>
      <c r="B238" s="680" t="s">
        <v>784</v>
      </c>
      <c r="C238" s="681"/>
      <c r="D238" s="681"/>
      <c r="E238" s="682"/>
      <c r="F238" s="683"/>
      <c r="G238" s="684" t="e">
        <f>+VLOOKUP([1]Data_Validation!$A61,[1]BV_Data_An_Cour!$L:$Q,6,0)</f>
        <v>#N/A</v>
      </c>
      <c r="H238" s="3"/>
    </row>
    <row r="239" spans="1:8" ht="15" customHeight="1">
      <c r="A239" s="692" t="s">
        <v>1952</v>
      </c>
      <c r="B239" s="680" t="s">
        <v>785</v>
      </c>
      <c r="C239" s="681"/>
      <c r="D239" s="681"/>
      <c r="E239" s="682"/>
      <c r="F239" s="683"/>
      <c r="G239" s="684" t="str">
        <f>+VLOOKUP([1]Data_Validation!$A62,[1]BV_Data_An_Cour!$L:$Q,6,0)</f>
        <v>2-Actifs</v>
      </c>
      <c r="H239" s="3"/>
    </row>
    <row r="240" spans="1:8" ht="15" customHeight="1">
      <c r="A240" s="692" t="s">
        <v>3358</v>
      </c>
      <c r="B240" s="680" t="s">
        <v>1335</v>
      </c>
      <c r="C240" s="681"/>
      <c r="D240" s="681"/>
      <c r="E240" s="682"/>
      <c r="F240" s="683"/>
      <c r="G240" s="684" t="e">
        <f>+VLOOKUP([1]Data_Validation!$A63,[1]BV_Data_An_Cour!$L:$Q,6,0)</f>
        <v>#N/A</v>
      </c>
      <c r="H240" s="3"/>
    </row>
    <row r="241" spans="1:8" ht="15" customHeight="1">
      <c r="A241" s="692" t="s">
        <v>1025</v>
      </c>
      <c r="B241" s="680" t="s">
        <v>1024</v>
      </c>
      <c r="C241" s="681" t="s">
        <v>161</v>
      </c>
      <c r="D241" s="681" t="s">
        <v>164</v>
      </c>
      <c r="E241" s="682" t="s">
        <v>303</v>
      </c>
      <c r="F241" s="683" t="s">
        <v>1370</v>
      </c>
      <c r="G241" s="684" t="str">
        <f>+VLOOKUP([1]Data_Validation!$A254,[1]BV_Data_An_Cour!$L:$Q,6,0)</f>
        <v>5-Ventes</v>
      </c>
      <c r="H241" s="4"/>
    </row>
    <row r="242" spans="1:8" ht="15" customHeight="1">
      <c r="A242" s="692" t="s">
        <v>1026</v>
      </c>
      <c r="B242" s="680" t="s">
        <v>1024</v>
      </c>
      <c r="C242" s="681" t="s">
        <v>161</v>
      </c>
      <c r="D242" s="681" t="s">
        <v>164</v>
      </c>
      <c r="E242" s="688" t="s">
        <v>341</v>
      </c>
      <c r="F242" s="688"/>
      <c r="G242" s="684" t="str">
        <f>+VLOOKUP([1]Data_Validation!$A570,[1]BV_Data_An_Cour!$L:$Q,6,0)</f>
        <v>7-Dépenses</v>
      </c>
      <c r="H242" s="3"/>
    </row>
    <row r="243" spans="1:8" ht="15" customHeight="1">
      <c r="A243" s="692" t="s">
        <v>1028</v>
      </c>
      <c r="B243" s="680" t="s">
        <v>1027</v>
      </c>
      <c r="C243" s="681" t="s">
        <v>161</v>
      </c>
      <c r="D243" s="681" t="s">
        <v>168</v>
      </c>
      <c r="E243" s="682" t="s">
        <v>303</v>
      </c>
      <c r="F243" s="683" t="s">
        <v>1370</v>
      </c>
      <c r="G243" s="684" t="str">
        <f>+VLOOKUP([1]Data_Validation!$A255,[1]BV_Data_An_Cour!$L:$Q,6,0)</f>
        <v>10-Compte compteur</v>
      </c>
      <c r="H243" s="3"/>
    </row>
    <row r="244" spans="1:8" ht="15" customHeight="1">
      <c r="A244" s="692" t="s">
        <v>1425</v>
      </c>
      <c r="B244" s="680" t="s">
        <v>1426</v>
      </c>
      <c r="C244" s="681" t="s">
        <v>161</v>
      </c>
      <c r="D244" s="681" t="s">
        <v>168</v>
      </c>
      <c r="E244" s="688" t="s">
        <v>341</v>
      </c>
      <c r="F244" s="688"/>
      <c r="G244" s="682" t="e">
        <f>+VLOOKUP([1]Data_Validation!$A571,[1]BV_Data_An_Cour!$L:$Q,6,0)</f>
        <v>#N/A</v>
      </c>
      <c r="H244" s="3"/>
    </row>
    <row r="245" spans="1:8" ht="15" customHeight="1">
      <c r="A245" s="692" t="s">
        <v>1030</v>
      </c>
      <c r="B245" s="680" t="s">
        <v>1029</v>
      </c>
      <c r="C245" s="681" t="s">
        <v>161</v>
      </c>
      <c r="D245" s="681" t="s">
        <v>166</v>
      </c>
      <c r="E245" s="682" t="s">
        <v>303</v>
      </c>
      <c r="F245" s="683" t="s">
        <v>1370</v>
      </c>
      <c r="G245" s="684" t="str">
        <f>+VLOOKUP([1]Data_Validation!$A256,[1]BV_Data_An_Cour!$L:$Q,6,0)</f>
        <v>5-Ventes</v>
      </c>
      <c r="H245" s="3"/>
    </row>
    <row r="246" spans="1:8" ht="15" customHeight="1">
      <c r="A246" s="692" t="s">
        <v>1031</v>
      </c>
      <c r="B246" s="680" t="s">
        <v>1029</v>
      </c>
      <c r="C246" s="681" t="s">
        <v>161</v>
      </c>
      <c r="D246" s="681" t="s">
        <v>166</v>
      </c>
      <c r="E246" s="688" t="s">
        <v>341</v>
      </c>
      <c r="F246" s="688"/>
      <c r="G246" s="684" t="e">
        <f>+VLOOKUP([1]Data_Validation!$A572,[1]BV_Data_An_Cour!$L:$Q,6,0)</f>
        <v>#N/A</v>
      </c>
      <c r="H246" s="3"/>
    </row>
    <row r="247" spans="1:8" ht="15" customHeight="1">
      <c r="A247" s="680" t="s">
        <v>1033</v>
      </c>
      <c r="B247" s="680" t="s">
        <v>1032</v>
      </c>
      <c r="C247" s="681" t="s">
        <v>161</v>
      </c>
      <c r="D247" s="681" t="s">
        <v>167</v>
      </c>
      <c r="E247" s="682" t="s">
        <v>303</v>
      </c>
      <c r="F247" s="683" t="s">
        <v>1370</v>
      </c>
      <c r="G247" s="684" t="str">
        <f>+VLOOKUP([1]Data_Validation!$A257,[1]BV_Data_An_Cour!$L:$Q,6,0)</f>
        <v>10-Compte compteur</v>
      </c>
      <c r="H247" s="3"/>
    </row>
    <row r="248" spans="1:8" ht="15" customHeight="1">
      <c r="A248" s="692" t="s">
        <v>1034</v>
      </c>
      <c r="B248" s="680" t="s">
        <v>1032</v>
      </c>
      <c r="C248" s="681" t="s">
        <v>161</v>
      </c>
      <c r="D248" s="681" t="s">
        <v>167</v>
      </c>
      <c r="E248" s="688" t="s">
        <v>341</v>
      </c>
      <c r="F248" s="688"/>
      <c r="G248" s="684" t="e">
        <f>+VLOOKUP([1]Data_Validation!$A573,[1]BV_Data_An_Cour!$L:$Q,6,0)</f>
        <v>#N/A</v>
      </c>
      <c r="H248" s="3"/>
    </row>
    <row r="249" spans="1:8" ht="15" customHeight="1">
      <c r="A249" s="680" t="s">
        <v>1971</v>
      </c>
      <c r="B249" s="690" t="s">
        <v>1381</v>
      </c>
      <c r="C249" s="681" t="s">
        <v>161</v>
      </c>
      <c r="D249" s="681" t="s">
        <v>164</v>
      </c>
      <c r="E249" s="682" t="s">
        <v>303</v>
      </c>
      <c r="F249" s="683" t="s">
        <v>1370</v>
      </c>
      <c r="G249" s="682" t="str">
        <f>+VLOOKUP([1]Data_Validation!$A258,[1]BV_Data_An_Cour!$L:$Q,6,0)</f>
        <v>5-Ventes</v>
      </c>
      <c r="H249" s="3"/>
    </row>
    <row r="250" spans="1:8" ht="15" customHeight="1">
      <c r="A250" s="692" t="s">
        <v>1427</v>
      </c>
      <c r="B250" s="680" t="s">
        <v>1428</v>
      </c>
      <c r="C250" s="681" t="s">
        <v>161</v>
      </c>
      <c r="D250" s="681" t="s">
        <v>164</v>
      </c>
      <c r="E250" s="688" t="s">
        <v>341</v>
      </c>
      <c r="F250" s="688"/>
      <c r="G250" s="682" t="e">
        <f>+VLOOKUP([1]Data_Validation!$A574,[1]BV_Data_An_Cour!$L:$Q,6,0)</f>
        <v>#N/A</v>
      </c>
      <c r="H250" s="3"/>
    </row>
    <row r="251" spans="1:8" ht="15" customHeight="1">
      <c r="A251" s="692" t="s">
        <v>3429</v>
      </c>
      <c r="B251" s="680" t="s">
        <v>3428</v>
      </c>
      <c r="C251" s="681" t="s">
        <v>161</v>
      </c>
      <c r="D251" s="681" t="s">
        <v>167</v>
      </c>
      <c r="E251" s="682" t="s">
        <v>303</v>
      </c>
      <c r="F251" s="683" t="s">
        <v>1370</v>
      </c>
      <c r="G251" s="682" t="e">
        <f>+VLOOKUP([1]Data_Validation!$A260,[1]BV_Data_An_Cour!$L:$Q,6,0)</f>
        <v>#N/A</v>
      </c>
      <c r="H251" s="3"/>
    </row>
    <row r="252" spans="1:8" ht="15" customHeight="1">
      <c r="A252" s="692" t="s">
        <v>1976</v>
      </c>
      <c r="B252" s="680" t="s">
        <v>1035</v>
      </c>
      <c r="C252" s="681" t="s">
        <v>180</v>
      </c>
      <c r="D252" s="681" t="s">
        <v>192</v>
      </c>
      <c r="E252" s="682" t="s">
        <v>303</v>
      </c>
      <c r="F252" s="683" t="s">
        <v>1370</v>
      </c>
      <c r="G252" s="684" t="str">
        <f>+VLOOKUP([1]Data_Validation!$A259,[1]BV_Data_An_Cour!$L:$Q,6,0)</f>
        <v>10-Compte compteur</v>
      </c>
      <c r="H252" s="3"/>
    </row>
    <row r="253" spans="1:8" ht="15" customHeight="1">
      <c r="A253" s="692" t="s">
        <v>1037</v>
      </c>
      <c r="B253" s="680" t="s">
        <v>1035</v>
      </c>
      <c r="C253" s="681" t="s">
        <v>180</v>
      </c>
      <c r="D253" s="681" t="s">
        <v>192</v>
      </c>
      <c r="E253" s="688" t="s">
        <v>341</v>
      </c>
      <c r="F253" s="688"/>
      <c r="G253" s="684" t="e">
        <f>+VLOOKUP([1]Data_Validation!$A575,[1]BV_Data_An_Cour!$L:$Q,6,0)</f>
        <v>#N/A</v>
      </c>
      <c r="H253" s="3"/>
    </row>
    <row r="254" spans="1:8" ht="15" customHeight="1">
      <c r="A254" s="692" t="s">
        <v>1039</v>
      </c>
      <c r="B254" s="680" t="s">
        <v>1038</v>
      </c>
      <c r="C254" s="681" t="s">
        <v>161</v>
      </c>
      <c r="D254" s="681" t="s">
        <v>172</v>
      </c>
      <c r="E254" s="682" t="s">
        <v>303</v>
      </c>
      <c r="F254" s="683" t="s">
        <v>1370</v>
      </c>
      <c r="G254" s="684" t="e">
        <f>+VLOOKUP([1]Data_Validation!$A260,[1]BV_Data_An_Cour!$L:$Q,6,0)</f>
        <v>#N/A</v>
      </c>
      <c r="H254" s="3"/>
    </row>
    <row r="255" spans="1:8" ht="15" customHeight="1">
      <c r="A255" s="692" t="s">
        <v>1040</v>
      </c>
      <c r="B255" s="680" t="s">
        <v>1038</v>
      </c>
      <c r="C255" s="681" t="s">
        <v>161</v>
      </c>
      <c r="D255" s="681" t="s">
        <v>172</v>
      </c>
      <c r="E255" s="688" t="s">
        <v>341</v>
      </c>
      <c r="F255" s="688"/>
      <c r="G255" s="684" t="str">
        <f>+VLOOKUP([1]Data_Validation!$A576,[1]BV_Data_An_Cour!$L:$Q,6,0)</f>
        <v>8-Autres revenus</v>
      </c>
      <c r="H255" s="3"/>
    </row>
    <row r="256" spans="1:8" ht="15" customHeight="1">
      <c r="A256" s="692" t="s">
        <v>1042</v>
      </c>
      <c r="B256" s="680" t="s">
        <v>1041</v>
      </c>
      <c r="C256" s="681" t="s">
        <v>161</v>
      </c>
      <c r="D256" s="681" t="s">
        <v>172</v>
      </c>
      <c r="E256" s="682" t="s">
        <v>303</v>
      </c>
      <c r="F256" s="683" t="s">
        <v>1370</v>
      </c>
      <c r="G256" s="684" t="str">
        <f>+VLOOKUP([1]Data_Validation!$A264,[1]BV_Data_An_Cour!$L:$Q,6,0)</f>
        <v>5-Ventes</v>
      </c>
      <c r="H256" s="3"/>
    </row>
    <row r="257" spans="1:8" ht="15" customHeight="1">
      <c r="A257" s="692" t="s">
        <v>1044</v>
      </c>
      <c r="B257" s="680" t="s">
        <v>1043</v>
      </c>
      <c r="C257" s="681" t="s">
        <v>161</v>
      </c>
      <c r="D257" s="681" t="s">
        <v>172</v>
      </c>
      <c r="E257" s="688" t="s">
        <v>341</v>
      </c>
      <c r="F257" s="688"/>
      <c r="G257" s="684" t="str">
        <f>+VLOOKUP([1]Data_Validation!$A577,[1]BV_Data_An_Cour!$L:$Q,6,0)</f>
        <v>8-Autres revenus</v>
      </c>
      <c r="H257" s="3"/>
    </row>
    <row r="258" spans="1:8" ht="15" customHeight="1">
      <c r="A258" s="692" t="s">
        <v>1046</v>
      </c>
      <c r="B258" s="680" t="s">
        <v>1045</v>
      </c>
      <c r="C258" s="681" t="s">
        <v>161</v>
      </c>
      <c r="D258" s="681" t="s">
        <v>172</v>
      </c>
      <c r="E258" s="682" t="s">
        <v>303</v>
      </c>
      <c r="F258" s="683" t="s">
        <v>1370</v>
      </c>
      <c r="G258" s="684" t="str">
        <f>+VLOOKUP([1]Data_Validation!$A265,[1]BV_Data_An_Cour!$L:$Q,6,0)</f>
        <v>10-Compte compteur</v>
      </c>
      <c r="H258" s="3"/>
    </row>
    <row r="259" spans="1:8" ht="15" customHeight="1">
      <c r="A259" s="692" t="s">
        <v>1048</v>
      </c>
      <c r="B259" s="680" t="s">
        <v>1047</v>
      </c>
      <c r="C259" s="681" t="s">
        <v>161</v>
      </c>
      <c r="D259" s="681" t="s">
        <v>172</v>
      </c>
      <c r="E259" s="688" t="s">
        <v>341</v>
      </c>
      <c r="F259" s="688"/>
      <c r="G259" s="684" t="e">
        <f>+VLOOKUP([1]Data_Validation!$A578,[1]BV_Data_An_Cour!$L:$Q,6,0)</f>
        <v>#N/A</v>
      </c>
      <c r="H259" s="3"/>
    </row>
    <row r="260" spans="1:8" ht="15" customHeight="1">
      <c r="A260" s="692" t="s">
        <v>3337</v>
      </c>
      <c r="B260" s="680" t="s">
        <v>1049</v>
      </c>
      <c r="C260" s="681" t="s">
        <v>176</v>
      </c>
      <c r="D260" s="681" t="s">
        <v>177</v>
      </c>
      <c r="E260" s="682" t="s">
        <v>303</v>
      </c>
      <c r="F260" s="683" t="s">
        <v>1370</v>
      </c>
      <c r="G260" s="684" t="str">
        <f>+VLOOKUP([1]Data_Validation!$A266,[1]BV_Data_An_Cour!$L:$Q,6,0)</f>
        <v>5-Ventes</v>
      </c>
      <c r="H260" s="3"/>
    </row>
    <row r="261" spans="1:8" ht="15" customHeight="1">
      <c r="A261" s="1023" t="s">
        <v>1051</v>
      </c>
      <c r="B261" s="680" t="s">
        <v>1050</v>
      </c>
      <c r="C261" s="681" t="s">
        <v>176</v>
      </c>
      <c r="D261" s="681" t="s">
        <v>177</v>
      </c>
      <c r="E261" s="688" t="s">
        <v>341</v>
      </c>
      <c r="F261" s="688"/>
      <c r="G261" s="684" t="e">
        <f>+VLOOKUP([1]Data_Validation!$A583,[1]BV_Data_An_Cour!$L:$Q,6,0)</f>
        <v>#N/A</v>
      </c>
      <c r="H261" s="3"/>
    </row>
    <row r="262" spans="1:8" ht="15" customHeight="1">
      <c r="A262" s="692" t="s">
        <v>3431</v>
      </c>
      <c r="B262" s="680" t="s">
        <v>3430</v>
      </c>
      <c r="C262" s="681" t="s">
        <v>161</v>
      </c>
      <c r="D262" s="681" t="s">
        <v>173</v>
      </c>
      <c r="E262" s="682" t="s">
        <v>303</v>
      </c>
      <c r="F262" s="683" t="s">
        <v>1370</v>
      </c>
      <c r="G262" s="684" t="str">
        <f>+VLOOKUP([1]Data_Validation!$A580,[1]BV_Data_An_Cour!$L:$Q,6,0)</f>
        <v>10-Compte compteur</v>
      </c>
      <c r="H262" s="3"/>
    </row>
    <row r="263" spans="1:8" ht="15" customHeight="1">
      <c r="A263" s="1023" t="s">
        <v>3435</v>
      </c>
      <c r="B263" s="680" t="s">
        <v>3434</v>
      </c>
      <c r="C263" s="681" t="s">
        <v>161</v>
      </c>
      <c r="D263" s="681" t="s">
        <v>173</v>
      </c>
      <c r="E263" s="688" t="s">
        <v>341</v>
      </c>
      <c r="F263" s="688"/>
      <c r="G263" s="684" t="str">
        <f>+VLOOKUP([1]Data_Validation!$A582,[1]BV_Data_An_Cour!$L:$Q,6,0)</f>
        <v>10-Compte compteur</v>
      </c>
      <c r="H263" s="3"/>
    </row>
    <row r="264" spans="1:8" ht="15" customHeight="1">
      <c r="A264" s="692" t="s">
        <v>1053</v>
      </c>
      <c r="B264" s="680" t="s">
        <v>1052</v>
      </c>
      <c r="C264" s="681" t="s">
        <v>176</v>
      </c>
      <c r="D264" s="681" t="s">
        <v>177</v>
      </c>
      <c r="E264" s="682" t="s">
        <v>303</v>
      </c>
      <c r="F264" s="683" t="s">
        <v>1370</v>
      </c>
      <c r="G264" s="684" t="str">
        <f>+VLOOKUP([1]Data_Validation!$A584,[1]BV_Data_An_Cour!$L:$Q,6,0)</f>
        <v>8-Autres revenus</v>
      </c>
      <c r="H264" s="3"/>
    </row>
    <row r="265" spans="1:8" ht="15" customHeight="1">
      <c r="A265" s="692" t="s">
        <v>1055</v>
      </c>
      <c r="B265" s="680" t="s">
        <v>1054</v>
      </c>
      <c r="C265" s="681" t="s">
        <v>176</v>
      </c>
      <c r="D265" s="681" t="s">
        <v>177</v>
      </c>
      <c r="E265" s="688" t="s">
        <v>341</v>
      </c>
      <c r="F265" s="688"/>
      <c r="G265" s="684" t="str">
        <f>+VLOOKUP([1]Data_Validation!$A585,[1]BV_Data_An_Cour!$L:$Q,6,0)</f>
        <v>10-Compte compteur</v>
      </c>
      <c r="H265" s="3"/>
    </row>
    <row r="266" spans="1:8" ht="15" customHeight="1">
      <c r="A266" s="692" t="s">
        <v>1057</v>
      </c>
      <c r="B266" s="680" t="s">
        <v>1056</v>
      </c>
      <c r="C266" s="681" t="s">
        <v>176</v>
      </c>
      <c r="D266" s="681" t="s">
        <v>177</v>
      </c>
      <c r="E266" s="682" t="s">
        <v>303</v>
      </c>
      <c r="F266" s="683" t="s">
        <v>1370</v>
      </c>
      <c r="G266" s="684" t="str">
        <f>+VLOOKUP([1]Data_Validation!$A586,[1]BV_Data_An_Cour!$L:$Q,6,0)</f>
        <v>8-Autres revenus</v>
      </c>
      <c r="H266" s="3"/>
    </row>
    <row r="267" spans="1:8" ht="15" customHeight="1">
      <c r="A267" s="692" t="s">
        <v>1059</v>
      </c>
      <c r="B267" s="680" t="s">
        <v>1058</v>
      </c>
      <c r="C267" s="681" t="s">
        <v>176</v>
      </c>
      <c r="D267" s="681" t="s">
        <v>177</v>
      </c>
      <c r="E267" s="688" t="s">
        <v>341</v>
      </c>
      <c r="F267" s="688"/>
      <c r="G267" s="684" t="str">
        <f>+VLOOKUP([1]Data_Validation!$A587,[1]BV_Data_An_Cour!$L:$Q,6,0)</f>
        <v>10-Compte compteur</v>
      </c>
      <c r="H267" s="3"/>
    </row>
    <row r="268" spans="1:8" ht="15" customHeight="1">
      <c r="A268" s="692" t="s">
        <v>1061</v>
      </c>
      <c r="B268" s="680" t="s">
        <v>1060</v>
      </c>
      <c r="C268" s="681" t="s">
        <v>176</v>
      </c>
      <c r="D268" s="681" t="s">
        <v>177</v>
      </c>
      <c r="E268" s="682" t="s">
        <v>303</v>
      </c>
      <c r="F268" s="683" t="s">
        <v>1370</v>
      </c>
      <c r="G268" s="684" t="str">
        <f>+VLOOKUP([1]Data_Validation!$A588,[1]BV_Data_An_Cour!$L:$Q,6,0)</f>
        <v>8-Autres revenus</v>
      </c>
      <c r="H268" s="3"/>
    </row>
    <row r="269" spans="1:8" ht="15" customHeight="1">
      <c r="A269" s="680" t="s">
        <v>1063</v>
      </c>
      <c r="B269" s="680" t="s">
        <v>1062</v>
      </c>
      <c r="C269" s="681" t="s">
        <v>176</v>
      </c>
      <c r="D269" s="681" t="s">
        <v>177</v>
      </c>
      <c r="E269" s="688" t="s">
        <v>341</v>
      </c>
      <c r="F269" s="688"/>
      <c r="G269" s="684" t="str">
        <f>+VLOOKUP([1]Data_Validation!$A589,[1]BV_Data_An_Cour!$L:$Q,6,0)</f>
        <v>10-Compte compteur</v>
      </c>
      <c r="H269" s="3"/>
    </row>
    <row r="270" spans="1:8" ht="15" customHeight="1">
      <c r="A270" s="692" t="s">
        <v>1065</v>
      </c>
      <c r="B270" s="680" t="s">
        <v>1064</v>
      </c>
      <c r="C270" s="681" t="s">
        <v>180</v>
      </c>
      <c r="D270" s="681" t="s">
        <v>182</v>
      </c>
      <c r="E270" s="682" t="s">
        <v>303</v>
      </c>
      <c r="F270" s="683" t="s">
        <v>1370</v>
      </c>
      <c r="G270" s="684" t="str">
        <f>+VLOOKUP([1]Data_Validation!$A270,[1]BV_Data_An_Cour!$L:$Q,6,0)</f>
        <v>5-Ventes</v>
      </c>
      <c r="H270" s="3"/>
    </row>
    <row r="271" spans="1:8" ht="15" customHeight="1">
      <c r="A271" s="692" t="s">
        <v>1067</v>
      </c>
      <c r="B271" s="680" t="s">
        <v>1066</v>
      </c>
      <c r="C271" s="681" t="s">
        <v>180</v>
      </c>
      <c r="D271" s="681" t="s">
        <v>182</v>
      </c>
      <c r="E271" s="688" t="s">
        <v>341</v>
      </c>
      <c r="F271" s="688"/>
      <c r="G271" s="684" t="e">
        <f>+VLOOKUP([1]Data_Validation!$A583,[1]BV_Data_An_Cour!$L:$Q,6,0)</f>
        <v>#N/A</v>
      </c>
      <c r="H271" s="3"/>
    </row>
    <row r="272" spans="1:8" ht="15" customHeight="1">
      <c r="A272" s="692" t="s">
        <v>1069</v>
      </c>
      <c r="B272" s="680" t="s">
        <v>1068</v>
      </c>
      <c r="C272" s="681" t="s">
        <v>161</v>
      </c>
      <c r="D272" s="681" t="s">
        <v>164</v>
      </c>
      <c r="E272" s="682" t="s">
        <v>303</v>
      </c>
      <c r="F272" s="683" t="s">
        <v>1370</v>
      </c>
      <c r="G272" s="684" t="str">
        <f>+VLOOKUP([1]Data_Validation!$A271,[1]BV_Data_An_Cour!$L:$Q,6,0)</f>
        <v>10-Compte compteur</v>
      </c>
      <c r="H272" s="3"/>
    </row>
    <row r="273" spans="1:8" ht="15" customHeight="1">
      <c r="A273" s="692" t="s">
        <v>1071</v>
      </c>
      <c r="B273" s="680" t="s">
        <v>1070</v>
      </c>
      <c r="C273" s="681" t="s">
        <v>180</v>
      </c>
      <c r="D273" s="681" t="s">
        <v>184</v>
      </c>
      <c r="E273" s="682" t="s">
        <v>303</v>
      </c>
      <c r="F273" s="683" t="s">
        <v>1370</v>
      </c>
      <c r="G273" s="684" t="str">
        <f>+VLOOKUP([1]Data_Validation!$A272,[1]BV_Data_An_Cour!$L:$Q,6,0)</f>
        <v>5-Ventes</v>
      </c>
      <c r="H273" s="3"/>
    </row>
    <row r="274" spans="1:8" ht="15" customHeight="1">
      <c r="A274" s="692" t="s">
        <v>1073</v>
      </c>
      <c r="B274" s="680" t="s">
        <v>1072</v>
      </c>
      <c r="C274" s="681" t="s">
        <v>180</v>
      </c>
      <c r="D274" s="681" t="s">
        <v>184</v>
      </c>
      <c r="E274" s="688" t="s">
        <v>341</v>
      </c>
      <c r="F274" s="683"/>
      <c r="G274" s="684" t="str">
        <f>+VLOOKUP([1]Data_Validation!$A584,[1]BV_Data_An_Cour!$L:$Q,6,0)</f>
        <v>8-Autres revenus</v>
      </c>
      <c r="H274" s="3"/>
    </row>
    <row r="275" spans="1:8" ht="15" customHeight="1">
      <c r="A275" s="692" t="s">
        <v>3421</v>
      </c>
      <c r="B275" s="680" t="s">
        <v>1068</v>
      </c>
      <c r="C275" s="681" t="s">
        <v>161</v>
      </c>
      <c r="D275" s="681" t="s">
        <v>167</v>
      </c>
      <c r="E275" s="682" t="s">
        <v>303</v>
      </c>
      <c r="F275" s="683" t="s">
        <v>1370</v>
      </c>
      <c r="G275" s="684" t="str">
        <f>+VLOOKUP([1]Data_Validation!$A271,[1]BV_Data_An_Cour!$L:$Q,6,0)</f>
        <v>10-Compte compteur</v>
      </c>
      <c r="H275" s="3"/>
    </row>
    <row r="276" spans="1:8" ht="15" customHeight="1">
      <c r="A276" s="692" t="s">
        <v>1075</v>
      </c>
      <c r="B276" s="680" t="s">
        <v>1074</v>
      </c>
      <c r="C276" s="681" t="s">
        <v>180</v>
      </c>
      <c r="D276" s="681" t="s">
        <v>185</v>
      </c>
      <c r="E276" s="682" t="s">
        <v>303</v>
      </c>
      <c r="F276" s="683" t="s">
        <v>1370</v>
      </c>
      <c r="G276" s="684" t="str">
        <f>+VLOOKUP([1]Data_Validation!$A273,[1]BV_Data_An_Cour!$L:$Q,6,0)</f>
        <v>5-Ventes</v>
      </c>
      <c r="H276" s="3"/>
    </row>
    <row r="277" spans="1:8" ht="15" customHeight="1">
      <c r="A277" s="692" t="s">
        <v>1077</v>
      </c>
      <c r="B277" s="680" t="s">
        <v>1076</v>
      </c>
      <c r="C277" s="681" t="s">
        <v>180</v>
      </c>
      <c r="D277" s="681" t="s">
        <v>185</v>
      </c>
      <c r="E277" s="688" t="s">
        <v>341</v>
      </c>
      <c r="F277" s="683"/>
      <c r="G277" s="684" t="str">
        <f>+VLOOKUP([1]Data_Validation!$A585,[1]BV_Data_An_Cour!$L:$Q,6,0)</f>
        <v>10-Compte compteur</v>
      </c>
      <c r="H277" s="3"/>
    </row>
    <row r="278" spans="1:8" ht="15" customHeight="1">
      <c r="A278" s="692" t="s">
        <v>1078</v>
      </c>
      <c r="B278" s="680" t="s">
        <v>1068</v>
      </c>
      <c r="C278" s="681" t="s">
        <v>161</v>
      </c>
      <c r="D278" s="681" t="s">
        <v>167</v>
      </c>
      <c r="E278" s="682" t="s">
        <v>303</v>
      </c>
      <c r="F278" s="683" t="s">
        <v>1370</v>
      </c>
      <c r="G278" s="684" t="str">
        <f>+VLOOKUP([1]Data_Validation!$A274,[1]BV_Data_An_Cour!$L:$Q,6,0)</f>
        <v>10-Compte compteur</v>
      </c>
      <c r="H278" s="3"/>
    </row>
    <row r="279" spans="1:8" ht="15" customHeight="1">
      <c r="A279" s="692" t="s">
        <v>1144</v>
      </c>
      <c r="B279" s="680" t="s">
        <v>1079</v>
      </c>
      <c r="C279" s="681" t="s">
        <v>180</v>
      </c>
      <c r="D279" s="681" t="s">
        <v>182</v>
      </c>
      <c r="E279" s="682" t="s">
        <v>303</v>
      </c>
      <c r="F279" s="683" t="s">
        <v>1370</v>
      </c>
      <c r="G279" s="684" t="str">
        <f>+VLOOKUP([1]Data_Validation!$A275,[1]BV_Data_An_Cour!$L:$Q,6,0)</f>
        <v>5-Ventes</v>
      </c>
      <c r="H279" s="3"/>
    </row>
    <row r="280" spans="1:8" ht="15" customHeight="1">
      <c r="A280" s="680" t="s">
        <v>1082</v>
      </c>
      <c r="B280" s="680" t="s">
        <v>1081</v>
      </c>
      <c r="C280" s="681" t="s">
        <v>180</v>
      </c>
      <c r="D280" s="681" t="s">
        <v>182</v>
      </c>
      <c r="E280" s="688" t="s">
        <v>341</v>
      </c>
      <c r="F280" s="683"/>
      <c r="G280" s="684" t="str">
        <f>+VLOOKUP([1]Data_Validation!$A586,[1]BV_Data_An_Cour!$L:$Q,6,0)</f>
        <v>8-Autres revenus</v>
      </c>
      <c r="H280" s="3"/>
    </row>
    <row r="281" spans="1:8" ht="15" customHeight="1">
      <c r="A281" s="692" t="s">
        <v>3387</v>
      </c>
      <c r="B281" s="680" t="s">
        <v>1083</v>
      </c>
      <c r="C281" s="681" t="s">
        <v>180</v>
      </c>
      <c r="D281" s="681" t="s">
        <v>185</v>
      </c>
      <c r="E281" s="682" t="s">
        <v>303</v>
      </c>
      <c r="F281" s="683" t="s">
        <v>1370</v>
      </c>
      <c r="G281" s="684" t="str">
        <f>+VLOOKUP([1]Data_Validation!$A277,[1]BV_Data_An_Cour!$L:$Q,6,0)</f>
        <v>10-Compte compteur</v>
      </c>
      <c r="H281" s="3"/>
    </row>
    <row r="282" spans="1:8" ht="15" customHeight="1">
      <c r="A282" s="1039" t="s">
        <v>1085</v>
      </c>
      <c r="B282" s="680" t="s">
        <v>1084</v>
      </c>
      <c r="C282" s="681" t="s">
        <v>180</v>
      </c>
      <c r="D282" s="681" t="s">
        <v>185</v>
      </c>
      <c r="E282" s="688" t="s">
        <v>341</v>
      </c>
      <c r="F282" s="683"/>
      <c r="G282" s="684" t="str">
        <f>+VLOOKUP([1]Data_Validation!$A587,[1]BV_Data_An_Cour!$L:$Q,6,0)</f>
        <v>10-Compte compteur</v>
      </c>
      <c r="H282" s="3"/>
    </row>
    <row r="283" spans="1:8" ht="15" customHeight="1">
      <c r="A283" s="680" t="s">
        <v>2024</v>
      </c>
      <c r="B283" s="680" t="s">
        <v>1079</v>
      </c>
      <c r="C283" s="681" t="s">
        <v>180</v>
      </c>
      <c r="D283" s="681" t="s">
        <v>182</v>
      </c>
      <c r="E283" s="682" t="s">
        <v>303</v>
      </c>
      <c r="F283" s="683" t="s">
        <v>1370</v>
      </c>
      <c r="G283" s="682" t="str">
        <f>+VLOOKUP([1]Data_Validation!$A278,[1]BV_Data_An_Cour!$L:$Q,6,0)</f>
        <v>5-Ventes</v>
      </c>
      <c r="H283" s="3"/>
    </row>
    <row r="284" spans="1:8" ht="15" customHeight="1">
      <c r="A284" s="692" t="s">
        <v>1429</v>
      </c>
      <c r="B284" s="680" t="s">
        <v>1430</v>
      </c>
      <c r="C284" s="681" t="s">
        <v>180</v>
      </c>
      <c r="D284" s="681" t="s">
        <v>182</v>
      </c>
      <c r="E284" s="688" t="s">
        <v>341</v>
      </c>
      <c r="F284" s="683"/>
      <c r="G284" s="682" t="str">
        <f>+VLOOKUP([1]Data_Validation!$A588,[1]BV_Data_An_Cour!$L:$Q,6,0)</f>
        <v>8-Autres revenus</v>
      </c>
      <c r="H284" s="3"/>
    </row>
    <row r="285" spans="1:8" ht="15" customHeight="1">
      <c r="A285" s="692" t="s">
        <v>1088</v>
      </c>
      <c r="B285" s="680" t="s">
        <v>1087</v>
      </c>
      <c r="C285" s="681" t="s">
        <v>180</v>
      </c>
      <c r="D285" s="681" t="s">
        <v>183</v>
      </c>
      <c r="E285" s="682" t="s">
        <v>303</v>
      </c>
      <c r="F285" s="683" t="s">
        <v>1370</v>
      </c>
      <c r="G285" s="684" t="str">
        <f>+VLOOKUP([1]Data_Validation!$A279,[1]BV_Data_An_Cour!$L:$Q,6,0)</f>
        <v>5-Ventes</v>
      </c>
      <c r="H285" s="3"/>
    </row>
    <row r="286" spans="1:8" ht="15" customHeight="1">
      <c r="A286" s="692" t="s">
        <v>1090</v>
      </c>
      <c r="B286" s="680" t="s">
        <v>1089</v>
      </c>
      <c r="C286" s="681" t="s">
        <v>180</v>
      </c>
      <c r="D286" s="681" t="s">
        <v>183</v>
      </c>
      <c r="E286" s="688" t="s">
        <v>341</v>
      </c>
      <c r="F286" s="683"/>
      <c r="G286" s="684" t="str">
        <f>+VLOOKUP([1]Data_Validation!$A589,[1]BV_Data_An_Cour!$L:$Q,6,0)</f>
        <v>10-Compte compteur</v>
      </c>
      <c r="H286" s="3"/>
    </row>
    <row r="287" spans="1:8" ht="15" customHeight="1">
      <c r="A287" s="692" t="s">
        <v>1092</v>
      </c>
      <c r="B287" s="687" t="s">
        <v>1091</v>
      </c>
      <c r="C287" s="681" t="s">
        <v>180</v>
      </c>
      <c r="D287" s="681" t="s">
        <v>183</v>
      </c>
      <c r="E287" s="682" t="s">
        <v>303</v>
      </c>
      <c r="F287" s="683" t="s">
        <v>1370</v>
      </c>
      <c r="G287" s="684" t="str">
        <f>+VLOOKUP([1]Data_Validation!$A280,[1]BV_Data_An_Cour!$L:$Q,6,0)</f>
        <v>10-Compte compteur</v>
      </c>
      <c r="H287" s="3"/>
    </row>
    <row r="288" spans="1:8" ht="15" customHeight="1">
      <c r="A288" s="692" t="s">
        <v>1094</v>
      </c>
      <c r="B288" s="687" t="s">
        <v>1093</v>
      </c>
      <c r="C288" s="681" t="s">
        <v>180</v>
      </c>
      <c r="D288" s="681" t="s">
        <v>183</v>
      </c>
      <c r="E288" s="688" t="s">
        <v>341</v>
      </c>
      <c r="F288" s="683"/>
      <c r="G288" s="684" t="str">
        <f>+VLOOKUP([1]Data_Validation!$A590,[1]BV_Data_An_Cour!$L:$Q,6,0)</f>
        <v>8-Autres revenus</v>
      </c>
      <c r="H288" s="3"/>
    </row>
    <row r="289" spans="1:8" ht="15" customHeight="1">
      <c r="A289" s="680" t="s">
        <v>1096</v>
      </c>
      <c r="B289" s="687" t="s">
        <v>1095</v>
      </c>
      <c r="C289" s="681" t="s">
        <v>180</v>
      </c>
      <c r="D289" s="681" t="s">
        <v>183</v>
      </c>
      <c r="E289" s="682" t="s">
        <v>303</v>
      </c>
      <c r="F289" s="683" t="s">
        <v>1370</v>
      </c>
      <c r="G289" s="684" t="e">
        <f>+VLOOKUP([1]Data_Validation!$A281,[1]BV_Data_An_Cour!$L:$Q,6,0)</f>
        <v>#N/A</v>
      </c>
      <c r="H289" s="3"/>
    </row>
    <row r="290" spans="1:8" ht="15" customHeight="1">
      <c r="A290" s="692" t="s">
        <v>1098</v>
      </c>
      <c r="B290" s="687" t="s">
        <v>1097</v>
      </c>
      <c r="C290" s="681" t="s">
        <v>180</v>
      </c>
      <c r="D290" s="681" t="s">
        <v>183</v>
      </c>
      <c r="E290" s="688" t="s">
        <v>341</v>
      </c>
      <c r="F290" s="683"/>
      <c r="G290" s="684" t="str">
        <f>+VLOOKUP([1]Data_Validation!$A591,[1]BV_Data_An_Cour!$L:$Q,6,0)</f>
        <v>10-Compte compteur</v>
      </c>
      <c r="H290" s="3"/>
    </row>
    <row r="291" spans="1:8" ht="15" customHeight="1">
      <c r="A291" s="692" t="s">
        <v>1100</v>
      </c>
      <c r="B291" s="687" t="s">
        <v>1099</v>
      </c>
      <c r="C291" s="681" t="s">
        <v>180</v>
      </c>
      <c r="D291" s="681" t="s">
        <v>186</v>
      </c>
      <c r="E291" s="682" t="s">
        <v>303</v>
      </c>
      <c r="F291" s="683" t="s">
        <v>1370</v>
      </c>
      <c r="G291" s="684" t="e">
        <f>+VLOOKUP([1]Data_Validation!$A282,[1]BV_Data_An_Cour!$L:$Q,6,0)</f>
        <v>#N/A</v>
      </c>
      <c r="H291" s="3"/>
    </row>
    <row r="292" spans="1:8" ht="15" customHeight="1">
      <c r="A292" s="692" t="s">
        <v>1102</v>
      </c>
      <c r="B292" s="687" t="s">
        <v>1101</v>
      </c>
      <c r="C292" s="681" t="s">
        <v>180</v>
      </c>
      <c r="D292" s="681" t="s">
        <v>186</v>
      </c>
      <c r="E292" s="688" t="s">
        <v>341</v>
      </c>
      <c r="F292" s="683"/>
      <c r="G292" s="684" t="str">
        <f>+VLOOKUP([1]Data_Validation!$A592,[1]BV_Data_An_Cour!$L:$Q,6,0)</f>
        <v>8-Autres revenus</v>
      </c>
      <c r="H292" s="3"/>
    </row>
    <row r="293" spans="1:8" ht="15" customHeight="1">
      <c r="A293" s="692" t="s">
        <v>1104</v>
      </c>
      <c r="B293" s="687" t="s">
        <v>1103</v>
      </c>
      <c r="C293" s="681" t="s">
        <v>180</v>
      </c>
      <c r="D293" s="681" t="s">
        <v>187</v>
      </c>
      <c r="E293" s="682" t="s">
        <v>303</v>
      </c>
      <c r="F293" s="683" t="s">
        <v>1370</v>
      </c>
      <c r="G293" s="684" t="e">
        <f>+VLOOKUP([1]Data_Validation!$A283,[1]BV_Data_An_Cour!$L:$Q,6,0)</f>
        <v>#N/A</v>
      </c>
      <c r="H293" s="3"/>
    </row>
    <row r="294" spans="1:8" ht="15" customHeight="1">
      <c r="A294" s="692" t="s">
        <v>1106</v>
      </c>
      <c r="B294" s="687" t="s">
        <v>1105</v>
      </c>
      <c r="C294" s="681" t="s">
        <v>180</v>
      </c>
      <c r="D294" s="681" t="s">
        <v>187</v>
      </c>
      <c r="E294" s="688" t="s">
        <v>341</v>
      </c>
      <c r="F294" s="683"/>
      <c r="G294" s="684" t="str">
        <f>+VLOOKUP([1]Data_Validation!$A593,[1]BV_Data_An_Cour!$L:$Q,6,0)</f>
        <v>10-Compte compteur</v>
      </c>
      <c r="H294" s="3"/>
    </row>
    <row r="295" spans="1:8" ht="15" customHeight="1">
      <c r="A295" s="692" t="s">
        <v>1108</v>
      </c>
      <c r="B295" s="687" t="s">
        <v>1107</v>
      </c>
      <c r="C295" s="681" t="s">
        <v>180</v>
      </c>
      <c r="D295" s="681" t="s">
        <v>191</v>
      </c>
      <c r="E295" s="682" t="s">
        <v>303</v>
      </c>
      <c r="F295" s="683" t="s">
        <v>1370</v>
      </c>
      <c r="G295" s="684" t="e">
        <f>+VLOOKUP([1]Data_Validation!$A284,[1]BV_Data_An_Cour!$L:$Q,6,0)</f>
        <v>#N/A</v>
      </c>
      <c r="H295" s="3"/>
    </row>
    <row r="296" spans="1:8" ht="15" customHeight="1">
      <c r="A296" s="692" t="s">
        <v>1109</v>
      </c>
      <c r="B296" s="687" t="s">
        <v>1107</v>
      </c>
      <c r="C296" s="681" t="s">
        <v>180</v>
      </c>
      <c r="D296" s="681" t="s">
        <v>191</v>
      </c>
      <c r="E296" s="688" t="s">
        <v>341</v>
      </c>
      <c r="F296" s="683"/>
      <c r="G296" s="684" t="str">
        <f>+VLOOKUP([1]Data_Validation!$A594,[1]BV_Data_An_Cour!$L:$Q,6,0)</f>
        <v>8-Autres revenus</v>
      </c>
      <c r="H296" s="3"/>
    </row>
    <row r="297" spans="1:8" ht="15" customHeight="1">
      <c r="A297" s="692" t="s">
        <v>2052</v>
      </c>
      <c r="B297" s="687" t="s">
        <v>1110</v>
      </c>
      <c r="C297" s="681" t="s">
        <v>180</v>
      </c>
      <c r="D297" s="681" t="s">
        <v>191</v>
      </c>
      <c r="E297" s="682" t="s">
        <v>303</v>
      </c>
      <c r="F297" s="683" t="s">
        <v>1370</v>
      </c>
      <c r="G297" s="684" t="str">
        <f>+VLOOKUP([1]Data_Validation!$A285,[1]BV_Data_An_Cour!$L:$Q,6,0)</f>
        <v>5-Ventes</v>
      </c>
      <c r="H297" s="3"/>
    </row>
    <row r="298" spans="1:8" ht="15" customHeight="1">
      <c r="A298" s="1022" t="s">
        <v>787</v>
      </c>
      <c r="B298" s="697" t="s">
        <v>726</v>
      </c>
      <c r="C298" s="695"/>
      <c r="D298" s="681"/>
      <c r="E298" s="688"/>
      <c r="F298" s="683"/>
      <c r="G298" s="684" t="str">
        <f>+VLOOKUP([1]Data_Validation!$A6,[1]BV_Data_An_Cour!$L:$Q,6,0)</f>
        <v>2-Actifs</v>
      </c>
      <c r="H298" s="3"/>
    </row>
    <row r="299" spans="1:8" ht="15" customHeight="1">
      <c r="A299" s="1022" t="s">
        <v>2057</v>
      </c>
      <c r="B299" s="696" t="s">
        <v>786</v>
      </c>
      <c r="C299" s="681"/>
      <c r="D299" s="681"/>
      <c r="E299" s="682" t="s">
        <v>303</v>
      </c>
      <c r="F299" s="682"/>
      <c r="G299" s="684" t="e">
        <f>+VLOOKUP([1]Data_Validation!$A64,[1]BV_Data_An_Cour!$L:$Q,6,0)</f>
        <v>#N/A</v>
      </c>
      <c r="H299" s="3"/>
    </row>
    <row r="300" spans="1:8" ht="15" customHeight="1">
      <c r="A300" s="694" t="s">
        <v>2060</v>
      </c>
      <c r="B300" s="696" t="s">
        <v>1111</v>
      </c>
      <c r="C300" s="681" t="s">
        <v>92</v>
      </c>
      <c r="D300" s="681" t="s">
        <v>104</v>
      </c>
      <c r="E300" s="682" t="s">
        <v>303</v>
      </c>
      <c r="F300" s="683"/>
      <c r="G300" s="684" t="str">
        <f>+VLOOKUP([1]Data_Validation!$A286,[1]BV_Data_An_Cour!$L:$Q,6,0)</f>
        <v>10-Compte compteur</v>
      </c>
      <c r="H300" s="3"/>
    </row>
    <row r="301" spans="1:8" ht="15" customHeight="1">
      <c r="A301" s="1022" t="s">
        <v>2063</v>
      </c>
      <c r="B301" s="687" t="s">
        <v>1382</v>
      </c>
      <c r="C301" s="681" t="s">
        <v>92</v>
      </c>
      <c r="D301" s="681" t="s">
        <v>97</v>
      </c>
      <c r="E301" s="682" t="s">
        <v>303</v>
      </c>
      <c r="F301" s="682"/>
      <c r="G301" s="682" t="str">
        <f>+VLOOKUP([1]Data_Validation!$A287,[1]BV_Data_An_Cour!$L:$Q,6,0)</f>
        <v>5-Ventes</v>
      </c>
      <c r="H301" s="3"/>
    </row>
    <row r="302" spans="1:8" ht="15" customHeight="1">
      <c r="A302" s="1022" t="s">
        <v>2066</v>
      </c>
      <c r="B302" s="1044" t="s">
        <v>1383</v>
      </c>
      <c r="C302" s="681" t="s">
        <v>92</v>
      </c>
      <c r="D302" s="681" t="s">
        <v>97</v>
      </c>
      <c r="E302" s="682" t="s">
        <v>303</v>
      </c>
      <c r="F302" s="682"/>
      <c r="G302" s="682" t="str">
        <f>+VLOOKUP([1]Data_Validation!$A288,[1]BV_Data_An_Cour!$L:$Q,6,0)</f>
        <v>10-Compte compteur</v>
      </c>
      <c r="H302" s="3"/>
    </row>
    <row r="303" spans="1:8" ht="15" customHeight="1">
      <c r="A303" s="1022" t="s">
        <v>2069</v>
      </c>
      <c r="B303" s="697" t="s">
        <v>1384</v>
      </c>
      <c r="C303" s="695" t="s">
        <v>92</v>
      </c>
      <c r="D303" s="681" t="s">
        <v>97</v>
      </c>
      <c r="E303" s="682" t="s">
        <v>303</v>
      </c>
      <c r="F303" s="682"/>
      <c r="G303" s="682" t="str">
        <f>+VLOOKUP([1]Data_Validation!$A289,[1]BV_Data_An_Cour!$L:$Q,6,0)</f>
        <v>5-Ventes</v>
      </c>
      <c r="H303" s="3"/>
    </row>
    <row r="304" spans="1:8" ht="15" customHeight="1">
      <c r="A304" s="692" t="s">
        <v>2072</v>
      </c>
      <c r="B304" s="680" t="s">
        <v>1113</v>
      </c>
      <c r="C304" s="681" t="s">
        <v>92</v>
      </c>
      <c r="D304" s="681" t="s">
        <v>97</v>
      </c>
      <c r="E304" s="682" t="s">
        <v>303</v>
      </c>
      <c r="F304" s="682"/>
      <c r="G304" s="684" t="str">
        <f>+VLOOKUP([1]Data_Validation!$A290,[1]BV_Data_An_Cour!$L:$Q,6,0)</f>
        <v>10-Compte compteur</v>
      </c>
      <c r="H304" s="3"/>
    </row>
    <row r="305" spans="1:8" ht="15" customHeight="1">
      <c r="A305" s="692" t="s">
        <v>1115</v>
      </c>
      <c r="B305" s="687" t="s">
        <v>788</v>
      </c>
      <c r="C305" s="681"/>
      <c r="D305" s="681"/>
      <c r="E305" s="682" t="s">
        <v>303</v>
      </c>
      <c r="F305" s="682"/>
      <c r="G305" s="684" t="e">
        <f>+VLOOKUP([1]Data_Validation!$A65,[1]BV_Data_An_Cour!$L:$Q,6,0)</f>
        <v>#N/A</v>
      </c>
      <c r="H305" s="3"/>
    </row>
    <row r="306" spans="1:8" ht="15" customHeight="1">
      <c r="A306" s="692" t="s">
        <v>2077</v>
      </c>
      <c r="B306" s="680" t="s">
        <v>1385</v>
      </c>
      <c r="C306" s="681" t="s">
        <v>92</v>
      </c>
      <c r="D306" s="681" t="s">
        <v>97</v>
      </c>
      <c r="E306" s="682" t="s">
        <v>303</v>
      </c>
      <c r="F306" s="682"/>
      <c r="G306" s="684" t="str">
        <f>+VLOOKUP([1]Data_Validation!$A291,[1]BV_Data_An_Cour!$L:$Q,6,0)</f>
        <v>5-Ventes</v>
      </c>
      <c r="H306" s="3"/>
    </row>
    <row r="307" spans="1:8" ht="15" customHeight="1">
      <c r="A307" s="692" t="s">
        <v>2080</v>
      </c>
      <c r="B307" s="687" t="s">
        <v>1386</v>
      </c>
      <c r="C307" s="681" t="s">
        <v>92</v>
      </c>
      <c r="D307" s="681" t="s">
        <v>97</v>
      </c>
      <c r="E307" s="682" t="s">
        <v>303</v>
      </c>
      <c r="F307" s="682"/>
      <c r="G307" s="682" t="str">
        <f>+VLOOKUP([1]Data_Validation!$A292,[1]BV_Data_An_Cour!$L:$Q,6,0)</f>
        <v>10-Compte compteur</v>
      </c>
      <c r="H307" s="3"/>
    </row>
    <row r="308" spans="1:8" ht="15" customHeight="1">
      <c r="A308" s="692" t="s">
        <v>2083</v>
      </c>
      <c r="B308" s="680" t="s">
        <v>1387</v>
      </c>
      <c r="C308" s="681" t="s">
        <v>92</v>
      </c>
      <c r="D308" s="681" t="s">
        <v>97</v>
      </c>
      <c r="E308" s="682" t="s">
        <v>303</v>
      </c>
      <c r="F308" s="682"/>
      <c r="G308" s="682" t="str">
        <f>+VLOOKUP([1]Data_Validation!$A293,[1]BV_Data_An_Cour!$L:$Q,6,0)</f>
        <v>5-Ventes</v>
      </c>
      <c r="H308" s="3"/>
    </row>
    <row r="309" spans="1:8" ht="15" customHeight="1">
      <c r="A309" s="692" t="s">
        <v>3388</v>
      </c>
      <c r="B309" s="687" t="s">
        <v>1114</v>
      </c>
      <c r="C309" s="681" t="s">
        <v>92</v>
      </c>
      <c r="D309" s="681" t="s">
        <v>98</v>
      </c>
      <c r="E309" s="682" t="s">
        <v>303</v>
      </c>
      <c r="F309" s="682"/>
      <c r="G309" s="684" t="str">
        <f>+VLOOKUP([1]Data_Validation!$A294,[1]BV_Data_An_Cour!$L:$Q,6,0)</f>
        <v>10-Compte compteur</v>
      </c>
      <c r="H309" s="3"/>
    </row>
    <row r="310" spans="1:8" ht="15" customHeight="1">
      <c r="A310" s="692" t="s">
        <v>2086</v>
      </c>
      <c r="B310" s="687" t="s">
        <v>1116</v>
      </c>
      <c r="C310" s="681" t="s">
        <v>92</v>
      </c>
      <c r="D310" s="681" t="s">
        <v>98</v>
      </c>
      <c r="E310" s="682" t="s">
        <v>303</v>
      </c>
      <c r="F310" s="682"/>
      <c r="G310" s="684" t="str">
        <f>+VLOOKUP([1]Data_Validation!$A295,[1]BV_Data_An_Cour!$L:$Q,6,0)</f>
        <v>5-Ventes</v>
      </c>
      <c r="H310" s="3"/>
    </row>
    <row r="311" spans="1:8" ht="15" customHeight="1">
      <c r="A311" s="692" t="s">
        <v>2089</v>
      </c>
      <c r="B311" s="680" t="s">
        <v>789</v>
      </c>
      <c r="C311" s="681"/>
      <c r="D311" s="681"/>
      <c r="E311" s="682" t="s">
        <v>303</v>
      </c>
      <c r="F311" s="682"/>
      <c r="G311" s="684" t="e">
        <f>+VLOOKUP([1]Data_Validation!$A66,[1]BV_Data_An_Cour!$L:$Q,6,0)</f>
        <v>#N/A</v>
      </c>
      <c r="H311" s="3"/>
    </row>
    <row r="312" spans="1:8" ht="15" customHeight="1">
      <c r="A312" s="692" t="s">
        <v>3389</v>
      </c>
      <c r="B312" s="687" t="s">
        <v>1117</v>
      </c>
      <c r="C312" s="681" t="s">
        <v>92</v>
      </c>
      <c r="D312" s="681" t="s">
        <v>98</v>
      </c>
      <c r="E312" s="682" t="s">
        <v>303</v>
      </c>
      <c r="F312" s="683"/>
      <c r="G312" s="684" t="str">
        <f>+VLOOKUP([1]Data_Validation!$A296,[1]BV_Data_An_Cour!$L:$Q,6,0)</f>
        <v>10-Compte compteur</v>
      </c>
      <c r="H312" s="3"/>
    </row>
    <row r="313" spans="1:8" ht="15" customHeight="1">
      <c r="A313" s="692" t="s">
        <v>2092</v>
      </c>
      <c r="B313" s="680" t="s">
        <v>1118</v>
      </c>
      <c r="C313" s="681" t="s">
        <v>92</v>
      </c>
      <c r="D313" s="681" t="s">
        <v>97</v>
      </c>
      <c r="E313" s="682" t="s">
        <v>303</v>
      </c>
      <c r="F313" s="682"/>
      <c r="G313" s="684" t="str">
        <f>+VLOOKUP([1]Data_Validation!$A297,[1]BV_Data_An_Cour!$L:$Q,6,0)</f>
        <v>5-Ventes</v>
      </c>
      <c r="H313" s="3"/>
    </row>
    <row r="314" spans="1:8" ht="15" customHeight="1">
      <c r="A314" s="692" t="s">
        <v>2095</v>
      </c>
      <c r="B314" s="680" t="s">
        <v>1119</v>
      </c>
      <c r="C314" s="681" t="s">
        <v>92</v>
      </c>
      <c r="D314" s="681" t="s">
        <v>98</v>
      </c>
      <c r="E314" s="682" t="s">
        <v>303</v>
      </c>
      <c r="F314" s="682"/>
      <c r="G314" s="684" t="e">
        <f>+VLOOKUP([1]Data_Validation!$A298,[1]BV_Data_An_Cour!$L:$Q,6,0)</f>
        <v>#N/A</v>
      </c>
      <c r="H314" s="3"/>
    </row>
    <row r="315" spans="1:8" ht="15" customHeight="1">
      <c r="A315" s="692" t="s">
        <v>2098</v>
      </c>
      <c r="B315" s="687" t="s">
        <v>1388</v>
      </c>
      <c r="C315" s="681" t="s">
        <v>92</v>
      </c>
      <c r="D315" s="681" t="s">
        <v>97</v>
      </c>
      <c r="E315" s="682" t="s">
        <v>303</v>
      </c>
      <c r="F315" s="682"/>
      <c r="G315" s="682" t="str">
        <f>+VLOOKUP([1]Data_Validation!$A299,[1]BV_Data_An_Cour!$L:$Q,6,0)</f>
        <v>1-Mémo</v>
      </c>
      <c r="H315" s="3"/>
    </row>
    <row r="316" spans="1:8" ht="15" customHeight="1">
      <c r="A316" s="692" t="s">
        <v>2101</v>
      </c>
      <c r="B316" s="680" t="s">
        <v>1120</v>
      </c>
      <c r="C316" s="681" t="s">
        <v>92</v>
      </c>
      <c r="D316" s="681" t="s">
        <v>103</v>
      </c>
      <c r="E316" s="682" t="s">
        <v>303</v>
      </c>
      <c r="F316" s="682"/>
      <c r="G316" s="684" t="str">
        <f>+VLOOKUP([1]Data_Validation!$A300,[1]BV_Data_An_Cour!$L:$Q,6,0)</f>
        <v>6-Coût des ventes</v>
      </c>
      <c r="H316" s="3"/>
    </row>
    <row r="317" spans="1:8" ht="15" customHeight="1">
      <c r="A317" s="692" t="s">
        <v>2104</v>
      </c>
      <c r="B317" s="687" t="s">
        <v>1120</v>
      </c>
      <c r="C317" s="681" t="s">
        <v>92</v>
      </c>
      <c r="D317" s="681" t="s">
        <v>102</v>
      </c>
      <c r="E317" s="682" t="s">
        <v>303</v>
      </c>
      <c r="F317" s="682"/>
      <c r="G317" s="684" t="e">
        <f>+VLOOKUP([1]Data_Validation!$A301,[1]BV_Data_An_Cour!$L:$Q,6,0)</f>
        <v>#N/A</v>
      </c>
      <c r="H317" s="3"/>
    </row>
    <row r="318" spans="1:8" ht="15" customHeight="1">
      <c r="A318" s="692" t="s">
        <v>3924</v>
      </c>
      <c r="B318" s="687" t="s">
        <v>3923</v>
      </c>
      <c r="C318" s="681" t="s">
        <v>92</v>
      </c>
      <c r="D318" s="681" t="s">
        <v>98</v>
      </c>
      <c r="E318" s="682" t="s">
        <v>303</v>
      </c>
      <c r="F318" s="682"/>
      <c r="G318" s="684" t="e">
        <f>+VLOOKUP([1]Data_Validation!$A302,[1]BV_Data_An_Cour!$L:$Q,6,0)</f>
        <v>#N/A</v>
      </c>
      <c r="H318" s="3"/>
    </row>
    <row r="319" spans="1:8" ht="15" customHeight="1">
      <c r="A319" s="692" t="s">
        <v>1122</v>
      </c>
      <c r="B319" s="680" t="s">
        <v>790</v>
      </c>
      <c r="C319" s="681"/>
      <c r="D319" s="681"/>
      <c r="E319" s="682" t="s">
        <v>303</v>
      </c>
      <c r="F319" s="682"/>
      <c r="G319" s="684" t="e">
        <f>+VLOOKUP([1]Data_Validation!$A67,[1]BV_Data_An_Cour!$L:$Q,6,0)</f>
        <v>#N/A</v>
      </c>
      <c r="H319" s="3"/>
    </row>
    <row r="320" spans="1:8" ht="15" customHeight="1">
      <c r="A320" s="692" t="s">
        <v>3390</v>
      </c>
      <c r="B320" s="680" t="s">
        <v>1121</v>
      </c>
      <c r="C320" s="681" t="s">
        <v>92</v>
      </c>
      <c r="D320" s="681" t="s">
        <v>97</v>
      </c>
      <c r="E320" s="682" t="s">
        <v>303</v>
      </c>
      <c r="F320" s="682"/>
      <c r="G320" s="684" t="e">
        <f>+VLOOKUP([1]Data_Validation!$A302,[1]BV_Data_An_Cour!$L:$Q,6,0)</f>
        <v>#N/A</v>
      </c>
      <c r="H320" s="3"/>
    </row>
    <row r="321" spans="1:8" ht="15" customHeight="1">
      <c r="A321" s="692" t="s">
        <v>2109</v>
      </c>
      <c r="B321" s="687" t="s">
        <v>1337</v>
      </c>
      <c r="C321" s="681"/>
      <c r="D321" s="681"/>
      <c r="E321" s="682" t="s">
        <v>303</v>
      </c>
      <c r="F321" s="682"/>
      <c r="G321" s="682" t="str">
        <f>+VLOOKUP([1]Data_Validation!$A68,[1]BV_Data_An_Cour!$L:$Q,6,0)</f>
        <v>2-Actifs</v>
      </c>
      <c r="H321" s="3"/>
    </row>
    <row r="322" spans="1:8" ht="15" customHeight="1">
      <c r="A322" s="692" t="s">
        <v>2112</v>
      </c>
      <c r="B322" s="680" t="s">
        <v>791</v>
      </c>
      <c r="C322" s="681"/>
      <c r="D322" s="681"/>
      <c r="E322" s="682" t="s">
        <v>303</v>
      </c>
      <c r="F322" s="682"/>
      <c r="G322" s="684" t="e">
        <f>+VLOOKUP([1]Data_Validation!$A69,[1]BV_Data_An_Cour!$L:$Q,6,0)</f>
        <v>#N/A</v>
      </c>
      <c r="H322" s="3"/>
    </row>
    <row r="323" spans="1:8" ht="15" customHeight="1">
      <c r="A323" s="692" t="s">
        <v>2115</v>
      </c>
      <c r="B323" s="687" t="s">
        <v>1123</v>
      </c>
      <c r="C323" s="681" t="s">
        <v>152</v>
      </c>
      <c r="D323" s="681" t="s">
        <v>153</v>
      </c>
      <c r="E323" s="682" t="s">
        <v>303</v>
      </c>
      <c r="F323" s="682"/>
      <c r="G323" s="684" t="e">
        <f>+VLOOKUP([1]Data_Validation!$A303,[1]BV_Data_An_Cour!$L:$Q,6,0)</f>
        <v>#N/A</v>
      </c>
      <c r="H323" s="3"/>
    </row>
    <row r="324" spans="1:8" ht="15" customHeight="1">
      <c r="A324" s="692" t="s">
        <v>2118</v>
      </c>
      <c r="B324" s="680" t="s">
        <v>1124</v>
      </c>
      <c r="C324" s="681" t="s">
        <v>152</v>
      </c>
      <c r="D324" s="681" t="s">
        <v>153</v>
      </c>
      <c r="E324" s="682" t="s">
        <v>303</v>
      </c>
      <c r="F324" s="682"/>
      <c r="G324" s="684" t="str">
        <f>+VLOOKUP([1]Data_Validation!$A304,[1]BV_Data_An_Cour!$L:$Q,6,0)</f>
        <v>6-Coût des ventes</v>
      </c>
      <c r="H324" s="3"/>
    </row>
    <row r="325" spans="1:8" ht="15" customHeight="1">
      <c r="A325" s="692" t="s">
        <v>2121</v>
      </c>
      <c r="B325" s="687" t="s">
        <v>792</v>
      </c>
      <c r="C325" s="681"/>
      <c r="D325" s="681"/>
      <c r="E325" s="682" t="s">
        <v>303</v>
      </c>
      <c r="F325" s="682"/>
      <c r="G325" s="684" t="str">
        <f>+VLOOKUP([1]Data_Validation!$A70,[1]BV_Data_An_Cour!$L:$Q,6,0)</f>
        <v>2-Actifs</v>
      </c>
      <c r="H325" s="3"/>
    </row>
    <row r="326" spans="1:8" ht="15" customHeight="1">
      <c r="A326" s="692" t="s">
        <v>2124</v>
      </c>
      <c r="B326" s="687" t="s">
        <v>1125</v>
      </c>
      <c r="C326" s="681" t="s">
        <v>152</v>
      </c>
      <c r="D326" s="681" t="s">
        <v>154</v>
      </c>
      <c r="E326" s="682" t="s">
        <v>303</v>
      </c>
      <c r="F326" s="682"/>
      <c r="G326" s="684" t="str">
        <f>+VLOOKUP([1]Data_Validation!$A305,[1]BV_Data_An_Cour!$L:$Q,6,0)</f>
        <v>1-Mémo</v>
      </c>
      <c r="H326" s="3"/>
    </row>
    <row r="327" spans="1:8" ht="15" customHeight="1">
      <c r="A327" s="692" t="s">
        <v>2127</v>
      </c>
      <c r="B327" s="680" t="s">
        <v>1126</v>
      </c>
      <c r="C327" s="681" t="s">
        <v>152</v>
      </c>
      <c r="D327" s="681" t="s">
        <v>154</v>
      </c>
      <c r="E327" s="682" t="s">
        <v>303</v>
      </c>
      <c r="F327" s="682"/>
      <c r="G327" s="684" t="str">
        <f>+VLOOKUP([1]Data_Validation!$A306,[1]BV_Data_An_Cour!$L:$Q,6,0)</f>
        <v>6-Coût des ventes</v>
      </c>
      <c r="H327" s="3"/>
    </row>
    <row r="328" spans="1:8" ht="15" customHeight="1">
      <c r="A328" s="692" t="s">
        <v>2130</v>
      </c>
      <c r="B328" s="687" t="s">
        <v>793</v>
      </c>
      <c r="C328" s="681"/>
      <c r="D328" s="681"/>
      <c r="E328" s="682" t="s">
        <v>303</v>
      </c>
      <c r="F328" s="682"/>
      <c r="G328" s="684" t="str">
        <f>+VLOOKUP([1]Data_Validation!$A71,[1]BV_Data_An_Cour!$L:$Q,6,0)</f>
        <v>2-Actifs</v>
      </c>
      <c r="H328" s="3"/>
    </row>
    <row r="329" spans="1:8" ht="15" customHeight="1">
      <c r="A329" s="692" t="s">
        <v>2133</v>
      </c>
      <c r="B329" s="687" t="s">
        <v>794</v>
      </c>
      <c r="C329" s="681"/>
      <c r="D329" s="681"/>
      <c r="E329" s="682" t="s">
        <v>303</v>
      </c>
      <c r="F329" s="682"/>
      <c r="G329" s="684" t="e">
        <f>+VLOOKUP([1]Data_Validation!$A72,[1]BV_Data_An_Cour!$L:$Q,6,0)</f>
        <v>#N/A</v>
      </c>
      <c r="H329" s="3"/>
    </row>
    <row r="330" spans="1:8" ht="15" customHeight="1">
      <c r="A330" s="680" t="s">
        <v>2135</v>
      </c>
      <c r="B330" s="687" t="s">
        <v>795</v>
      </c>
      <c r="C330" s="681"/>
      <c r="D330" s="681"/>
      <c r="E330" s="682" t="s">
        <v>303</v>
      </c>
      <c r="F330" s="682"/>
      <c r="G330" s="684" t="str">
        <f>+VLOOKUP([1]Data_Validation!$A73,[1]BV_Data_An_Cour!$L:$Q,6,0)</f>
        <v>2-Actifs</v>
      </c>
      <c r="H330" s="3"/>
    </row>
    <row r="331" spans="1:8" ht="15" customHeight="1">
      <c r="A331" s="692" t="s">
        <v>2138</v>
      </c>
      <c r="B331" s="680" t="s">
        <v>1016</v>
      </c>
      <c r="C331" s="681" t="s">
        <v>152</v>
      </c>
      <c r="D331" s="681" t="s">
        <v>154</v>
      </c>
      <c r="E331" s="682" t="s">
        <v>303</v>
      </c>
      <c r="F331" s="682"/>
      <c r="G331" s="684" t="e">
        <f>+VLOOKUP([1]Data_Validation!$A307,[1]BV_Data_An_Cour!$L:$Q,6,0)</f>
        <v>#N/A</v>
      </c>
      <c r="H331" s="3"/>
    </row>
    <row r="332" spans="1:8" ht="15" customHeight="1">
      <c r="A332" s="680" t="s">
        <v>2141</v>
      </c>
      <c r="B332" s="687" t="s">
        <v>1127</v>
      </c>
      <c r="C332" s="681" t="s">
        <v>152</v>
      </c>
      <c r="D332" s="681" t="s">
        <v>154</v>
      </c>
      <c r="E332" s="682" t="s">
        <v>303</v>
      </c>
      <c r="F332" s="682"/>
      <c r="G332" s="684" t="e">
        <f>+VLOOKUP([1]Data_Validation!$A308,[1]BV_Data_An_Cour!$L:$Q,6,0)</f>
        <v>#N/A</v>
      </c>
      <c r="H332" s="3"/>
    </row>
    <row r="333" spans="1:8" ht="15" customHeight="1">
      <c r="A333" s="692" t="s">
        <v>2144</v>
      </c>
      <c r="B333" s="687" t="s">
        <v>1020</v>
      </c>
      <c r="C333" s="681" t="s">
        <v>152</v>
      </c>
      <c r="D333" s="681" t="s">
        <v>156</v>
      </c>
      <c r="E333" s="682" t="s">
        <v>303</v>
      </c>
      <c r="F333" s="682"/>
      <c r="G333" s="684" t="str">
        <f>+VLOOKUP([1]Data_Validation!$A309,[1]BV_Data_An_Cour!$L:$Q,6,0)</f>
        <v>6-Coût des ventes</v>
      </c>
      <c r="H333" s="3"/>
    </row>
    <row r="334" spans="1:8" ht="15" customHeight="1">
      <c r="A334" s="692" t="s">
        <v>2147</v>
      </c>
      <c r="B334" s="680" t="s">
        <v>1128</v>
      </c>
      <c r="C334" s="681" t="s">
        <v>161</v>
      </c>
      <c r="D334" s="681" t="s">
        <v>164</v>
      </c>
      <c r="E334" s="682" t="s">
        <v>303</v>
      </c>
      <c r="F334" s="682"/>
      <c r="G334" s="684" t="str">
        <f>+VLOOKUP([1]Data_Validation!$A310,[1]BV_Data_An_Cour!$L:$Q,6,0)</f>
        <v>6-Coût des ventes</v>
      </c>
      <c r="H334" s="3"/>
    </row>
    <row r="335" spans="1:8" ht="15" customHeight="1">
      <c r="A335" s="692" t="s">
        <v>2150</v>
      </c>
      <c r="B335" s="687" t="s">
        <v>1129</v>
      </c>
      <c r="C335" s="681" t="s">
        <v>161</v>
      </c>
      <c r="D335" s="681" t="s">
        <v>168</v>
      </c>
      <c r="E335" s="682" t="s">
        <v>303</v>
      </c>
      <c r="F335" s="682"/>
      <c r="G335" s="684" t="str">
        <f>+VLOOKUP([1]Data_Validation!$A311,[1]BV_Data_An_Cour!$L:$Q,6,0)</f>
        <v>1-Mémo</v>
      </c>
      <c r="H335" s="3"/>
    </row>
    <row r="336" spans="1:8" ht="15" customHeight="1">
      <c r="A336" s="692" t="s">
        <v>2153</v>
      </c>
      <c r="B336" s="687" t="s">
        <v>1130</v>
      </c>
      <c r="C336" s="681" t="s">
        <v>161</v>
      </c>
      <c r="D336" s="681" t="s">
        <v>166</v>
      </c>
      <c r="E336" s="682" t="s">
        <v>303</v>
      </c>
      <c r="F336" s="682"/>
      <c r="G336" s="684" t="e">
        <f>+VLOOKUP([1]Data_Validation!$A312,[1]BV_Data_An_Cour!$L:$Q,6,0)</f>
        <v>#N/A</v>
      </c>
      <c r="H336" s="3"/>
    </row>
    <row r="337" spans="1:8" ht="15" customHeight="1">
      <c r="A337" s="692" t="s">
        <v>2156</v>
      </c>
      <c r="B337" s="687" t="s">
        <v>1131</v>
      </c>
      <c r="C337" s="681" t="s">
        <v>161</v>
      </c>
      <c r="D337" s="681" t="s">
        <v>167</v>
      </c>
      <c r="E337" s="682" t="s">
        <v>303</v>
      </c>
      <c r="F337" s="682"/>
      <c r="G337" s="684" t="str">
        <f>+VLOOKUP([1]Data_Validation!$A313,[1]BV_Data_An_Cour!$L:$Q,6,0)</f>
        <v>6-Coût des ventes</v>
      </c>
      <c r="H337" s="3"/>
    </row>
    <row r="338" spans="1:8" ht="15" customHeight="1">
      <c r="A338" s="692" t="s">
        <v>2159</v>
      </c>
      <c r="B338" s="687" t="s">
        <v>796</v>
      </c>
      <c r="C338" s="681"/>
      <c r="D338" s="681"/>
      <c r="E338" s="682" t="s">
        <v>303</v>
      </c>
      <c r="F338" s="682"/>
      <c r="G338" s="684" t="e">
        <f>+VLOOKUP([1]Data_Validation!$A74,[1]BV_Data_An_Cour!$L:$Q,6,0)</f>
        <v>#N/A</v>
      </c>
      <c r="H338" s="3"/>
    </row>
    <row r="339" spans="1:8" ht="15" customHeight="1">
      <c r="A339" s="692" t="s">
        <v>2162</v>
      </c>
      <c r="B339" s="687" t="s">
        <v>1132</v>
      </c>
      <c r="C339" s="681" t="s">
        <v>161</v>
      </c>
      <c r="D339" s="681" t="s">
        <v>169</v>
      </c>
      <c r="E339" s="682" t="s">
        <v>303</v>
      </c>
      <c r="F339" s="682"/>
      <c r="G339" s="684" t="str">
        <f>+VLOOKUP([1]Data_Validation!$A314,[1]BV_Data_An_Cour!$L:$Q,6,0)</f>
        <v>6-Coût des ventes</v>
      </c>
      <c r="H339" s="3"/>
    </row>
    <row r="340" spans="1:8" ht="15" customHeight="1">
      <c r="A340" s="692" t="s">
        <v>2165</v>
      </c>
      <c r="B340" s="680" t="s">
        <v>797</v>
      </c>
      <c r="C340" s="681"/>
      <c r="D340" s="681"/>
      <c r="E340" s="682" t="s">
        <v>303</v>
      </c>
      <c r="F340" s="682"/>
      <c r="G340" s="684" t="str">
        <f>+VLOOKUP([1]Data_Validation!$A75,[1]BV_Data_An_Cour!$L:$Q,6,0)</f>
        <v>2-Actifs</v>
      </c>
      <c r="H340" s="3"/>
    </row>
    <row r="341" spans="1:8" ht="15" customHeight="1">
      <c r="A341" s="692" t="s">
        <v>2168</v>
      </c>
      <c r="B341" s="697" t="s">
        <v>1035</v>
      </c>
      <c r="C341" s="695" t="s">
        <v>180</v>
      </c>
      <c r="D341" s="681" t="s">
        <v>192</v>
      </c>
      <c r="E341" s="682" t="s">
        <v>303</v>
      </c>
      <c r="F341" s="682"/>
      <c r="G341" s="684" t="e">
        <f>+VLOOKUP([1]Data_Validation!$A315,[1]BV_Data_An_Cour!$L:$Q,6,0)</f>
        <v>#N/A</v>
      </c>
      <c r="H341" s="3"/>
    </row>
    <row r="342" spans="1:8" ht="15" customHeight="1">
      <c r="A342" s="692" t="s">
        <v>2171</v>
      </c>
      <c r="B342" s="697" t="s">
        <v>1038</v>
      </c>
      <c r="C342" s="695" t="s">
        <v>161</v>
      </c>
      <c r="D342" s="681" t="s">
        <v>172</v>
      </c>
      <c r="E342" s="682" t="s">
        <v>303</v>
      </c>
      <c r="F342" s="682"/>
      <c r="G342" s="684" t="str">
        <f>+VLOOKUP([1]Data_Validation!$A316,[1]BV_Data_An_Cour!$L:$Q,6,0)</f>
        <v>6-Coût des ventes</v>
      </c>
      <c r="H342" s="3"/>
    </row>
    <row r="343" spans="1:8" ht="15" customHeight="1">
      <c r="A343" s="692" t="s">
        <v>2174</v>
      </c>
      <c r="B343" s="694" t="s">
        <v>1134</v>
      </c>
      <c r="C343" s="695" t="s">
        <v>161</v>
      </c>
      <c r="D343" s="681" t="s">
        <v>172</v>
      </c>
      <c r="E343" s="682" t="s">
        <v>303</v>
      </c>
      <c r="F343" s="688"/>
      <c r="G343" s="684" t="str">
        <f>+VLOOKUP([1]Data_Validation!$A317,[1]BV_Data_An_Cour!$L:$Q,6,0)</f>
        <v>6-Coût des ventes</v>
      </c>
      <c r="H343" s="3"/>
    </row>
    <row r="344" spans="1:8" ht="15" customHeight="1">
      <c r="A344" s="692" t="s">
        <v>2177</v>
      </c>
      <c r="B344" s="697" t="s">
        <v>1135</v>
      </c>
      <c r="C344" s="695" t="s">
        <v>161</v>
      </c>
      <c r="D344" s="681" t="s">
        <v>172</v>
      </c>
      <c r="E344" s="682" t="s">
        <v>303</v>
      </c>
      <c r="F344" s="682"/>
      <c r="G344" s="684" t="str">
        <f>+VLOOKUP([1]Data_Validation!$A319,[1]BV_Data_An_Cour!$L:$Q,6,0)</f>
        <v>1-Mémo</v>
      </c>
      <c r="H344" s="3"/>
    </row>
    <row r="345" spans="1:8" ht="15" customHeight="1">
      <c r="A345" s="692" t="s">
        <v>3556</v>
      </c>
      <c r="B345" s="694" t="s">
        <v>3555</v>
      </c>
      <c r="C345" s="681" t="s">
        <v>176</v>
      </c>
      <c r="D345" s="681" t="s">
        <v>177</v>
      </c>
      <c r="E345" s="682" t="s">
        <v>303</v>
      </c>
      <c r="F345" s="682"/>
      <c r="G345" s="684" t="e">
        <f>+VLOOKUP([1]Data_Validation!$A315,[1]BV_Data_An_Cour!$L:$Q,6,0)</f>
        <v>#N/A</v>
      </c>
      <c r="H345" s="3"/>
    </row>
    <row r="346" spans="1:8" ht="15" customHeight="1">
      <c r="A346" s="692" t="s">
        <v>3433</v>
      </c>
      <c r="B346" s="694" t="s">
        <v>3432</v>
      </c>
      <c r="C346" s="695" t="s">
        <v>161</v>
      </c>
      <c r="D346" s="681" t="s">
        <v>173</v>
      </c>
      <c r="E346" s="682" t="s">
        <v>303</v>
      </c>
      <c r="F346" s="688"/>
      <c r="G346" s="684" t="str">
        <f>+VLOOKUP([1]Data_Validation!$A581,[1]BV_Data_An_Cour!$L:$Q,6,0)</f>
        <v>8-Autres revenus</v>
      </c>
      <c r="H346" s="3"/>
    </row>
    <row r="347" spans="1:8" ht="15" customHeight="1">
      <c r="A347" s="692" t="s">
        <v>2180</v>
      </c>
      <c r="B347" s="687" t="s">
        <v>798</v>
      </c>
      <c r="C347" s="681"/>
      <c r="D347" s="681"/>
      <c r="E347" s="682" t="s">
        <v>303</v>
      </c>
      <c r="F347" s="682"/>
      <c r="G347" s="684" t="e">
        <f>+VLOOKUP([1]Data_Validation!$A76,[1]BV_Data_An_Cour!$L:$Q,6,0)</f>
        <v>#N/A</v>
      </c>
      <c r="H347" s="3"/>
    </row>
    <row r="348" spans="1:8" ht="15" customHeight="1">
      <c r="A348" s="692" t="s">
        <v>2183</v>
      </c>
      <c r="B348" s="680" t="s">
        <v>799</v>
      </c>
      <c r="C348" s="681"/>
      <c r="D348" s="681"/>
      <c r="E348" s="682" t="s">
        <v>303</v>
      </c>
      <c r="F348" s="682"/>
      <c r="G348" s="684" t="e">
        <f>+VLOOKUP([1]Data_Validation!$A77,[1]BV_Data_An_Cour!$L:$Q,6,0)</f>
        <v>#N/A</v>
      </c>
      <c r="H348" s="3"/>
    </row>
    <row r="349" spans="1:8" ht="15" customHeight="1">
      <c r="A349" s="692" t="s">
        <v>2186</v>
      </c>
      <c r="B349" s="687" t="s">
        <v>1136</v>
      </c>
      <c r="C349" s="681" t="s">
        <v>176</v>
      </c>
      <c r="D349" s="681" t="s">
        <v>177</v>
      </c>
      <c r="E349" s="682" t="s">
        <v>303</v>
      </c>
      <c r="F349" s="682"/>
      <c r="G349" s="684" t="str">
        <f>+VLOOKUP([1]Data_Validation!$A320,[1]BV_Data_An_Cour!$L:$Q,6,0)</f>
        <v>6-Coût des ventes</v>
      </c>
      <c r="H349" s="3"/>
    </row>
    <row r="350" spans="1:8" ht="15" customHeight="1">
      <c r="A350" s="692" t="s">
        <v>2189</v>
      </c>
      <c r="B350" s="687" t="s">
        <v>1137</v>
      </c>
      <c r="C350" s="681" t="s">
        <v>176</v>
      </c>
      <c r="D350" s="681" t="s">
        <v>177</v>
      </c>
      <c r="E350" s="682" t="s">
        <v>303</v>
      </c>
      <c r="F350" s="682"/>
      <c r="G350" s="684" t="e">
        <f>+VLOOKUP([1]Data_Validation!$A321,[1]BV_Data_An_Cour!$L:$Q,6,0)</f>
        <v>#N/A</v>
      </c>
      <c r="H350" s="3"/>
    </row>
    <row r="351" spans="1:8" ht="15" customHeight="1">
      <c r="A351" s="692" t="s">
        <v>2192</v>
      </c>
      <c r="B351" s="687" t="s">
        <v>1138</v>
      </c>
      <c r="C351" s="681" t="s">
        <v>176</v>
      </c>
      <c r="D351" s="681" t="s">
        <v>177</v>
      </c>
      <c r="E351" s="682" t="s">
        <v>303</v>
      </c>
      <c r="F351" s="682"/>
      <c r="G351" s="684" t="str">
        <f>+VLOOKUP([1]Data_Validation!$A322,[1]BV_Data_An_Cour!$L:$Q,6,0)</f>
        <v>1-Mémo</v>
      </c>
      <c r="H351" s="3"/>
    </row>
    <row r="352" spans="1:8" ht="15" customHeight="1">
      <c r="A352" s="689" t="s">
        <v>3359</v>
      </c>
      <c r="B352" s="689" t="s">
        <v>800</v>
      </c>
      <c r="C352" s="681"/>
      <c r="D352" s="681"/>
      <c r="E352" s="682" t="s">
        <v>303</v>
      </c>
      <c r="F352" s="683"/>
      <c r="G352" s="684" t="e">
        <f>+VLOOKUP([1]Data_Validation!$A78,[1]BV_Data_An_Cour!$L:$Q,6,0)</f>
        <v>#N/A</v>
      </c>
      <c r="H352" s="3"/>
    </row>
    <row r="353" spans="1:8" ht="15" customHeight="1">
      <c r="A353" s="692" t="s">
        <v>2195</v>
      </c>
      <c r="B353" s="687" t="s">
        <v>1139</v>
      </c>
      <c r="C353" s="681" t="s">
        <v>180</v>
      </c>
      <c r="D353" s="681" t="s">
        <v>182</v>
      </c>
      <c r="E353" s="682" t="s">
        <v>303</v>
      </c>
      <c r="F353" s="682"/>
      <c r="G353" s="684" t="str">
        <f>+VLOOKUP([1]Data_Validation!$A323,[1]BV_Data_An_Cour!$L:$Q,6,0)</f>
        <v>6-Coût des ventes</v>
      </c>
      <c r="H353" s="3"/>
    </row>
    <row r="354" spans="1:8" ht="15" customHeight="1">
      <c r="A354" s="692" t="s">
        <v>2198</v>
      </c>
      <c r="B354" s="687" t="s">
        <v>1140</v>
      </c>
      <c r="C354" s="681" t="s">
        <v>161</v>
      </c>
      <c r="D354" s="681" t="s">
        <v>164</v>
      </c>
      <c r="E354" s="682" t="s">
        <v>303</v>
      </c>
      <c r="F354" s="682"/>
      <c r="G354" s="684" t="str">
        <f>+VLOOKUP([1]Data_Validation!$A324,[1]BV_Data_An_Cour!$L:$Q,6,0)</f>
        <v>6-Coût des ventes</v>
      </c>
      <c r="H354" s="3"/>
    </row>
    <row r="355" spans="1:8" ht="15" customHeight="1">
      <c r="A355" s="692" t="s">
        <v>2201</v>
      </c>
      <c r="B355" s="680" t="s">
        <v>1141</v>
      </c>
      <c r="C355" s="681" t="s">
        <v>180</v>
      </c>
      <c r="D355" s="681" t="s">
        <v>184</v>
      </c>
      <c r="E355" s="682" t="s">
        <v>303</v>
      </c>
      <c r="F355" s="682"/>
      <c r="G355" s="684" t="str">
        <f>+VLOOKUP([1]Data_Validation!$A325,[1]BV_Data_An_Cour!$L:$Q,6,0)</f>
        <v>1-Mémo</v>
      </c>
      <c r="H355" s="3"/>
    </row>
    <row r="356" spans="1:8" ht="15" customHeight="1">
      <c r="A356" s="692" t="s">
        <v>3422</v>
      </c>
      <c r="B356" s="680" t="s">
        <v>1140</v>
      </c>
      <c r="C356" s="681" t="s">
        <v>161</v>
      </c>
      <c r="D356" s="681" t="s">
        <v>167</v>
      </c>
      <c r="E356" s="682" t="s">
        <v>303</v>
      </c>
      <c r="F356" s="682"/>
      <c r="G356" s="684" t="str">
        <f>+VLOOKUP([1]Data_Validation!$A325,[1]BV_Data_An_Cour!$L:$Q,6,0)</f>
        <v>1-Mémo</v>
      </c>
      <c r="H356" s="3"/>
    </row>
    <row r="357" spans="1:8" ht="15" customHeight="1">
      <c r="A357" s="692" t="s">
        <v>2204</v>
      </c>
      <c r="B357" s="687" t="s">
        <v>1142</v>
      </c>
      <c r="C357" s="681" t="s">
        <v>180</v>
      </c>
      <c r="D357" s="681" t="s">
        <v>185</v>
      </c>
      <c r="E357" s="682" t="s">
        <v>303</v>
      </c>
      <c r="F357" s="682"/>
      <c r="G357" s="684" t="str">
        <f>+VLOOKUP([1]Data_Validation!$A326,[1]BV_Data_An_Cour!$L:$Q,6,0)</f>
        <v>6-Coût des ventes</v>
      </c>
      <c r="H357" s="3"/>
    </row>
    <row r="358" spans="1:8" ht="15" customHeight="1">
      <c r="A358" s="692" t="s">
        <v>2207</v>
      </c>
      <c r="B358" s="680" t="s">
        <v>1140</v>
      </c>
      <c r="C358" s="681" t="s">
        <v>161</v>
      </c>
      <c r="D358" s="681" t="s">
        <v>167</v>
      </c>
      <c r="E358" s="682" t="s">
        <v>303</v>
      </c>
      <c r="F358" s="682"/>
      <c r="G358" s="684" t="e">
        <f>+VLOOKUP([1]Data_Validation!$A327,[1]BV_Data_An_Cour!$L:$Q,6,0)</f>
        <v>#N/A</v>
      </c>
      <c r="H358" s="3"/>
    </row>
    <row r="359" spans="1:8" ht="15" customHeight="1">
      <c r="A359" s="692" t="s">
        <v>2210</v>
      </c>
      <c r="B359" s="687" t="s">
        <v>1143</v>
      </c>
      <c r="C359" s="681" t="s">
        <v>180</v>
      </c>
      <c r="D359" s="681" t="s">
        <v>182</v>
      </c>
      <c r="E359" s="682" t="s">
        <v>303</v>
      </c>
      <c r="F359" s="682"/>
      <c r="G359" s="684" t="str">
        <f>+VLOOKUP([1]Data_Validation!$A328,[1]BV_Data_An_Cour!$L:$Q,6,0)</f>
        <v>1-Mémo</v>
      </c>
      <c r="H359" s="3"/>
    </row>
    <row r="360" spans="1:8" ht="15" customHeight="1">
      <c r="A360" s="692" t="s">
        <v>3391</v>
      </c>
      <c r="B360" s="687" t="s">
        <v>1145</v>
      </c>
      <c r="C360" s="681" t="s">
        <v>180</v>
      </c>
      <c r="D360" s="681" t="s">
        <v>185</v>
      </c>
      <c r="E360" s="682" t="s">
        <v>303</v>
      </c>
      <c r="F360" s="682"/>
      <c r="G360" s="684" t="str">
        <f>+VLOOKUP([1]Data_Validation!$A329,[1]BV_Data_An_Cour!$L:$Q,6,0)</f>
        <v>1-Mémo</v>
      </c>
      <c r="H360" s="3"/>
    </row>
    <row r="361" spans="1:8" ht="15" customHeight="1">
      <c r="A361" s="692" t="s">
        <v>2213</v>
      </c>
      <c r="B361" s="680" t="s">
        <v>1143</v>
      </c>
      <c r="C361" s="681" t="s">
        <v>180</v>
      </c>
      <c r="D361" s="681" t="s">
        <v>182</v>
      </c>
      <c r="E361" s="682" t="s">
        <v>303</v>
      </c>
      <c r="F361" s="682"/>
      <c r="G361" s="682" t="str">
        <f>+VLOOKUP([1]Data_Validation!$A330,[1]BV_Data_An_Cour!$L:$Q,6,0)</f>
        <v>1-Mémo</v>
      </c>
      <c r="H361" s="3"/>
    </row>
    <row r="362" spans="1:8" ht="15" customHeight="1">
      <c r="A362" s="692" t="s">
        <v>2216</v>
      </c>
      <c r="B362" s="687" t="s">
        <v>1146</v>
      </c>
      <c r="C362" s="681" t="s">
        <v>180</v>
      </c>
      <c r="D362" s="681" t="s">
        <v>183</v>
      </c>
      <c r="E362" s="682" t="s">
        <v>303</v>
      </c>
      <c r="F362" s="682"/>
      <c r="G362" s="684" t="str">
        <f>+VLOOKUP([1]Data_Validation!$A331,[1]BV_Data_An_Cour!$L:$Q,6,0)</f>
        <v>6-Coût des ventes</v>
      </c>
      <c r="H362" s="3"/>
    </row>
    <row r="363" spans="1:8" ht="15" customHeight="1">
      <c r="A363" s="692" t="s">
        <v>2219</v>
      </c>
      <c r="B363" s="680" t="s">
        <v>1147</v>
      </c>
      <c r="C363" s="681" t="s">
        <v>180</v>
      </c>
      <c r="D363" s="681" t="s">
        <v>183</v>
      </c>
      <c r="E363" s="682" t="s">
        <v>303</v>
      </c>
      <c r="F363" s="682"/>
      <c r="G363" s="684" t="e">
        <f>+VLOOKUP([1]Data_Validation!$A332,[1]BV_Data_An_Cour!$L:$Q,6,0)</f>
        <v>#N/A</v>
      </c>
      <c r="H363" s="3"/>
    </row>
    <row r="364" spans="1:8" ht="15" customHeight="1">
      <c r="A364" s="692" t="s">
        <v>2222</v>
      </c>
      <c r="B364" s="687" t="s">
        <v>1148</v>
      </c>
      <c r="C364" s="681" t="s">
        <v>180</v>
      </c>
      <c r="D364" s="681" t="s">
        <v>183</v>
      </c>
      <c r="E364" s="682" t="s">
        <v>303</v>
      </c>
      <c r="F364" s="682"/>
      <c r="G364" s="684" t="str">
        <f>+VLOOKUP([1]Data_Validation!$A333,[1]BV_Data_An_Cour!$L:$Q,6,0)</f>
        <v>6-Coût des ventes</v>
      </c>
      <c r="H364" s="3"/>
    </row>
    <row r="365" spans="1:8" ht="15" customHeight="1">
      <c r="A365" s="692" t="s">
        <v>2225</v>
      </c>
      <c r="B365" s="687" t="s">
        <v>1149</v>
      </c>
      <c r="C365" s="681" t="s">
        <v>180</v>
      </c>
      <c r="D365" s="681" t="s">
        <v>186</v>
      </c>
      <c r="E365" s="682" t="s">
        <v>303</v>
      </c>
      <c r="F365" s="682"/>
      <c r="G365" s="684" t="str">
        <f>+VLOOKUP([1]Data_Validation!$A334,[1]BV_Data_An_Cour!$L:$Q,6,0)</f>
        <v>6-Coût des ventes</v>
      </c>
      <c r="H365" s="3"/>
    </row>
    <row r="366" spans="1:8" ht="15" customHeight="1">
      <c r="A366" s="692" t="s">
        <v>2228</v>
      </c>
      <c r="B366" s="687" t="s">
        <v>1150</v>
      </c>
      <c r="C366" s="681" t="s">
        <v>180</v>
      </c>
      <c r="D366" s="681" t="s">
        <v>187</v>
      </c>
      <c r="E366" s="682" t="s">
        <v>303</v>
      </c>
      <c r="F366" s="682"/>
      <c r="G366" s="684" t="str">
        <f>+VLOOKUP([1]Data_Validation!$A335,[1]BV_Data_An_Cour!$L:$Q,6,0)</f>
        <v>6-Coût des ventes</v>
      </c>
      <c r="H366" s="3"/>
    </row>
    <row r="367" spans="1:8" ht="15" customHeight="1">
      <c r="A367" s="692" t="s">
        <v>3688</v>
      </c>
      <c r="B367" s="687" t="s">
        <v>3687</v>
      </c>
      <c r="C367" s="681" t="s">
        <v>180</v>
      </c>
      <c r="D367" s="681" t="s">
        <v>187</v>
      </c>
      <c r="E367" s="682" t="s">
        <v>303</v>
      </c>
      <c r="F367" s="682"/>
      <c r="G367" s="684" t="str">
        <f>+VLOOKUP([1]Data_Validation!$A336,[1]BV_Data_An_Cour!$L:$Q,6,0)</f>
        <v>6-Coût des ventes</v>
      </c>
      <c r="H367" s="3"/>
    </row>
    <row r="368" spans="1:8" ht="15" customHeight="1">
      <c r="A368" s="692" t="s">
        <v>2231</v>
      </c>
      <c r="B368" s="687" t="s">
        <v>1151</v>
      </c>
      <c r="C368" s="681" t="s">
        <v>180</v>
      </c>
      <c r="D368" s="681" t="s">
        <v>191</v>
      </c>
      <c r="E368" s="682" t="s">
        <v>303</v>
      </c>
      <c r="F368" s="682"/>
      <c r="G368" s="684" t="str">
        <f>+VLOOKUP([1]Data_Validation!$A336,[1]BV_Data_An_Cour!$L:$Q,6,0)</f>
        <v>6-Coût des ventes</v>
      </c>
      <c r="H368" s="3"/>
    </row>
    <row r="369" spans="1:8" ht="15" customHeight="1">
      <c r="A369" s="692" t="s">
        <v>2234</v>
      </c>
      <c r="B369" s="687" t="s">
        <v>1152</v>
      </c>
      <c r="C369" s="681" t="s">
        <v>180</v>
      </c>
      <c r="D369" s="681" t="s">
        <v>191</v>
      </c>
      <c r="E369" s="682" t="s">
        <v>303</v>
      </c>
      <c r="F369" s="682"/>
      <c r="G369" s="684" t="str">
        <f>+VLOOKUP([1]Data_Validation!$A337,[1]BV_Data_An_Cour!$L:$Q,6,0)</f>
        <v>6-Coût des ventes</v>
      </c>
      <c r="H369" s="3"/>
    </row>
    <row r="370" spans="1:8" ht="15" customHeight="1">
      <c r="A370" s="692" t="s">
        <v>1154</v>
      </c>
      <c r="B370" s="680" t="s">
        <v>1389</v>
      </c>
      <c r="C370" s="681" t="s">
        <v>180</v>
      </c>
      <c r="D370" s="681" t="s">
        <v>189</v>
      </c>
      <c r="E370" s="682" t="s">
        <v>303</v>
      </c>
      <c r="F370" s="682"/>
      <c r="G370" s="682" t="str">
        <f>+VLOOKUP([1]Data_Validation!$A338,[1]BV_Data_An_Cour!$L:$Q,6,0)</f>
        <v>1-Mémo</v>
      </c>
      <c r="H370" s="3"/>
    </row>
    <row r="371" spans="1:8" ht="15" customHeight="1">
      <c r="A371" s="692" t="s">
        <v>2239</v>
      </c>
      <c r="B371" s="687" t="s">
        <v>1153</v>
      </c>
      <c r="C371" s="681" t="s">
        <v>180</v>
      </c>
      <c r="D371" s="681" t="s">
        <v>188</v>
      </c>
      <c r="E371" s="682" t="s">
        <v>303</v>
      </c>
      <c r="F371" s="682"/>
      <c r="G371" s="684" t="str">
        <f>+VLOOKUP([1]Data_Validation!$A339,[1]BV_Data_An_Cour!$L:$Q,6,0)</f>
        <v>6-Coût des ventes</v>
      </c>
      <c r="H371" s="3"/>
    </row>
    <row r="372" spans="1:8" ht="15" customHeight="1">
      <c r="A372" s="680" t="s">
        <v>2242</v>
      </c>
      <c r="B372" s="680" t="s">
        <v>727</v>
      </c>
      <c r="C372" s="681"/>
      <c r="D372" s="681"/>
      <c r="E372" s="688"/>
      <c r="F372" s="682"/>
      <c r="G372" s="684" t="str">
        <f>+VLOOKUP([1]Data_Validation!$A7,[1]BV_Data_An_Cour!$L:$Q,6,0)</f>
        <v>2-Actifs</v>
      </c>
      <c r="H372" s="3"/>
    </row>
    <row r="373" spans="1:8" ht="15" customHeight="1">
      <c r="A373" s="692" t="s">
        <v>1157</v>
      </c>
      <c r="B373" s="687" t="s">
        <v>1155</v>
      </c>
      <c r="C373" s="681" t="s">
        <v>92</v>
      </c>
      <c r="D373" s="681" t="s">
        <v>111</v>
      </c>
      <c r="E373" s="682" t="s">
        <v>303</v>
      </c>
      <c r="F373" s="682"/>
      <c r="G373" s="684" t="str">
        <f>+VLOOKUP([1]Data_Validation!$A340,[1]BV_Data_An_Cour!$L:$Q,6,0)</f>
        <v>1-Mémo</v>
      </c>
      <c r="H373" s="3"/>
    </row>
    <row r="374" spans="1:8" ht="15" customHeight="1">
      <c r="A374" s="692" t="s">
        <v>1159</v>
      </c>
      <c r="B374" s="687" t="s">
        <v>1158</v>
      </c>
      <c r="C374" s="681" t="s">
        <v>92</v>
      </c>
      <c r="D374" s="681" t="s">
        <v>112</v>
      </c>
      <c r="E374" s="682" t="s">
        <v>303</v>
      </c>
      <c r="F374" s="682"/>
      <c r="G374" s="684" t="str">
        <f>+VLOOKUP([1]Data_Validation!$A341,[1]BV_Data_An_Cour!$L:$Q,6,0)</f>
        <v>6-Coût des ventes</v>
      </c>
      <c r="H374" s="3"/>
    </row>
    <row r="375" spans="1:8" ht="15" customHeight="1">
      <c r="A375" s="692" t="s">
        <v>1161</v>
      </c>
      <c r="B375" s="687" t="s">
        <v>1160</v>
      </c>
      <c r="C375" s="681" t="s">
        <v>92</v>
      </c>
      <c r="D375" s="681" t="s">
        <v>114</v>
      </c>
      <c r="E375" s="682" t="s">
        <v>303</v>
      </c>
      <c r="F375" s="682"/>
      <c r="G375" s="684" t="str">
        <f>+VLOOKUP([1]Data_Validation!$A342,[1]BV_Data_An_Cour!$L:$Q,6,0)</f>
        <v>6-Coût des ventes</v>
      </c>
      <c r="H375" s="3"/>
    </row>
    <row r="376" spans="1:8" ht="15" customHeight="1">
      <c r="A376" s="692" t="s">
        <v>1163</v>
      </c>
      <c r="B376" s="687" t="s">
        <v>1162</v>
      </c>
      <c r="C376" s="681" t="s">
        <v>92</v>
      </c>
      <c r="D376" s="681" t="s">
        <v>115</v>
      </c>
      <c r="E376" s="682" t="s">
        <v>303</v>
      </c>
      <c r="F376" s="682"/>
      <c r="G376" s="684" t="str">
        <f>+VLOOKUP([1]Data_Validation!$A343,[1]BV_Data_An_Cour!$L:$Q,6,0)</f>
        <v>6-Coût des ventes</v>
      </c>
      <c r="H376" s="3"/>
    </row>
    <row r="377" spans="1:8" ht="15" customHeight="1">
      <c r="A377" s="680" t="s">
        <v>1165</v>
      </c>
      <c r="B377" s="680" t="s">
        <v>1164</v>
      </c>
      <c r="C377" s="681" t="s">
        <v>92</v>
      </c>
      <c r="D377" s="681" t="s">
        <v>117</v>
      </c>
      <c r="E377" s="682" t="s">
        <v>303</v>
      </c>
      <c r="F377" s="682"/>
      <c r="G377" s="684" t="str">
        <f>+VLOOKUP([1]Data_Validation!$A344,[1]BV_Data_An_Cour!$L:$Q,6,0)</f>
        <v>6-Coût des ventes</v>
      </c>
      <c r="H377" s="3"/>
    </row>
    <row r="378" spans="1:8" ht="15" customHeight="1">
      <c r="A378" s="692" t="s">
        <v>1167</v>
      </c>
      <c r="B378" s="687" t="s">
        <v>1166</v>
      </c>
      <c r="C378" s="681" t="s">
        <v>92</v>
      </c>
      <c r="D378" s="681" t="s">
        <v>113</v>
      </c>
      <c r="E378" s="682" t="s">
        <v>303</v>
      </c>
      <c r="F378" s="682"/>
      <c r="G378" s="684" t="str">
        <f>+VLOOKUP([1]Data_Validation!$A346,[1]BV_Data_An_Cour!$L:$Q,6,0)</f>
        <v>6-Coût des ventes</v>
      </c>
      <c r="H378" s="3"/>
    </row>
    <row r="379" spans="1:8" ht="15" customHeight="1">
      <c r="A379" s="680" t="s">
        <v>1169</v>
      </c>
      <c r="B379" s="680" t="s">
        <v>1168</v>
      </c>
      <c r="C379" s="681" t="s">
        <v>92</v>
      </c>
      <c r="D379" s="681" t="s">
        <v>116</v>
      </c>
      <c r="E379" s="682" t="s">
        <v>303</v>
      </c>
      <c r="F379" s="682"/>
      <c r="G379" s="684" t="str">
        <f>+VLOOKUP([1]Data_Validation!$A347,[1]BV_Data_An_Cour!$L:$Q,6,0)</f>
        <v>1-Mémo</v>
      </c>
      <c r="H379" s="3"/>
    </row>
    <row r="380" spans="1:8" ht="15" customHeight="1">
      <c r="A380" s="692" t="s">
        <v>2259</v>
      </c>
      <c r="B380" s="687" t="s">
        <v>1170</v>
      </c>
      <c r="C380" s="681" t="s">
        <v>92</v>
      </c>
      <c r="D380" s="681" t="s">
        <v>116</v>
      </c>
      <c r="E380" s="682" t="s">
        <v>303</v>
      </c>
      <c r="F380" s="682"/>
      <c r="G380" s="684" t="str">
        <f>+VLOOKUP([1]Data_Validation!$A348,[1]BV_Data_An_Cour!$L:$Q,6,0)</f>
        <v>1-Mémo</v>
      </c>
      <c r="H380" s="3"/>
    </row>
    <row r="381" spans="1:8" ht="15" customHeight="1">
      <c r="A381" s="692" t="s">
        <v>1172</v>
      </c>
      <c r="B381" s="687" t="s">
        <v>1171</v>
      </c>
      <c r="C381" s="681" t="s">
        <v>92</v>
      </c>
      <c r="D381" s="681" t="s">
        <v>204</v>
      </c>
      <c r="E381" s="682" t="s">
        <v>303</v>
      </c>
      <c r="F381" s="682"/>
      <c r="G381" s="684" t="str">
        <f>+VLOOKUP([1]Data_Validation!$A349,[1]BV_Data_An_Cour!$L:$Q,6,0)</f>
        <v>6-Coût des ventes</v>
      </c>
      <c r="H381" s="3"/>
    </row>
    <row r="382" spans="1:8" ht="15" customHeight="1">
      <c r="A382" s="680" t="s">
        <v>1174</v>
      </c>
      <c r="B382" s="680" t="s">
        <v>1173</v>
      </c>
      <c r="C382" s="681" t="s">
        <v>92</v>
      </c>
      <c r="D382" s="681" t="s">
        <v>120</v>
      </c>
      <c r="E382" s="682" t="s">
        <v>303</v>
      </c>
      <c r="F382" s="682"/>
      <c r="G382" s="684" t="str">
        <f>+VLOOKUP([1]Data_Validation!$A350,[1]BV_Data_An_Cour!$L:$Q,6,0)</f>
        <v>6-Coût des ventes</v>
      </c>
      <c r="H382" s="3"/>
    </row>
    <row r="383" spans="1:8" ht="15" customHeight="1">
      <c r="A383" s="692" t="s">
        <v>1176</v>
      </c>
      <c r="B383" s="687" t="s">
        <v>1175</v>
      </c>
      <c r="C383" s="681" t="s">
        <v>92</v>
      </c>
      <c r="D383" s="681" t="s">
        <v>121</v>
      </c>
      <c r="E383" s="682" t="s">
        <v>303</v>
      </c>
      <c r="F383" s="682"/>
      <c r="G383" s="684" t="str">
        <f>+VLOOKUP([1]Data_Validation!$A351,[1]BV_Data_An_Cour!$L:$Q,6,0)</f>
        <v>6-Coût des ventes</v>
      </c>
      <c r="H383" s="3"/>
    </row>
    <row r="384" spans="1:8" ht="15" customHeight="1">
      <c r="A384" s="680" t="s">
        <v>1178</v>
      </c>
      <c r="B384" s="680" t="s">
        <v>1177</v>
      </c>
      <c r="C384" s="681" t="s">
        <v>92</v>
      </c>
      <c r="D384" s="681" t="s">
        <v>122</v>
      </c>
      <c r="E384" s="682" t="s">
        <v>303</v>
      </c>
      <c r="F384" s="682"/>
      <c r="G384" s="684" t="str">
        <f>+VLOOKUP([1]Data_Validation!$A352,[1]BV_Data_An_Cour!$L:$Q,6,0)</f>
        <v>1-Mémo</v>
      </c>
      <c r="H384" s="3"/>
    </row>
    <row r="385" spans="1:8" ht="15" customHeight="1">
      <c r="A385" s="692" t="s">
        <v>1180</v>
      </c>
      <c r="B385" s="687" t="s">
        <v>1179</v>
      </c>
      <c r="C385" s="681" t="s">
        <v>92</v>
      </c>
      <c r="D385" s="681" t="s">
        <v>124</v>
      </c>
      <c r="E385" s="682" t="s">
        <v>303</v>
      </c>
      <c r="F385" s="682"/>
      <c r="G385" s="684" t="str">
        <f>+VLOOKUP([1]Data_Validation!$A353,[1]BV_Data_An_Cour!$L:$Q,6,0)</f>
        <v>6-Coût des ventes</v>
      </c>
      <c r="H385" s="3"/>
    </row>
    <row r="386" spans="1:8" ht="15" customHeight="1">
      <c r="A386" s="692" t="s">
        <v>1182</v>
      </c>
      <c r="B386" s="687" t="s">
        <v>1181</v>
      </c>
      <c r="C386" s="681" t="s">
        <v>92</v>
      </c>
      <c r="D386" s="681" t="s">
        <v>127</v>
      </c>
      <c r="E386" s="682" t="s">
        <v>303</v>
      </c>
      <c r="F386" s="682"/>
      <c r="G386" s="684" t="str">
        <f>+VLOOKUP([1]Data_Validation!$A354,[1]BV_Data_An_Cour!$L:$Q,6,0)</f>
        <v>6-Coût des ventes</v>
      </c>
      <c r="H386" s="3"/>
    </row>
    <row r="387" spans="1:8" ht="15" customHeight="1">
      <c r="A387" s="692" t="s">
        <v>1184</v>
      </c>
      <c r="B387" s="687" t="s">
        <v>1183</v>
      </c>
      <c r="C387" s="681" t="s">
        <v>92</v>
      </c>
      <c r="D387" s="681" t="s">
        <v>125</v>
      </c>
      <c r="E387" s="682" t="s">
        <v>303</v>
      </c>
      <c r="F387" s="682"/>
      <c r="G387" s="684" t="str">
        <f>+VLOOKUP([1]Data_Validation!$A355,[1]BV_Data_An_Cour!$L:$Q,6,0)</f>
        <v>6-Coût des ventes</v>
      </c>
      <c r="H387" s="4"/>
    </row>
    <row r="388" spans="1:8" ht="15" customHeight="1">
      <c r="A388" s="692" t="s">
        <v>1186</v>
      </c>
      <c r="B388" s="687" t="s">
        <v>1390</v>
      </c>
      <c r="C388" s="681" t="s">
        <v>92</v>
      </c>
      <c r="D388" s="681" t="s">
        <v>126</v>
      </c>
      <c r="E388" s="682" t="s">
        <v>303</v>
      </c>
      <c r="F388" s="682"/>
      <c r="G388" s="684" t="str">
        <f>+VLOOKUP([1]Data_Validation!$A357,[1]BV_Data_An_Cour!$L:$Q,6,0)</f>
        <v>6-Coût des ventes</v>
      </c>
      <c r="H388" s="4"/>
    </row>
    <row r="389" spans="1:8" ht="15" customHeight="1">
      <c r="A389" s="680" t="s">
        <v>1188</v>
      </c>
      <c r="B389" s="680" t="s">
        <v>1187</v>
      </c>
      <c r="C389" s="681" t="s">
        <v>92</v>
      </c>
      <c r="D389" s="681" t="s">
        <v>126</v>
      </c>
      <c r="E389" s="682" t="s">
        <v>303</v>
      </c>
      <c r="F389" s="682"/>
      <c r="G389" s="684" t="str">
        <f>+VLOOKUP([1]Data_Validation!$A358,[1]BV_Data_An_Cour!$L:$Q,6,0)</f>
        <v>6-Coût des ventes</v>
      </c>
      <c r="H389" s="3"/>
    </row>
    <row r="390" spans="1:8" ht="15" customHeight="1">
      <c r="A390" s="692" t="s">
        <v>2278</v>
      </c>
      <c r="B390" s="690" t="s">
        <v>801</v>
      </c>
      <c r="C390" s="681"/>
      <c r="D390" s="681"/>
      <c r="E390" s="682" t="s">
        <v>303</v>
      </c>
      <c r="F390" s="682"/>
      <c r="G390" s="684" t="str">
        <f>+VLOOKUP([1]Data_Validation!$A79,[1]BV_Data_An_Cour!$L:$Q,6,0)</f>
        <v>2-Actifs</v>
      </c>
      <c r="H390" s="3"/>
    </row>
    <row r="391" spans="1:8" ht="15" customHeight="1">
      <c r="A391" s="680" t="s">
        <v>1190</v>
      </c>
      <c r="B391" s="680" t="s">
        <v>1189</v>
      </c>
      <c r="C391" s="681" t="s">
        <v>92</v>
      </c>
      <c r="D391" s="681" t="s">
        <v>135</v>
      </c>
      <c r="E391" s="682" t="s">
        <v>303</v>
      </c>
      <c r="F391" s="682"/>
      <c r="G391" s="684" t="str">
        <f>+VLOOKUP([1]Data_Validation!$A359,[1]BV_Data_An_Cour!$L:$Q,6,0)</f>
        <v>6-Coût des ventes</v>
      </c>
      <c r="H391" s="3"/>
    </row>
    <row r="392" spans="1:8" ht="15" customHeight="1">
      <c r="A392" s="680" t="s">
        <v>1192</v>
      </c>
      <c r="B392" s="687" t="s">
        <v>1191</v>
      </c>
      <c r="C392" s="681" t="s">
        <v>92</v>
      </c>
      <c r="D392" s="681" t="s">
        <v>136</v>
      </c>
      <c r="E392" s="682" t="s">
        <v>303</v>
      </c>
      <c r="F392" s="682"/>
      <c r="G392" s="684" t="e">
        <f>+VLOOKUP([1]Data_Validation!$A360,[1]BV_Data_An_Cour!$L:$Q,6,0)</f>
        <v>#N/A</v>
      </c>
      <c r="H392" s="3"/>
    </row>
    <row r="393" spans="1:8" ht="15" customHeight="1">
      <c r="A393" s="680" t="s">
        <v>1194</v>
      </c>
      <c r="B393" s="687" t="s">
        <v>1193</v>
      </c>
      <c r="C393" s="681" t="s">
        <v>92</v>
      </c>
      <c r="D393" s="681" t="s">
        <v>141</v>
      </c>
      <c r="E393" s="682" t="s">
        <v>303</v>
      </c>
      <c r="F393" s="682"/>
      <c r="G393" s="684" t="e">
        <f>+VLOOKUP([1]Data_Validation!$A361,[1]BV_Data_An_Cour!$L:$Q,6,0)</f>
        <v>#N/A</v>
      </c>
      <c r="H393" s="3"/>
    </row>
    <row r="394" spans="1:8" ht="15" customHeight="1">
      <c r="A394" s="692" t="s">
        <v>1196</v>
      </c>
      <c r="B394" s="687" t="s">
        <v>1195</v>
      </c>
      <c r="C394" s="681" t="s">
        <v>92</v>
      </c>
      <c r="D394" s="681" t="s">
        <v>131</v>
      </c>
      <c r="E394" s="682" t="s">
        <v>303</v>
      </c>
      <c r="F394" s="682"/>
      <c r="G394" s="684" t="str">
        <f>+VLOOKUP([1]Data_Validation!$A362,[1]BV_Data_An_Cour!$L:$Q,6,0)</f>
        <v>6-Coût des ventes</v>
      </c>
      <c r="H394" s="3"/>
    </row>
    <row r="395" spans="1:8" ht="15" customHeight="1">
      <c r="A395" s="680" t="s">
        <v>1198</v>
      </c>
      <c r="B395" s="680" t="s">
        <v>1197</v>
      </c>
      <c r="C395" s="681" t="s">
        <v>92</v>
      </c>
      <c r="D395" s="681" t="s">
        <v>139</v>
      </c>
      <c r="E395" s="682" t="s">
        <v>303</v>
      </c>
      <c r="F395" s="682"/>
      <c r="G395" s="684" t="str">
        <f>+VLOOKUP([1]Data_Validation!$A363,[1]BV_Data_An_Cour!$L:$Q,6,0)</f>
        <v>6-Coût des ventes</v>
      </c>
      <c r="H395" s="3"/>
    </row>
    <row r="396" spans="1:8" ht="15" customHeight="1">
      <c r="A396" s="692" t="s">
        <v>1210</v>
      </c>
      <c r="B396" s="690" t="s">
        <v>802</v>
      </c>
      <c r="C396" s="681"/>
      <c r="D396" s="681"/>
      <c r="E396" s="682" t="s">
        <v>303</v>
      </c>
      <c r="F396" s="682"/>
      <c r="G396" s="684" t="str">
        <f>+VLOOKUP([1]Data_Validation!$A80,[1]BV_Data_An_Cour!$L:$Q,6,0)</f>
        <v>2-Actifs</v>
      </c>
      <c r="H396" s="3"/>
    </row>
    <row r="397" spans="1:8" ht="15" customHeight="1">
      <c r="A397" s="680" t="s">
        <v>1200</v>
      </c>
      <c r="B397" s="680" t="s">
        <v>1199</v>
      </c>
      <c r="C397" s="681" t="s">
        <v>92</v>
      </c>
      <c r="D397" s="681" t="s">
        <v>132</v>
      </c>
      <c r="E397" s="682" t="s">
        <v>303</v>
      </c>
      <c r="F397" s="682"/>
      <c r="G397" s="684" t="str">
        <f>+VLOOKUP([1]Data_Validation!$A364,[1]BV_Data_An_Cour!$L:$Q,6,0)</f>
        <v>6-Coût des ventes</v>
      </c>
      <c r="H397" s="3"/>
    </row>
    <row r="398" spans="1:8" ht="15" customHeight="1">
      <c r="A398" s="692" t="s">
        <v>1202</v>
      </c>
      <c r="B398" s="680" t="s">
        <v>1201</v>
      </c>
      <c r="C398" s="681" t="s">
        <v>92</v>
      </c>
      <c r="D398" s="681" t="s">
        <v>137</v>
      </c>
      <c r="E398" s="682" t="s">
        <v>303</v>
      </c>
      <c r="F398" s="682"/>
      <c r="G398" s="684" t="str">
        <f>+VLOOKUP([1]Data_Validation!$A365,[1]BV_Data_An_Cour!$L:$Q,6,0)</f>
        <v>6-Coût des ventes</v>
      </c>
      <c r="H398" s="3"/>
    </row>
    <row r="399" spans="1:8" ht="15" customHeight="1">
      <c r="A399" s="680" t="s">
        <v>1204</v>
      </c>
      <c r="B399" s="680" t="s">
        <v>1203</v>
      </c>
      <c r="C399" s="681" t="s">
        <v>92</v>
      </c>
      <c r="D399" s="681" t="s">
        <v>138</v>
      </c>
      <c r="E399" s="682" t="s">
        <v>303</v>
      </c>
      <c r="F399" s="682"/>
      <c r="G399" s="684" t="str">
        <f>+VLOOKUP([1]Data_Validation!$A366,[1]BV_Data_An_Cour!$L:$Q,6,0)</f>
        <v>6-Coût des ventes</v>
      </c>
      <c r="H399" s="3"/>
    </row>
    <row r="400" spans="1:8" ht="15" customHeight="1">
      <c r="A400" s="692" t="s">
        <v>1206</v>
      </c>
      <c r="B400" s="680" t="s">
        <v>1205</v>
      </c>
      <c r="C400" s="681" t="s">
        <v>92</v>
      </c>
      <c r="D400" s="681" t="s">
        <v>140</v>
      </c>
      <c r="E400" s="682" t="s">
        <v>303</v>
      </c>
      <c r="F400" s="682"/>
      <c r="G400" s="684" t="str">
        <f>+VLOOKUP([1]Data_Validation!$A368,[1]BV_Data_An_Cour!$L:$Q,6,0)</f>
        <v>6-Coût des ventes</v>
      </c>
      <c r="H400" s="3"/>
    </row>
    <row r="401" spans="1:8" ht="15" customHeight="1">
      <c r="A401" s="680" t="s">
        <v>1208</v>
      </c>
      <c r="B401" s="680" t="s">
        <v>1207</v>
      </c>
      <c r="C401" s="681" t="s">
        <v>92</v>
      </c>
      <c r="D401" s="681" t="s">
        <v>133</v>
      </c>
      <c r="E401" s="682" t="s">
        <v>303</v>
      </c>
      <c r="F401" s="682"/>
      <c r="G401" s="684" t="str">
        <f>+VLOOKUP([1]Data_Validation!$A369,[1]BV_Data_An_Cour!$L:$Q,6,0)</f>
        <v>6-Coût des ventes</v>
      </c>
      <c r="H401" s="3"/>
    </row>
    <row r="402" spans="1:8" ht="15" customHeight="1">
      <c r="A402" s="680" t="s">
        <v>3392</v>
      </c>
      <c r="B402" s="680" t="s">
        <v>1209</v>
      </c>
      <c r="C402" s="681" t="s">
        <v>92</v>
      </c>
      <c r="D402" s="681" t="s">
        <v>142</v>
      </c>
      <c r="E402" s="682" t="s">
        <v>303</v>
      </c>
      <c r="F402" s="682"/>
      <c r="G402" s="684" t="e">
        <f>+VLOOKUP([1]Data_Validation!$A370,[1]BV_Data_An_Cour!$L:$Q,6,0)</f>
        <v>#N/A</v>
      </c>
      <c r="H402" s="3"/>
    </row>
    <row r="403" spans="1:8" ht="15" customHeight="1">
      <c r="A403" s="692" t="s">
        <v>1212</v>
      </c>
      <c r="B403" s="687" t="s">
        <v>1211</v>
      </c>
      <c r="C403" s="681" t="s">
        <v>92</v>
      </c>
      <c r="D403" s="681" t="s">
        <v>134</v>
      </c>
      <c r="E403" s="682" t="s">
        <v>303</v>
      </c>
      <c r="F403" s="682"/>
      <c r="G403" s="684" t="str">
        <f>+VLOOKUP([1]Data_Validation!$A371,[1]BV_Data_An_Cour!$L:$Q,6,0)</f>
        <v>6-Coût des ventes</v>
      </c>
      <c r="H403" s="3"/>
    </row>
    <row r="404" spans="1:8" ht="15" customHeight="1">
      <c r="A404" s="692" t="s">
        <v>1214</v>
      </c>
      <c r="B404" s="687" t="s">
        <v>1213</v>
      </c>
      <c r="C404" s="681" t="s">
        <v>92</v>
      </c>
      <c r="D404" s="681" t="s">
        <v>221</v>
      </c>
      <c r="E404" s="682" t="s">
        <v>303</v>
      </c>
      <c r="F404" s="682"/>
      <c r="G404" s="684" t="e">
        <f>+VLOOKUP([1]Data_Validation!$A372,[1]BV_Data_An_Cour!$L:$Q,6,0)</f>
        <v>#N/A</v>
      </c>
      <c r="H404" s="3"/>
    </row>
    <row r="405" spans="1:8" ht="15" customHeight="1">
      <c r="A405" s="692" t="s">
        <v>2306</v>
      </c>
      <c r="B405" s="687" t="s">
        <v>1391</v>
      </c>
      <c r="C405" s="681" t="s">
        <v>92</v>
      </c>
      <c r="D405" s="681" t="s">
        <v>213</v>
      </c>
      <c r="E405" s="682" t="s">
        <v>303</v>
      </c>
      <c r="F405" s="682"/>
      <c r="G405" s="682" t="str">
        <f>+VLOOKUP([1]Data_Validation!$A373,[1]BV_Data_An_Cour!$L:$Q,6,0)</f>
        <v>7-Dépenses</v>
      </c>
      <c r="H405" s="3"/>
    </row>
    <row r="406" spans="1:8" ht="15" customHeight="1">
      <c r="A406" s="692" t="s">
        <v>1216</v>
      </c>
      <c r="B406" s="687" t="s">
        <v>1215</v>
      </c>
      <c r="C406" s="681" t="s">
        <v>92</v>
      </c>
      <c r="D406" s="681" t="s">
        <v>210</v>
      </c>
      <c r="E406" s="682" t="s">
        <v>303</v>
      </c>
      <c r="F406" s="682"/>
      <c r="G406" s="684" t="str">
        <f>+VLOOKUP([1]Data_Validation!$A374,[1]BV_Data_An_Cour!$L:$Q,6,0)</f>
        <v>7-Dépenses</v>
      </c>
      <c r="H406" s="3"/>
    </row>
    <row r="407" spans="1:8" ht="15" customHeight="1">
      <c r="A407" s="680" t="s">
        <v>1218</v>
      </c>
      <c r="B407" s="680" t="s">
        <v>1217</v>
      </c>
      <c r="C407" s="681" t="s">
        <v>92</v>
      </c>
      <c r="D407" s="681" t="s">
        <v>205</v>
      </c>
      <c r="E407" s="682" t="s">
        <v>303</v>
      </c>
      <c r="F407" s="682"/>
      <c r="G407" s="684" t="str">
        <f>+VLOOKUP([1]Data_Validation!$A375,[1]BV_Data_An_Cour!$L:$Q,6,0)</f>
        <v>7-Dépenses</v>
      </c>
      <c r="H407" s="3"/>
    </row>
    <row r="408" spans="1:8" ht="15" customHeight="1">
      <c r="A408" s="692" t="s">
        <v>1220</v>
      </c>
      <c r="B408" s="687" t="s">
        <v>1219</v>
      </c>
      <c r="C408" s="681" t="s">
        <v>92</v>
      </c>
      <c r="D408" s="681" t="s">
        <v>209</v>
      </c>
      <c r="E408" s="682" t="s">
        <v>303</v>
      </c>
      <c r="F408" s="682"/>
      <c r="G408" s="684" t="str">
        <f>+VLOOKUP([1]Data_Validation!$A376,[1]BV_Data_An_Cour!$L:$Q,6,0)</f>
        <v>7-Dépenses</v>
      </c>
      <c r="H408" s="3"/>
    </row>
    <row r="409" spans="1:8" ht="15" customHeight="1">
      <c r="A409" s="680" t="s">
        <v>1222</v>
      </c>
      <c r="B409" s="680" t="s">
        <v>1221</v>
      </c>
      <c r="C409" s="681" t="s">
        <v>92</v>
      </c>
      <c r="D409" s="681" t="s">
        <v>206</v>
      </c>
      <c r="E409" s="682" t="s">
        <v>303</v>
      </c>
      <c r="F409" s="682"/>
      <c r="G409" s="684" t="str">
        <f>+VLOOKUP([1]Data_Validation!$A377,[1]BV_Data_An_Cour!$L:$Q,6,0)</f>
        <v>7-Dépenses</v>
      </c>
      <c r="H409" s="3"/>
    </row>
    <row r="410" spans="1:8" ht="15" customHeight="1">
      <c r="A410" s="692" t="s">
        <v>1224</v>
      </c>
      <c r="B410" s="680" t="s">
        <v>1223</v>
      </c>
      <c r="C410" s="681" t="s">
        <v>92</v>
      </c>
      <c r="D410" s="681" t="s">
        <v>207</v>
      </c>
      <c r="E410" s="682" t="s">
        <v>303</v>
      </c>
      <c r="F410" s="682"/>
      <c r="G410" s="684" t="str">
        <f>+VLOOKUP([1]Data_Validation!$A378,[1]BV_Data_An_Cour!$L:$Q,6,0)</f>
        <v>7-Dépenses</v>
      </c>
      <c r="H410" s="3"/>
    </row>
    <row r="411" spans="1:8" ht="15" customHeight="1">
      <c r="A411" s="680" t="s">
        <v>1226</v>
      </c>
      <c r="B411" s="680" t="s">
        <v>1225</v>
      </c>
      <c r="C411" s="681" t="s">
        <v>92</v>
      </c>
      <c r="D411" s="681" t="s">
        <v>211</v>
      </c>
      <c r="E411" s="682" t="s">
        <v>303</v>
      </c>
      <c r="F411" s="682"/>
      <c r="G411" s="684" t="str">
        <f>+VLOOKUP([1]Data_Validation!$A379,[1]BV_Data_An_Cour!$L:$Q,6,0)</f>
        <v>7-Dépenses</v>
      </c>
      <c r="H411" s="3"/>
    </row>
    <row r="412" spans="1:8" ht="15" customHeight="1">
      <c r="A412" s="680" t="s">
        <v>3393</v>
      </c>
      <c r="B412" s="680" t="s">
        <v>1392</v>
      </c>
      <c r="C412" s="681" t="s">
        <v>92</v>
      </c>
      <c r="D412" s="681" t="s">
        <v>214</v>
      </c>
      <c r="E412" s="682" t="s">
        <v>303</v>
      </c>
      <c r="F412" s="682"/>
      <c r="G412" s="682" t="str">
        <f>+VLOOKUP([1]Data_Validation!$A380,[1]BV_Data_An_Cour!$L:$Q,6,0)</f>
        <v>7-Dépenses</v>
      </c>
      <c r="H412" s="3"/>
    </row>
    <row r="413" spans="1:8" ht="15" customHeight="1">
      <c r="A413" s="692" t="s">
        <v>2321</v>
      </c>
      <c r="B413" s="690" t="s">
        <v>1227</v>
      </c>
      <c r="C413" s="681" t="s">
        <v>152</v>
      </c>
      <c r="D413" s="681" t="s">
        <v>111</v>
      </c>
      <c r="E413" s="682" t="s">
        <v>303</v>
      </c>
      <c r="F413" s="682"/>
      <c r="G413" s="684" t="str">
        <f>+VLOOKUP([1]Data_Validation!$A381,[1]BV_Data_An_Cour!$L:$Q,6,0)</f>
        <v>7-Dépenses</v>
      </c>
      <c r="H413" s="3"/>
    </row>
    <row r="414" spans="1:8" ht="15" customHeight="1">
      <c r="A414" s="692" t="s">
        <v>2324</v>
      </c>
      <c r="B414" s="690" t="s">
        <v>1158</v>
      </c>
      <c r="C414" s="681" t="s">
        <v>152</v>
      </c>
      <c r="D414" s="681" t="s">
        <v>112</v>
      </c>
      <c r="E414" s="682" t="s">
        <v>303</v>
      </c>
      <c r="F414" s="682"/>
      <c r="G414" s="684" t="str">
        <f>+VLOOKUP([1]Data_Validation!$A382,[1]BV_Data_An_Cour!$L:$Q,6,0)</f>
        <v>7-Dépenses</v>
      </c>
      <c r="H414" s="3"/>
    </row>
    <row r="415" spans="1:8" ht="15" customHeight="1">
      <c r="A415" s="680" t="s">
        <v>2327</v>
      </c>
      <c r="B415" s="680" t="s">
        <v>1228</v>
      </c>
      <c r="C415" s="681" t="s">
        <v>152</v>
      </c>
      <c r="D415" s="681" t="s">
        <v>114</v>
      </c>
      <c r="E415" s="682" t="s">
        <v>303</v>
      </c>
      <c r="F415" s="682"/>
      <c r="G415" s="684" t="str">
        <f>+VLOOKUP([1]Data_Validation!$A383,[1]BV_Data_An_Cour!$L:$Q,6,0)</f>
        <v>7-Dépenses</v>
      </c>
      <c r="H415" s="3"/>
    </row>
    <row r="416" spans="1:8" ht="15" customHeight="1">
      <c r="A416" s="692" t="s">
        <v>2330</v>
      </c>
      <c r="B416" s="690" t="s">
        <v>1162</v>
      </c>
      <c r="C416" s="681" t="s">
        <v>152</v>
      </c>
      <c r="D416" s="681" t="s">
        <v>115</v>
      </c>
      <c r="E416" s="682" t="s">
        <v>303</v>
      </c>
      <c r="F416" s="682"/>
      <c r="G416" s="684" t="str">
        <f>+VLOOKUP([1]Data_Validation!$A384,[1]BV_Data_An_Cour!$L:$Q,6,0)</f>
        <v>7-Dépenses</v>
      </c>
      <c r="H416" s="3"/>
    </row>
    <row r="417" spans="1:12" ht="15" customHeight="1">
      <c r="A417" s="680" t="s">
        <v>2333</v>
      </c>
      <c r="B417" s="680" t="s">
        <v>1164</v>
      </c>
      <c r="C417" s="681" t="s">
        <v>152</v>
      </c>
      <c r="D417" s="681" t="s">
        <v>117</v>
      </c>
      <c r="E417" s="682" t="s">
        <v>303</v>
      </c>
      <c r="F417" s="682"/>
      <c r="G417" s="684" t="str">
        <f>+VLOOKUP([1]Data_Validation!$A385,[1]BV_Data_An_Cour!$L:$Q,6,0)</f>
        <v>7-Dépenses</v>
      </c>
      <c r="H417" s="3"/>
    </row>
    <row r="418" spans="1:12" ht="15" customHeight="1">
      <c r="A418" s="692" t="s">
        <v>2336</v>
      </c>
      <c r="B418" s="690" t="s">
        <v>1166</v>
      </c>
      <c r="C418" s="681" t="s">
        <v>152</v>
      </c>
      <c r="D418" s="681" t="s">
        <v>113</v>
      </c>
      <c r="E418" s="682" t="s">
        <v>303</v>
      </c>
      <c r="F418" s="682"/>
      <c r="G418" s="684" t="str">
        <f>+VLOOKUP([1]Data_Validation!$A386,[1]BV_Data_An_Cour!$L:$Q,6,0)</f>
        <v>7-Dépenses</v>
      </c>
      <c r="H418" s="3"/>
      <c r="L418" s="3"/>
    </row>
    <row r="419" spans="1:12" ht="15" customHeight="1">
      <c r="A419" s="680" t="s">
        <v>2339</v>
      </c>
      <c r="B419" s="680" t="s">
        <v>803</v>
      </c>
      <c r="C419" s="681"/>
      <c r="D419" s="681"/>
      <c r="E419" s="682" t="s">
        <v>303</v>
      </c>
      <c r="F419" s="682"/>
      <c r="G419" s="684" t="str">
        <f>+VLOOKUP([1]Data_Validation!$A81,[1]BV_Data_An_Cour!$L:$Q,6,0)</f>
        <v>2-Actifs</v>
      </c>
      <c r="H419" s="3"/>
      <c r="L419" s="3"/>
    </row>
    <row r="420" spans="1:12" ht="15" customHeight="1">
      <c r="A420" s="692" t="s">
        <v>2342</v>
      </c>
      <c r="B420" s="690" t="s">
        <v>1168</v>
      </c>
      <c r="C420" s="681" t="s">
        <v>152</v>
      </c>
      <c r="D420" s="681" t="s">
        <v>116</v>
      </c>
      <c r="E420" s="682" t="s">
        <v>303</v>
      </c>
      <c r="F420" s="682"/>
      <c r="G420" s="684" t="str">
        <f>+VLOOKUP([1]Data_Validation!$A387,[1]BV_Data_An_Cour!$L:$Q,6,0)</f>
        <v>7-Dépenses</v>
      </c>
      <c r="H420" s="3"/>
    </row>
    <row r="421" spans="1:12" ht="15" customHeight="1">
      <c r="A421" s="680" t="s">
        <v>2345</v>
      </c>
      <c r="B421" s="680" t="s">
        <v>1229</v>
      </c>
      <c r="C421" s="681" t="s">
        <v>152</v>
      </c>
      <c r="D421" s="681" t="s">
        <v>116</v>
      </c>
      <c r="E421" s="682" t="s">
        <v>303</v>
      </c>
      <c r="F421" s="682"/>
      <c r="G421" s="684" t="str">
        <f>+VLOOKUP([1]Data_Validation!$A388,[1]BV_Data_An_Cour!$L:$Q,6,0)</f>
        <v>7-Dépenses</v>
      </c>
      <c r="H421" s="3"/>
    </row>
    <row r="422" spans="1:12" ht="15" customHeight="1">
      <c r="A422" s="692" t="s">
        <v>2348</v>
      </c>
      <c r="B422" s="690" t="s">
        <v>804</v>
      </c>
      <c r="C422" s="681"/>
      <c r="D422" s="681"/>
      <c r="E422" s="682" t="s">
        <v>303</v>
      </c>
      <c r="F422" s="682"/>
      <c r="G422" s="684" t="str">
        <f>+VLOOKUP([1]Data_Validation!$A82,[1]BV_Data_An_Cour!$L:$Q,6,0)</f>
        <v>2-Actifs</v>
      </c>
      <c r="H422" s="3"/>
    </row>
    <row r="423" spans="1:12" ht="15" customHeight="1">
      <c r="A423" s="680" t="s">
        <v>2351</v>
      </c>
      <c r="B423" s="690" t="s">
        <v>1171</v>
      </c>
      <c r="C423" s="681" t="s">
        <v>152</v>
      </c>
      <c r="D423" s="681" t="s">
        <v>204</v>
      </c>
      <c r="E423" s="682" t="s">
        <v>303</v>
      </c>
      <c r="F423" s="682"/>
      <c r="G423" s="684" t="str">
        <f>+VLOOKUP([1]Data_Validation!$A389,[1]BV_Data_An_Cour!$L:$Q,6,0)</f>
        <v>7-Dépenses</v>
      </c>
      <c r="H423" s="3"/>
    </row>
    <row r="424" spans="1:12" ht="15" customHeight="1">
      <c r="A424" s="692" t="s">
        <v>2354</v>
      </c>
      <c r="B424" s="690" t="s">
        <v>1173</v>
      </c>
      <c r="C424" s="681" t="s">
        <v>152</v>
      </c>
      <c r="D424" s="681" t="s">
        <v>120</v>
      </c>
      <c r="E424" s="682" t="s">
        <v>303</v>
      </c>
      <c r="F424" s="682"/>
      <c r="G424" s="684" t="str">
        <f>+VLOOKUP([1]Data_Validation!$A390,[1]BV_Data_An_Cour!$L:$Q,6,0)</f>
        <v>1-Mémo</v>
      </c>
      <c r="H424" s="3"/>
    </row>
    <row r="425" spans="1:12" ht="15" customHeight="1">
      <c r="A425" s="692" t="s">
        <v>2357</v>
      </c>
      <c r="B425" s="690" t="s">
        <v>1175</v>
      </c>
      <c r="C425" s="681" t="s">
        <v>152</v>
      </c>
      <c r="D425" s="681" t="s">
        <v>121</v>
      </c>
      <c r="E425" s="682" t="s">
        <v>303</v>
      </c>
      <c r="F425" s="682"/>
      <c r="G425" s="684" t="str">
        <f>+VLOOKUP([1]Data_Validation!$A391,[1]BV_Data_An_Cour!$L:$Q,6,0)</f>
        <v>7-Dépenses</v>
      </c>
      <c r="H425" s="3"/>
    </row>
    <row r="426" spans="1:12" ht="15" customHeight="1">
      <c r="A426" s="692" t="s">
        <v>2360</v>
      </c>
      <c r="B426" s="690" t="s">
        <v>1230</v>
      </c>
      <c r="C426" s="681" t="s">
        <v>152</v>
      </c>
      <c r="D426" s="681" t="s">
        <v>122</v>
      </c>
      <c r="E426" s="682" t="s">
        <v>303</v>
      </c>
      <c r="F426" s="682"/>
      <c r="G426" s="684" t="e">
        <f>+VLOOKUP([1]Data_Validation!$A392,[1]BV_Data_An_Cour!$L:$Q,6,0)</f>
        <v>#N/A</v>
      </c>
      <c r="H426" s="3"/>
    </row>
    <row r="427" spans="1:12" ht="15" customHeight="1">
      <c r="A427" s="692" t="s">
        <v>2361</v>
      </c>
      <c r="B427" s="690" t="s">
        <v>1231</v>
      </c>
      <c r="C427" s="681" t="s">
        <v>152</v>
      </c>
      <c r="D427" s="681" t="s">
        <v>124</v>
      </c>
      <c r="E427" s="682" t="s">
        <v>303</v>
      </c>
      <c r="F427" s="682"/>
      <c r="G427" s="684" t="str">
        <f>+VLOOKUP([1]Data_Validation!$A393,[1]BV_Data_An_Cour!$L:$Q,6,0)</f>
        <v>7-Dépenses</v>
      </c>
      <c r="H427" s="3"/>
    </row>
    <row r="428" spans="1:12" ht="15" customHeight="1">
      <c r="A428" s="692" t="s">
        <v>2364</v>
      </c>
      <c r="B428" s="690" t="s">
        <v>1181</v>
      </c>
      <c r="C428" s="681" t="s">
        <v>152</v>
      </c>
      <c r="D428" s="681" t="s">
        <v>127</v>
      </c>
      <c r="E428" s="682" t="s">
        <v>303</v>
      </c>
      <c r="F428" s="682"/>
      <c r="G428" s="684" t="str">
        <f>+VLOOKUP([1]Data_Validation!$A394,[1]BV_Data_An_Cour!$L:$Q,6,0)</f>
        <v>7-Dépenses</v>
      </c>
      <c r="H428" s="3"/>
    </row>
    <row r="429" spans="1:12" ht="15" customHeight="1">
      <c r="A429" s="692" t="s">
        <v>2367</v>
      </c>
      <c r="B429" s="690" t="s">
        <v>1183</v>
      </c>
      <c r="C429" s="681" t="s">
        <v>152</v>
      </c>
      <c r="D429" s="681" t="s">
        <v>125</v>
      </c>
      <c r="E429" s="682" t="s">
        <v>303</v>
      </c>
      <c r="F429" s="682"/>
      <c r="G429" s="684" t="str">
        <f>+VLOOKUP([1]Data_Validation!$A395,[1]BV_Data_An_Cour!$L:$Q,6,0)</f>
        <v>7-Dépenses</v>
      </c>
      <c r="H429" s="3"/>
    </row>
    <row r="430" spans="1:12" ht="15" customHeight="1">
      <c r="A430" s="692" t="s">
        <v>3394</v>
      </c>
      <c r="B430" s="690" t="s">
        <v>1393</v>
      </c>
      <c r="C430" s="681" t="s">
        <v>152</v>
      </c>
      <c r="D430" s="681" t="s">
        <v>126</v>
      </c>
      <c r="E430" s="682" t="s">
        <v>303</v>
      </c>
      <c r="F430" s="682"/>
      <c r="G430" s="684" t="str">
        <f>+VLOOKUP([1]Data_Validation!$A396,[1]BV_Data_An_Cour!$L:$Q,6,0)</f>
        <v>1-Mémo</v>
      </c>
      <c r="H430" s="3"/>
    </row>
    <row r="431" spans="1:12" ht="15" customHeight="1">
      <c r="A431" s="692" t="s">
        <v>2370</v>
      </c>
      <c r="B431" s="690" t="s">
        <v>1233</v>
      </c>
      <c r="C431" s="681" t="s">
        <v>152</v>
      </c>
      <c r="D431" s="681" t="s">
        <v>126</v>
      </c>
      <c r="E431" s="682" t="s">
        <v>303</v>
      </c>
      <c r="F431" s="682"/>
      <c r="G431" s="684" t="str">
        <f>+VLOOKUP([1]Data_Validation!$A397,[1]BV_Data_An_Cour!$L:$Q,6,0)</f>
        <v>7-Dépenses</v>
      </c>
      <c r="H431" s="3"/>
    </row>
    <row r="432" spans="1:12" ht="15" customHeight="1">
      <c r="A432" s="692" t="s">
        <v>2373</v>
      </c>
      <c r="B432" s="690" t="s">
        <v>805</v>
      </c>
      <c r="C432" s="681"/>
      <c r="D432" s="681"/>
      <c r="E432" s="682" t="s">
        <v>303</v>
      </c>
      <c r="F432" s="682"/>
      <c r="G432" s="684" t="str">
        <f>+VLOOKUP([1]Data_Validation!$A83,[1]BV_Data_An_Cour!$L:$Q,6,0)</f>
        <v>2-Actifs</v>
      </c>
      <c r="H432" s="3"/>
    </row>
    <row r="433" spans="1:8" ht="15" customHeight="1">
      <c r="A433" s="692" t="s">
        <v>2376</v>
      </c>
      <c r="B433" s="690" t="s">
        <v>1189</v>
      </c>
      <c r="C433" s="681" t="s">
        <v>152</v>
      </c>
      <c r="D433" s="681" t="s">
        <v>135</v>
      </c>
      <c r="E433" s="682" t="s">
        <v>303</v>
      </c>
      <c r="F433" s="682"/>
      <c r="G433" s="684" t="str">
        <f>+VLOOKUP([1]Data_Validation!$A398,[1]BV_Data_An_Cour!$L:$Q,6,0)</f>
        <v>7-Dépenses</v>
      </c>
      <c r="H433" s="3"/>
    </row>
    <row r="434" spans="1:8" ht="15" customHeight="1">
      <c r="A434" s="692" t="s">
        <v>2378</v>
      </c>
      <c r="B434" s="690" t="s">
        <v>1191</v>
      </c>
      <c r="C434" s="681" t="s">
        <v>152</v>
      </c>
      <c r="D434" s="681" t="s">
        <v>136</v>
      </c>
      <c r="E434" s="682" t="s">
        <v>303</v>
      </c>
      <c r="F434" s="682"/>
      <c r="G434" s="682" t="str">
        <f>+VLOOKUP([1]Data_Validation!$A399,[1]BV_Data_An_Cour!$L:$Q,6,0)</f>
        <v>7-Dépenses</v>
      </c>
      <c r="H434" s="3"/>
    </row>
    <row r="435" spans="1:8" ht="15" customHeight="1">
      <c r="A435" s="680" t="s">
        <v>2381</v>
      </c>
      <c r="B435" s="680" t="s">
        <v>1193</v>
      </c>
      <c r="C435" s="681" t="s">
        <v>152</v>
      </c>
      <c r="D435" s="681" t="s">
        <v>141</v>
      </c>
      <c r="E435" s="682" t="s">
        <v>303</v>
      </c>
      <c r="F435" s="682"/>
      <c r="G435" s="684" t="str">
        <f>+VLOOKUP([1]Data_Validation!$A400,[1]BV_Data_An_Cour!$L:$Q,6,0)</f>
        <v>7-Dépenses</v>
      </c>
      <c r="H435" s="3"/>
    </row>
    <row r="436" spans="1:8" ht="15" customHeight="1">
      <c r="A436" s="692" t="s">
        <v>2384</v>
      </c>
      <c r="B436" s="690" t="s">
        <v>1195</v>
      </c>
      <c r="C436" s="681" t="s">
        <v>152</v>
      </c>
      <c r="D436" s="681" t="s">
        <v>131</v>
      </c>
      <c r="E436" s="682" t="s">
        <v>303</v>
      </c>
      <c r="F436" s="682"/>
      <c r="G436" s="684" t="str">
        <f>+VLOOKUP([1]Data_Validation!$A401,[1]BV_Data_An_Cour!$L:$Q,6,0)</f>
        <v>7-Dépenses</v>
      </c>
      <c r="H436" s="3"/>
    </row>
    <row r="437" spans="1:8" ht="15" customHeight="1">
      <c r="A437" s="680" t="s">
        <v>2387</v>
      </c>
      <c r="B437" s="680" t="s">
        <v>1197</v>
      </c>
      <c r="C437" s="681" t="s">
        <v>152</v>
      </c>
      <c r="D437" s="681" t="s">
        <v>139</v>
      </c>
      <c r="E437" s="682" t="s">
        <v>303</v>
      </c>
      <c r="F437" s="688"/>
      <c r="G437" s="684" t="str">
        <f>+VLOOKUP([1]Data_Validation!$A402,[1]BV_Data_An_Cour!$L:$Q,6,0)</f>
        <v>7-Dépenses</v>
      </c>
      <c r="H437" s="3"/>
    </row>
    <row r="438" spans="1:8" ht="15" customHeight="1">
      <c r="A438" s="692" t="s">
        <v>2390</v>
      </c>
      <c r="B438" s="690" t="s">
        <v>1199</v>
      </c>
      <c r="C438" s="681" t="s">
        <v>152</v>
      </c>
      <c r="D438" s="681" t="s">
        <v>132</v>
      </c>
      <c r="E438" s="682" t="s">
        <v>303</v>
      </c>
      <c r="F438" s="682"/>
      <c r="G438" s="684" t="str">
        <f>+VLOOKUP([1]Data_Validation!$A403,[1]BV_Data_An_Cour!$L:$Q,6,0)</f>
        <v>7-Dépenses</v>
      </c>
      <c r="H438" s="3"/>
    </row>
    <row r="439" spans="1:8" ht="15" customHeight="1">
      <c r="A439" s="680" t="s">
        <v>2393</v>
      </c>
      <c r="B439" s="680" t="s">
        <v>1201</v>
      </c>
      <c r="C439" s="681" t="s">
        <v>152</v>
      </c>
      <c r="D439" s="681" t="s">
        <v>137</v>
      </c>
      <c r="E439" s="682" t="s">
        <v>303</v>
      </c>
      <c r="F439" s="682"/>
      <c r="G439" s="684" t="str">
        <f>+VLOOKUP([1]Data_Validation!$A404,[1]BV_Data_An_Cour!$L:$Q,6,0)</f>
        <v>7-Dépenses</v>
      </c>
      <c r="H439" s="3"/>
    </row>
    <row r="440" spans="1:8" ht="15" customHeight="1">
      <c r="A440" s="692" t="s">
        <v>2396</v>
      </c>
      <c r="B440" s="690" t="s">
        <v>1203</v>
      </c>
      <c r="C440" s="681" t="s">
        <v>152</v>
      </c>
      <c r="D440" s="681" t="s">
        <v>138</v>
      </c>
      <c r="E440" s="682" t="s">
        <v>303</v>
      </c>
      <c r="F440" s="682"/>
      <c r="G440" s="684" t="e">
        <f>+VLOOKUP([1]Data_Validation!$A405,[1]BV_Data_An_Cour!$L:$Q,6,0)</f>
        <v>#N/A</v>
      </c>
      <c r="H440" s="3"/>
    </row>
    <row r="441" spans="1:8" ht="15" customHeight="1">
      <c r="A441" s="692" t="s">
        <v>2399</v>
      </c>
      <c r="B441" s="680" t="s">
        <v>1205</v>
      </c>
      <c r="C441" s="681" t="s">
        <v>152</v>
      </c>
      <c r="D441" s="681" t="s">
        <v>140</v>
      </c>
      <c r="E441" s="682" t="s">
        <v>303</v>
      </c>
      <c r="F441" s="682"/>
      <c r="G441" s="684" t="str">
        <f>+VLOOKUP([1]Data_Validation!$A406,[1]BV_Data_An_Cour!$L:$Q,6,0)</f>
        <v>7-Dépenses</v>
      </c>
      <c r="H441" s="3"/>
    </row>
    <row r="442" spans="1:8" ht="15" customHeight="1">
      <c r="A442" s="692" t="s">
        <v>2402</v>
      </c>
      <c r="B442" s="690" t="s">
        <v>1234</v>
      </c>
      <c r="C442" s="681" t="s">
        <v>152</v>
      </c>
      <c r="D442" s="681" t="s">
        <v>133</v>
      </c>
      <c r="E442" s="682" t="s">
        <v>303</v>
      </c>
      <c r="F442" s="682"/>
      <c r="G442" s="684" t="str">
        <f>+VLOOKUP([1]Data_Validation!$A407,[1]BV_Data_An_Cour!$L:$Q,6,0)</f>
        <v>7-Dépenses</v>
      </c>
      <c r="H442" s="3"/>
    </row>
    <row r="443" spans="1:8" ht="15" customHeight="1">
      <c r="A443" s="692" t="s">
        <v>3395</v>
      </c>
      <c r="B443" s="690" t="s">
        <v>1235</v>
      </c>
      <c r="C443" s="681" t="s">
        <v>152</v>
      </c>
      <c r="D443" s="681" t="s">
        <v>142</v>
      </c>
      <c r="E443" s="682" t="s">
        <v>303</v>
      </c>
      <c r="F443" s="682"/>
      <c r="G443" s="684" t="str">
        <f>+VLOOKUP([1]Data_Validation!$A408,[1]BV_Data_An_Cour!$L:$Q,6,0)</f>
        <v>7-Dépenses</v>
      </c>
      <c r="H443" s="3"/>
    </row>
    <row r="444" spans="1:8" ht="15" customHeight="1">
      <c r="A444" s="692" t="s">
        <v>2405</v>
      </c>
      <c r="B444" s="680" t="s">
        <v>1211</v>
      </c>
      <c r="C444" s="681" t="s">
        <v>152</v>
      </c>
      <c r="D444" s="681" t="s">
        <v>134</v>
      </c>
      <c r="E444" s="682" t="s">
        <v>303</v>
      </c>
      <c r="F444" s="688"/>
      <c r="G444" s="684" t="str">
        <f>+VLOOKUP([1]Data_Validation!$A409,[1]BV_Data_An_Cour!$L:$Q,6,0)</f>
        <v>7-Dépenses</v>
      </c>
      <c r="H444" s="3"/>
    </row>
    <row r="445" spans="1:8" ht="15" customHeight="1">
      <c r="A445" s="692" t="s">
        <v>2408</v>
      </c>
      <c r="B445" s="690" t="s">
        <v>1213</v>
      </c>
      <c r="C445" s="681" t="s">
        <v>152</v>
      </c>
      <c r="D445" s="681" t="s">
        <v>221</v>
      </c>
      <c r="E445" s="682" t="s">
        <v>303</v>
      </c>
      <c r="F445" s="682"/>
      <c r="G445" s="684" t="str">
        <f>+VLOOKUP([1]Data_Validation!$A410,[1]BV_Data_An_Cour!$L:$Q,6,0)</f>
        <v>7-Dépenses</v>
      </c>
      <c r="H445" s="3"/>
    </row>
    <row r="446" spans="1:8" ht="15" customHeight="1">
      <c r="A446" s="692" t="s">
        <v>2411</v>
      </c>
      <c r="B446" s="690" t="s">
        <v>1391</v>
      </c>
      <c r="C446" s="681" t="s">
        <v>152</v>
      </c>
      <c r="D446" s="681" t="s">
        <v>213</v>
      </c>
      <c r="E446" s="682" t="s">
        <v>303</v>
      </c>
      <c r="F446" s="682"/>
      <c r="G446" s="682" t="str">
        <f>+VLOOKUP([1]Data_Validation!$A411,[1]BV_Data_An_Cour!$L:$Q,6,0)</f>
        <v>7-Dépenses</v>
      </c>
      <c r="H446" s="3"/>
    </row>
    <row r="447" spans="1:8" ht="15" customHeight="1">
      <c r="A447" s="692" t="s">
        <v>2414</v>
      </c>
      <c r="B447" s="680" t="s">
        <v>1237</v>
      </c>
      <c r="C447" s="681" t="s">
        <v>152</v>
      </c>
      <c r="D447" s="681" t="s">
        <v>210</v>
      </c>
      <c r="E447" s="682" t="s">
        <v>303</v>
      </c>
      <c r="F447" s="682"/>
      <c r="G447" s="684" t="e">
        <f>+VLOOKUP([1]Data_Validation!$A412,[1]BV_Data_An_Cour!$L:$Q,6,0)</f>
        <v>#N/A</v>
      </c>
      <c r="H447" s="3"/>
    </row>
    <row r="448" spans="1:8" ht="15" customHeight="1">
      <c r="A448" s="692" t="s">
        <v>2417</v>
      </c>
      <c r="B448" s="690" t="s">
        <v>1238</v>
      </c>
      <c r="C448" s="681" t="s">
        <v>152</v>
      </c>
      <c r="D448" s="681" t="s">
        <v>205</v>
      </c>
      <c r="E448" s="682" t="s">
        <v>303</v>
      </c>
      <c r="F448" s="682"/>
      <c r="G448" s="684" t="str">
        <f>+VLOOKUP([1]Data_Validation!$A413,[1]BV_Data_An_Cour!$L:$Q,6,0)</f>
        <v>7-Dépenses</v>
      </c>
      <c r="H448" s="3"/>
    </row>
    <row r="449" spans="1:8" ht="15" customHeight="1">
      <c r="A449" s="692" t="s">
        <v>2420</v>
      </c>
      <c r="B449" s="690" t="s">
        <v>1239</v>
      </c>
      <c r="C449" s="681" t="s">
        <v>152</v>
      </c>
      <c r="D449" s="681" t="s">
        <v>209</v>
      </c>
      <c r="E449" s="682" t="s">
        <v>303</v>
      </c>
      <c r="F449" s="682"/>
      <c r="G449" s="684" t="str">
        <f>+VLOOKUP([1]Data_Validation!$A414,[1]BV_Data_An_Cour!$L:$Q,6,0)</f>
        <v>7-Dépenses</v>
      </c>
      <c r="H449" s="3"/>
    </row>
    <row r="450" spans="1:8" ht="15" customHeight="1">
      <c r="A450" s="692" t="s">
        <v>2423</v>
      </c>
      <c r="B450" s="680" t="s">
        <v>1240</v>
      </c>
      <c r="C450" s="681" t="s">
        <v>152</v>
      </c>
      <c r="D450" s="681" t="s">
        <v>206</v>
      </c>
      <c r="E450" s="682" t="s">
        <v>303</v>
      </c>
      <c r="F450" s="682"/>
      <c r="G450" s="684" t="str">
        <f>+VLOOKUP([1]Data_Validation!$A415,[1]BV_Data_An_Cour!$L:$Q,6,0)</f>
        <v>7-Dépenses</v>
      </c>
      <c r="H450" s="3"/>
    </row>
    <row r="451" spans="1:8" ht="15" customHeight="1">
      <c r="A451" s="692" t="s">
        <v>2426</v>
      </c>
      <c r="B451" s="690" t="s">
        <v>1241</v>
      </c>
      <c r="C451" s="681" t="s">
        <v>152</v>
      </c>
      <c r="D451" s="681" t="s">
        <v>207</v>
      </c>
      <c r="E451" s="682" t="s">
        <v>303</v>
      </c>
      <c r="F451" s="682"/>
      <c r="G451" s="684" t="str">
        <f>+VLOOKUP([1]Data_Validation!$A416,[1]BV_Data_An_Cour!$L:$Q,6,0)</f>
        <v>7-Dépenses</v>
      </c>
      <c r="H451" s="3"/>
    </row>
    <row r="452" spans="1:8" ht="15" customHeight="1">
      <c r="A452" s="692" t="s">
        <v>2429</v>
      </c>
      <c r="B452" s="680" t="s">
        <v>1242</v>
      </c>
      <c r="C452" s="681" t="s">
        <v>152</v>
      </c>
      <c r="D452" s="681" t="s">
        <v>211</v>
      </c>
      <c r="E452" s="682" t="s">
        <v>303</v>
      </c>
      <c r="F452" s="682"/>
      <c r="G452" s="684" t="str">
        <f>+VLOOKUP([1]Data_Validation!$A417,[1]BV_Data_An_Cour!$L:$Q,6,0)</f>
        <v>7-Dépenses</v>
      </c>
      <c r="H452" s="3"/>
    </row>
    <row r="453" spans="1:8" ht="15" customHeight="1">
      <c r="A453" s="680" t="s">
        <v>3396</v>
      </c>
      <c r="B453" s="680" t="s">
        <v>1394</v>
      </c>
      <c r="C453" s="681" t="s">
        <v>152</v>
      </c>
      <c r="D453" s="681" t="s">
        <v>214</v>
      </c>
      <c r="E453" s="682" t="s">
        <v>303</v>
      </c>
      <c r="F453" s="682"/>
      <c r="G453" s="682" t="str">
        <f>+VLOOKUP([1]Data_Validation!$A418,[1]BV_Data_An_Cour!$L:$Q,6,0)</f>
        <v>7-Dépenses</v>
      </c>
      <c r="H453" s="3"/>
    </row>
    <row r="454" spans="1:8" ht="15" customHeight="1">
      <c r="A454" s="680" t="s">
        <v>3397</v>
      </c>
      <c r="B454" s="680" t="s">
        <v>3317</v>
      </c>
      <c r="C454" s="681" t="s">
        <v>152</v>
      </c>
      <c r="D454" s="681" t="s">
        <v>140</v>
      </c>
      <c r="E454" s="682" t="s">
        <v>303</v>
      </c>
      <c r="F454" s="682"/>
      <c r="G454" s="684" t="str">
        <f>+VLOOKUP([1]Data_Validation!$A419,[1]BV_Data_An_Cour!$L:$Q,6,0)</f>
        <v>1-Mémo</v>
      </c>
      <c r="H454" s="3"/>
    </row>
    <row r="455" spans="1:8" ht="15" customHeight="1">
      <c r="A455" s="692" t="s">
        <v>2432</v>
      </c>
      <c r="B455" s="690" t="s">
        <v>1243</v>
      </c>
      <c r="C455" s="681" t="s">
        <v>161</v>
      </c>
      <c r="D455" s="681" t="s">
        <v>130</v>
      </c>
      <c r="E455" s="682" t="s">
        <v>303</v>
      </c>
      <c r="F455" s="682"/>
      <c r="G455" s="684" t="str">
        <f>+VLOOKUP([1]Data_Validation!$A420,[1]BV_Data_An_Cour!$L:$Q,6,0)</f>
        <v>7-Dépenses</v>
      </c>
      <c r="H455" s="3"/>
    </row>
    <row r="456" spans="1:8" ht="15" customHeight="1">
      <c r="A456" s="680" t="s">
        <v>2435</v>
      </c>
      <c r="B456" s="680" t="s">
        <v>1245</v>
      </c>
      <c r="C456" s="681" t="s">
        <v>161</v>
      </c>
      <c r="D456" s="681" t="s">
        <v>130</v>
      </c>
      <c r="E456" s="682" t="s">
        <v>303</v>
      </c>
      <c r="F456" s="682"/>
      <c r="G456" s="684" t="str">
        <f>+VLOOKUP([1]Data_Validation!$A421,[1]BV_Data_An_Cour!$L:$Q,6,0)</f>
        <v>7-Dépenses</v>
      </c>
      <c r="H456" s="3"/>
    </row>
    <row r="457" spans="1:8" ht="15" customHeight="1">
      <c r="A457" s="692" t="s">
        <v>2438</v>
      </c>
      <c r="B457" s="690" t="s">
        <v>1168</v>
      </c>
      <c r="C457" s="681" t="s">
        <v>161</v>
      </c>
      <c r="D457" s="681" t="s">
        <v>129</v>
      </c>
      <c r="E457" s="682" t="s">
        <v>303</v>
      </c>
      <c r="F457" s="682"/>
      <c r="G457" s="684" t="str">
        <f>+VLOOKUP([1]Data_Validation!$A422,[1]BV_Data_An_Cour!$L:$Q,6,0)</f>
        <v>1-Mémo</v>
      </c>
      <c r="H457" s="3"/>
    </row>
    <row r="458" spans="1:8" ht="15" customHeight="1">
      <c r="A458" s="680" t="s">
        <v>2441</v>
      </c>
      <c r="B458" s="680" t="s">
        <v>1171</v>
      </c>
      <c r="C458" s="681" t="s">
        <v>161</v>
      </c>
      <c r="D458" s="681" t="s">
        <v>204</v>
      </c>
      <c r="E458" s="682" t="s">
        <v>303</v>
      </c>
      <c r="F458" s="682"/>
      <c r="G458" s="684" t="str">
        <f>+VLOOKUP([1]Data_Validation!$A423,[1]BV_Data_An_Cour!$L:$Q,6,0)</f>
        <v>7-Dépenses</v>
      </c>
      <c r="H458" s="3"/>
    </row>
    <row r="459" spans="1:8" ht="15" customHeight="1">
      <c r="A459" s="692" t="s">
        <v>2444</v>
      </c>
      <c r="B459" s="690" t="s">
        <v>1173</v>
      </c>
      <c r="C459" s="681" t="s">
        <v>161</v>
      </c>
      <c r="D459" s="681" t="s">
        <v>120</v>
      </c>
      <c r="E459" s="682" t="s">
        <v>303</v>
      </c>
      <c r="F459" s="682"/>
      <c r="G459" s="684" t="str">
        <f>+VLOOKUP([1]Data_Validation!$A424,[1]BV_Data_An_Cour!$L:$Q,6,0)</f>
        <v>7-Dépenses</v>
      </c>
      <c r="H459" s="3"/>
    </row>
    <row r="460" spans="1:8" ht="15" customHeight="1">
      <c r="A460" s="680" t="s">
        <v>2447</v>
      </c>
      <c r="B460" s="680" t="s">
        <v>1246</v>
      </c>
      <c r="C460" s="681" t="s">
        <v>161</v>
      </c>
      <c r="D460" s="681" t="s">
        <v>121</v>
      </c>
      <c r="E460" s="682" t="s">
        <v>303</v>
      </c>
      <c r="F460" s="682"/>
      <c r="G460" s="684" t="str">
        <f>+VLOOKUP([1]Data_Validation!$A425,[1]BV_Data_An_Cour!$L:$Q,6,0)</f>
        <v>7-Dépenses</v>
      </c>
      <c r="H460" s="3"/>
    </row>
    <row r="461" spans="1:8" ht="15" customHeight="1">
      <c r="A461" s="692" t="s">
        <v>2450</v>
      </c>
      <c r="B461" s="690" t="s">
        <v>1177</v>
      </c>
      <c r="C461" s="681" t="s">
        <v>161</v>
      </c>
      <c r="D461" s="681" t="s">
        <v>122</v>
      </c>
      <c r="E461" s="682" t="s">
        <v>303</v>
      </c>
      <c r="F461" s="682"/>
      <c r="G461" s="684" t="str">
        <f>+VLOOKUP([1]Data_Validation!$A426,[1]BV_Data_An_Cour!$L:$Q,6,0)</f>
        <v>7-Dépenses</v>
      </c>
      <c r="H461" s="3"/>
    </row>
    <row r="462" spans="1:8" ht="15" customHeight="1">
      <c r="A462" s="680" t="s">
        <v>2453</v>
      </c>
      <c r="B462" s="680" t="s">
        <v>1247</v>
      </c>
      <c r="C462" s="681" t="s">
        <v>161</v>
      </c>
      <c r="D462" s="681" t="s">
        <v>123</v>
      </c>
      <c r="E462" s="682" t="s">
        <v>303</v>
      </c>
      <c r="F462" s="682"/>
      <c r="G462" s="684" t="str">
        <f>+VLOOKUP([1]Data_Validation!$A427,[1]BV_Data_An_Cour!$L:$Q,6,0)</f>
        <v>7-Dépenses</v>
      </c>
      <c r="H462" s="3"/>
    </row>
    <row r="463" spans="1:8" ht="15" customHeight="1">
      <c r="A463" s="692" t="s">
        <v>2456</v>
      </c>
      <c r="B463" s="690" t="s">
        <v>1249</v>
      </c>
      <c r="C463" s="681" t="s">
        <v>161</v>
      </c>
      <c r="D463" s="681" t="s">
        <v>124</v>
      </c>
      <c r="E463" s="682" t="s">
        <v>303</v>
      </c>
      <c r="F463" s="682"/>
      <c r="G463" s="684" t="str">
        <f>+VLOOKUP([1]Data_Validation!$A428,[1]BV_Data_An_Cour!$L:$Q,6,0)</f>
        <v>7-Dépenses</v>
      </c>
      <c r="H463" s="3"/>
    </row>
    <row r="464" spans="1:8" ht="15" customHeight="1">
      <c r="A464" s="680" t="s">
        <v>2459</v>
      </c>
      <c r="B464" s="680" t="s">
        <v>1181</v>
      </c>
      <c r="C464" s="681" t="s">
        <v>161</v>
      </c>
      <c r="D464" s="681" t="s">
        <v>127</v>
      </c>
      <c r="E464" s="682" t="s">
        <v>303</v>
      </c>
      <c r="F464" s="682"/>
      <c r="G464" s="684" t="str">
        <f>+VLOOKUP([1]Data_Validation!$A429,[1]BV_Data_An_Cour!$L:$Q,6,0)</f>
        <v>7-Dépenses</v>
      </c>
      <c r="H464" s="3"/>
    </row>
    <row r="465" spans="1:8" ht="15" customHeight="1">
      <c r="A465" s="692" t="s">
        <v>2462</v>
      </c>
      <c r="B465" s="690" t="s">
        <v>1183</v>
      </c>
      <c r="C465" s="681" t="s">
        <v>161</v>
      </c>
      <c r="D465" s="681" t="s">
        <v>125</v>
      </c>
      <c r="E465" s="682" t="s">
        <v>303</v>
      </c>
      <c r="F465" s="682"/>
      <c r="G465" s="684" t="str">
        <f>+VLOOKUP([1]Data_Validation!$A430,[1]BV_Data_An_Cour!$L:$Q,6,0)</f>
        <v>7-Dépenses</v>
      </c>
      <c r="H465" s="3"/>
    </row>
    <row r="466" spans="1:8" ht="15" customHeight="1">
      <c r="A466" s="680" t="s">
        <v>2465</v>
      </c>
      <c r="B466" s="680" t="s">
        <v>1250</v>
      </c>
      <c r="C466" s="681" t="s">
        <v>161</v>
      </c>
      <c r="D466" s="681" t="s">
        <v>126</v>
      </c>
      <c r="E466" s="682" t="s">
        <v>303</v>
      </c>
      <c r="F466" s="682"/>
      <c r="G466" s="684" t="str">
        <f>+VLOOKUP([1]Data_Validation!$A431,[1]BV_Data_An_Cour!$L:$Q,6,0)</f>
        <v>7-Dépenses</v>
      </c>
      <c r="H466" s="3"/>
    </row>
    <row r="467" spans="1:8" ht="15" customHeight="1">
      <c r="A467" s="692" t="s">
        <v>2468</v>
      </c>
      <c r="B467" s="690" t="s">
        <v>1233</v>
      </c>
      <c r="C467" s="681" t="s">
        <v>161</v>
      </c>
      <c r="D467" s="681" t="s">
        <v>126</v>
      </c>
      <c r="E467" s="682" t="s">
        <v>303</v>
      </c>
      <c r="F467" s="682"/>
      <c r="G467" s="684" t="str">
        <f>+VLOOKUP([1]Data_Validation!$A432,[1]BV_Data_An_Cour!$L:$Q,6,0)</f>
        <v>1-Mémo</v>
      </c>
      <c r="H467" s="3"/>
    </row>
    <row r="468" spans="1:8" ht="15" customHeight="1">
      <c r="A468" s="680" t="s">
        <v>2471</v>
      </c>
      <c r="B468" s="680" t="s">
        <v>806</v>
      </c>
      <c r="C468" s="681"/>
      <c r="D468" s="681"/>
      <c r="E468" s="682" t="s">
        <v>303</v>
      </c>
      <c r="F468" s="682"/>
      <c r="G468" s="684" t="str">
        <f>+VLOOKUP([1]Data_Validation!$A84,[1]BV_Data_An_Cour!$L:$Q,6,0)</f>
        <v>2-Actifs</v>
      </c>
      <c r="H468" s="3"/>
    </row>
    <row r="469" spans="1:8" ht="15" customHeight="1">
      <c r="A469" s="692" t="s">
        <v>2474</v>
      </c>
      <c r="B469" s="690" t="s">
        <v>1251</v>
      </c>
      <c r="C469" s="681" t="s">
        <v>161</v>
      </c>
      <c r="D469" s="681" t="s">
        <v>130</v>
      </c>
      <c r="E469" s="682" t="s">
        <v>303</v>
      </c>
      <c r="F469" s="682"/>
      <c r="G469" s="684" t="str">
        <f>+VLOOKUP([1]Data_Validation!$A433,[1]BV_Data_An_Cour!$L:$Q,6,0)</f>
        <v>7-Dépenses</v>
      </c>
      <c r="H469" s="3"/>
    </row>
    <row r="470" spans="1:8" ht="15" customHeight="1">
      <c r="A470" s="692" t="s">
        <v>2477</v>
      </c>
      <c r="B470" s="690" t="s">
        <v>1189</v>
      </c>
      <c r="C470" s="681" t="s">
        <v>161</v>
      </c>
      <c r="D470" s="681" t="s">
        <v>135</v>
      </c>
      <c r="E470" s="682" t="s">
        <v>303</v>
      </c>
      <c r="F470" s="682"/>
      <c r="G470" s="684" t="e">
        <f>+VLOOKUP([1]Data_Validation!$A434,[1]BV_Data_An_Cour!$L:$Q,6,0)</f>
        <v>#N/A</v>
      </c>
      <c r="H470" s="3"/>
    </row>
    <row r="471" spans="1:8" ht="15" customHeight="1">
      <c r="A471" s="680" t="s">
        <v>2480</v>
      </c>
      <c r="B471" s="680" t="s">
        <v>1191</v>
      </c>
      <c r="C471" s="681" t="s">
        <v>161</v>
      </c>
      <c r="D471" s="681" t="s">
        <v>136</v>
      </c>
      <c r="E471" s="682" t="s">
        <v>303</v>
      </c>
      <c r="F471" s="682"/>
      <c r="G471" s="684" t="str">
        <f>+VLOOKUP([1]Data_Validation!$A435,[1]BV_Data_An_Cour!$L:$Q,6,0)</f>
        <v>7-Dépenses</v>
      </c>
      <c r="H471" s="3"/>
    </row>
    <row r="472" spans="1:8" ht="15" customHeight="1">
      <c r="A472" s="692" t="s">
        <v>2483</v>
      </c>
      <c r="B472" s="690" t="s">
        <v>1193</v>
      </c>
      <c r="C472" s="681" t="s">
        <v>161</v>
      </c>
      <c r="D472" s="681" t="s">
        <v>141</v>
      </c>
      <c r="E472" s="682" t="s">
        <v>303</v>
      </c>
      <c r="F472" s="682"/>
      <c r="G472" s="684" t="str">
        <f>+VLOOKUP([1]Data_Validation!$A436,[1]BV_Data_An_Cour!$L:$Q,6,0)</f>
        <v>7-Dépenses</v>
      </c>
      <c r="H472" s="3"/>
    </row>
    <row r="473" spans="1:8" ht="15" customHeight="1">
      <c r="A473" s="680" t="s">
        <v>2486</v>
      </c>
      <c r="B473" s="680" t="s">
        <v>1252</v>
      </c>
      <c r="C473" s="681" t="s">
        <v>161</v>
      </c>
      <c r="D473" s="681" t="s">
        <v>131</v>
      </c>
      <c r="E473" s="682" t="s">
        <v>303</v>
      </c>
      <c r="F473" s="682"/>
      <c r="G473" s="684" t="str">
        <f>+VLOOKUP([1]Data_Validation!$A437,[1]BV_Data_An_Cour!$L:$Q,6,0)</f>
        <v>7-Dépenses</v>
      </c>
      <c r="H473" s="3"/>
    </row>
    <row r="474" spans="1:8" ht="15" customHeight="1">
      <c r="A474" s="692" t="s">
        <v>2489</v>
      </c>
      <c r="B474" s="690" t="s">
        <v>1197</v>
      </c>
      <c r="C474" s="681" t="s">
        <v>161</v>
      </c>
      <c r="D474" s="681" t="s">
        <v>139</v>
      </c>
      <c r="E474" s="682" t="s">
        <v>303</v>
      </c>
      <c r="F474" s="682"/>
      <c r="G474" s="684" t="str">
        <f>+VLOOKUP([1]Data_Validation!$A438,[1]BV_Data_An_Cour!$L:$Q,6,0)</f>
        <v>7-Dépenses</v>
      </c>
      <c r="H474" s="3"/>
    </row>
    <row r="475" spans="1:8" ht="15" customHeight="1">
      <c r="A475" s="680" t="s">
        <v>2492</v>
      </c>
      <c r="B475" s="680" t="s">
        <v>1199</v>
      </c>
      <c r="C475" s="681" t="s">
        <v>161</v>
      </c>
      <c r="D475" s="681" t="s">
        <v>132</v>
      </c>
      <c r="E475" s="682" t="s">
        <v>303</v>
      </c>
      <c r="F475" s="682"/>
      <c r="G475" s="684" t="str">
        <f>+VLOOKUP([1]Data_Validation!$A439,[1]BV_Data_An_Cour!$L:$Q,6,0)</f>
        <v>7-Dépenses</v>
      </c>
      <c r="H475" s="3"/>
    </row>
    <row r="476" spans="1:8" ht="15" customHeight="1">
      <c r="A476" s="692" t="s">
        <v>2495</v>
      </c>
      <c r="B476" s="690" t="s">
        <v>1201</v>
      </c>
      <c r="C476" s="681" t="s">
        <v>161</v>
      </c>
      <c r="D476" s="681" t="s">
        <v>137</v>
      </c>
      <c r="E476" s="682" t="s">
        <v>303</v>
      </c>
      <c r="F476" s="682"/>
      <c r="G476" s="684" t="str">
        <f>+VLOOKUP([1]Data_Validation!$A440,[1]BV_Data_An_Cour!$L:$Q,6,0)</f>
        <v>7-Dépenses</v>
      </c>
      <c r="H476" s="3"/>
    </row>
    <row r="477" spans="1:8" ht="15" customHeight="1">
      <c r="A477" s="680" t="s">
        <v>2498</v>
      </c>
      <c r="B477" s="680" t="s">
        <v>1203</v>
      </c>
      <c r="C477" s="681" t="s">
        <v>161</v>
      </c>
      <c r="D477" s="681" t="s">
        <v>138</v>
      </c>
      <c r="E477" s="682" t="s">
        <v>303</v>
      </c>
      <c r="F477" s="682"/>
      <c r="G477" s="684" t="str">
        <f>+VLOOKUP([1]Data_Validation!$A441,[1]BV_Data_An_Cour!$L:$Q,6,0)</f>
        <v>7-Dépenses</v>
      </c>
      <c r="H477" s="3"/>
    </row>
    <row r="478" spans="1:8" ht="15" customHeight="1">
      <c r="A478" s="692" t="s">
        <v>2501</v>
      </c>
      <c r="B478" s="690" t="s">
        <v>1205</v>
      </c>
      <c r="C478" s="681" t="s">
        <v>161</v>
      </c>
      <c r="D478" s="681" t="s">
        <v>140</v>
      </c>
      <c r="E478" s="682" t="s">
        <v>303</v>
      </c>
      <c r="F478" s="682"/>
      <c r="G478" s="684" t="str">
        <f>+VLOOKUP([1]Data_Validation!$A442,[1]BV_Data_An_Cour!$L:$Q,6,0)</f>
        <v>7-Dépenses</v>
      </c>
      <c r="H478" s="3"/>
    </row>
    <row r="479" spans="1:8" ht="15" customHeight="1">
      <c r="A479" s="692" t="s">
        <v>2504</v>
      </c>
      <c r="B479" s="690" t="s">
        <v>1253</v>
      </c>
      <c r="C479" s="681" t="s">
        <v>161</v>
      </c>
      <c r="D479" s="681" t="s">
        <v>133</v>
      </c>
      <c r="E479" s="682" t="s">
        <v>303</v>
      </c>
      <c r="F479" s="682"/>
      <c r="G479" s="684" t="str">
        <f>+VLOOKUP([1]Data_Validation!$A443,[1]BV_Data_An_Cour!$L:$Q,6,0)</f>
        <v>7-Dépenses</v>
      </c>
      <c r="H479" s="3"/>
    </row>
    <row r="480" spans="1:8" ht="15" customHeight="1">
      <c r="A480" s="692" t="s">
        <v>3398</v>
      </c>
      <c r="B480" s="690" t="s">
        <v>1254</v>
      </c>
      <c r="C480" s="681" t="s">
        <v>161</v>
      </c>
      <c r="D480" s="681" t="s">
        <v>142</v>
      </c>
      <c r="E480" s="682" t="s">
        <v>303</v>
      </c>
      <c r="F480" s="682"/>
      <c r="G480" s="684" t="str">
        <f>+VLOOKUP([1]Data_Validation!$A444,[1]BV_Data_An_Cour!$L:$Q,6,0)</f>
        <v>7-Dépenses</v>
      </c>
      <c r="H480" s="3"/>
    </row>
    <row r="481" spans="1:8" ht="15" customHeight="1">
      <c r="A481" s="680" t="s">
        <v>2507</v>
      </c>
      <c r="B481" s="680" t="s">
        <v>1211</v>
      </c>
      <c r="C481" s="681" t="s">
        <v>161</v>
      </c>
      <c r="D481" s="681" t="s">
        <v>134</v>
      </c>
      <c r="E481" s="682" t="s">
        <v>303</v>
      </c>
      <c r="F481" s="682"/>
      <c r="G481" s="684" t="str">
        <f>+VLOOKUP([1]Data_Validation!$A445,[1]BV_Data_An_Cour!$L:$Q,6,0)</f>
        <v>7-Dépenses</v>
      </c>
      <c r="H481" s="3"/>
    </row>
    <row r="482" spans="1:8" ht="15" customHeight="1">
      <c r="A482" s="692" t="s">
        <v>2510</v>
      </c>
      <c r="B482" s="690" t="s">
        <v>1213</v>
      </c>
      <c r="C482" s="681" t="s">
        <v>161</v>
      </c>
      <c r="D482" s="681" t="s">
        <v>221</v>
      </c>
      <c r="E482" s="682" t="s">
        <v>303</v>
      </c>
      <c r="F482" s="682"/>
      <c r="G482" s="684" t="e">
        <f>+VLOOKUP([1]Data_Validation!$A446,[1]BV_Data_An_Cour!$L:$Q,6,0)</f>
        <v>#N/A</v>
      </c>
      <c r="H482" s="3"/>
    </row>
    <row r="483" spans="1:8" ht="15" customHeight="1">
      <c r="A483" s="680" t="s">
        <v>2513</v>
      </c>
      <c r="B483" s="680" t="s">
        <v>1391</v>
      </c>
      <c r="C483" s="681" t="s">
        <v>161</v>
      </c>
      <c r="D483" s="681" t="s">
        <v>213</v>
      </c>
      <c r="E483" s="682" t="s">
        <v>303</v>
      </c>
      <c r="F483" s="682"/>
      <c r="G483" s="682" t="str">
        <f>+VLOOKUP([1]Data_Validation!$A447,[1]BV_Data_An_Cour!$L:$Q,6,0)</f>
        <v>7-Dépenses</v>
      </c>
      <c r="H483" s="3"/>
    </row>
    <row r="484" spans="1:8" ht="15" customHeight="1">
      <c r="A484" s="692" t="s">
        <v>2516</v>
      </c>
      <c r="B484" s="690" t="s">
        <v>1256</v>
      </c>
      <c r="C484" s="681" t="s">
        <v>161</v>
      </c>
      <c r="D484" s="681" t="s">
        <v>212</v>
      </c>
      <c r="E484" s="682" t="s">
        <v>303</v>
      </c>
      <c r="F484" s="682"/>
      <c r="G484" s="684" t="str">
        <f>+VLOOKUP([1]Data_Validation!$A448,[1]BV_Data_An_Cour!$L:$Q,6,0)</f>
        <v>7-Dépenses</v>
      </c>
      <c r="H484" s="3"/>
    </row>
    <row r="485" spans="1:8" ht="15" customHeight="1">
      <c r="A485" s="692" t="s">
        <v>2519</v>
      </c>
      <c r="B485" s="690" t="s">
        <v>1258</v>
      </c>
      <c r="C485" s="681" t="s">
        <v>161</v>
      </c>
      <c r="D485" s="681" t="s">
        <v>210</v>
      </c>
      <c r="E485" s="682" t="s">
        <v>303</v>
      </c>
      <c r="F485" s="682"/>
      <c r="G485" s="684" t="str">
        <f>+VLOOKUP([1]Data_Validation!$A449,[1]BV_Data_An_Cour!$L:$Q,6,0)</f>
        <v>7-Dépenses</v>
      </c>
      <c r="H485" s="3"/>
    </row>
    <row r="486" spans="1:8" ht="15" customHeight="1">
      <c r="A486" s="692" t="s">
        <v>2522</v>
      </c>
      <c r="B486" s="690" t="s">
        <v>1259</v>
      </c>
      <c r="C486" s="681" t="s">
        <v>161</v>
      </c>
      <c r="D486" s="681" t="s">
        <v>205</v>
      </c>
      <c r="E486" s="682" t="s">
        <v>303</v>
      </c>
      <c r="F486" s="682"/>
      <c r="G486" s="684" t="str">
        <f>+VLOOKUP([1]Data_Validation!$A450,[1]BV_Data_An_Cour!$L:$Q,6,0)</f>
        <v>7-Dépenses</v>
      </c>
      <c r="H486" s="3"/>
    </row>
    <row r="487" spans="1:8" ht="15" customHeight="1">
      <c r="A487" s="680" t="s">
        <v>2525</v>
      </c>
      <c r="B487" s="680" t="s">
        <v>1260</v>
      </c>
      <c r="C487" s="681" t="s">
        <v>161</v>
      </c>
      <c r="D487" s="681" t="s">
        <v>209</v>
      </c>
      <c r="E487" s="682" t="s">
        <v>303</v>
      </c>
      <c r="F487" s="682"/>
      <c r="G487" s="684" t="str">
        <f>+VLOOKUP([1]Data_Validation!$A451,[1]BV_Data_An_Cour!$L:$Q,6,0)</f>
        <v>7-Dépenses</v>
      </c>
      <c r="H487" s="3"/>
    </row>
    <row r="488" spans="1:8" ht="15" customHeight="1">
      <c r="A488" s="692" t="s">
        <v>2528</v>
      </c>
      <c r="B488" s="690" t="s">
        <v>1261</v>
      </c>
      <c r="C488" s="681" t="s">
        <v>161</v>
      </c>
      <c r="D488" s="681" t="s">
        <v>206</v>
      </c>
      <c r="E488" s="682" t="s">
        <v>303</v>
      </c>
      <c r="F488" s="682"/>
      <c r="G488" s="684" t="str">
        <f>+VLOOKUP([1]Data_Validation!$A452,[1]BV_Data_An_Cour!$L:$Q,6,0)</f>
        <v>7-Dépenses</v>
      </c>
      <c r="H488" s="3"/>
    </row>
    <row r="489" spans="1:8" ht="15" customHeight="1">
      <c r="A489" s="692" t="s">
        <v>2531</v>
      </c>
      <c r="B489" s="690" t="s">
        <v>1262</v>
      </c>
      <c r="C489" s="681" t="s">
        <v>161</v>
      </c>
      <c r="D489" s="681" t="s">
        <v>207</v>
      </c>
      <c r="E489" s="682" t="s">
        <v>303</v>
      </c>
      <c r="F489" s="682"/>
      <c r="G489" s="684" t="e">
        <f>+VLOOKUP([1]Data_Validation!$A453,[1]BV_Data_An_Cour!$L:$Q,6,0)</f>
        <v>#N/A</v>
      </c>
      <c r="H489" s="3"/>
    </row>
    <row r="490" spans="1:8" ht="15" customHeight="1">
      <c r="A490" s="692" t="s">
        <v>2534</v>
      </c>
      <c r="B490" s="690" t="s">
        <v>1263</v>
      </c>
      <c r="C490" s="681" t="s">
        <v>161</v>
      </c>
      <c r="D490" s="681" t="s">
        <v>211</v>
      </c>
      <c r="E490" s="682" t="s">
        <v>303</v>
      </c>
      <c r="F490" s="682"/>
      <c r="G490" s="684" t="e">
        <f>+VLOOKUP([1]Data_Validation!$A454,[1]BV_Data_An_Cour!$L:$Q,6,0)</f>
        <v>#N/A</v>
      </c>
      <c r="H490" s="3"/>
    </row>
    <row r="491" spans="1:8" ht="15" customHeight="1">
      <c r="A491" s="680" t="s">
        <v>3399</v>
      </c>
      <c r="B491" s="680" t="s">
        <v>1395</v>
      </c>
      <c r="C491" s="681" t="s">
        <v>161</v>
      </c>
      <c r="D491" s="681" t="s">
        <v>214</v>
      </c>
      <c r="E491" s="682" t="s">
        <v>303</v>
      </c>
      <c r="F491" s="682"/>
      <c r="G491" s="682" t="str">
        <f>+VLOOKUP([1]Data_Validation!$A455,[1]BV_Data_An_Cour!$L:$Q,6,0)</f>
        <v>7-Dépenses</v>
      </c>
      <c r="H491" s="3"/>
    </row>
    <row r="492" spans="1:8" ht="15" customHeight="1">
      <c r="A492" s="698" t="s">
        <v>3400</v>
      </c>
      <c r="B492" s="698" t="s">
        <v>1264</v>
      </c>
      <c r="C492" s="681" t="s">
        <v>161</v>
      </c>
      <c r="D492" s="681" t="s">
        <v>140</v>
      </c>
      <c r="E492" s="682" t="s">
        <v>303</v>
      </c>
      <c r="F492" s="682"/>
      <c r="G492" s="684" t="str">
        <f>+VLOOKUP([1]Data_Validation!$A456,[1]BV_Data_An_Cour!$L:$Q,6,0)</f>
        <v>7-Dépenses</v>
      </c>
      <c r="H492" s="3"/>
    </row>
    <row r="493" spans="1:8" ht="15" customHeight="1">
      <c r="A493" s="680" t="s">
        <v>2537</v>
      </c>
      <c r="B493" s="680" t="s">
        <v>1160</v>
      </c>
      <c r="C493" s="681" t="s">
        <v>176</v>
      </c>
      <c r="D493" s="681" t="s">
        <v>130</v>
      </c>
      <c r="E493" s="682" t="s">
        <v>303</v>
      </c>
      <c r="F493" s="682"/>
      <c r="G493" s="684" t="str">
        <f>+VLOOKUP([1]Data_Validation!$A457,[1]BV_Data_An_Cour!$L:$Q,6,0)</f>
        <v>7-Dépenses</v>
      </c>
      <c r="H493" s="3"/>
    </row>
    <row r="494" spans="1:8" ht="15" customHeight="1">
      <c r="A494" s="692" t="s">
        <v>2540</v>
      </c>
      <c r="B494" s="690" t="s">
        <v>807</v>
      </c>
      <c r="C494" s="681"/>
      <c r="D494" s="681"/>
      <c r="E494" s="682" t="s">
        <v>303</v>
      </c>
      <c r="F494" s="682"/>
      <c r="G494" s="684" t="str">
        <f>+VLOOKUP([1]Data_Validation!$A85,[1]BV_Data_An_Cour!$L:$Q,6,0)</f>
        <v>2-Actifs</v>
      </c>
      <c r="H494" s="3"/>
    </row>
    <row r="495" spans="1:8" ht="15" customHeight="1">
      <c r="A495" s="692" t="s">
        <v>2543</v>
      </c>
      <c r="B495" s="690" t="s">
        <v>1168</v>
      </c>
      <c r="C495" s="681" t="s">
        <v>176</v>
      </c>
      <c r="D495" s="681" t="s">
        <v>129</v>
      </c>
      <c r="E495" s="682" t="s">
        <v>303</v>
      </c>
      <c r="F495" s="682"/>
      <c r="G495" s="684" t="str">
        <f>+VLOOKUP([1]Data_Validation!$A458,[1]BV_Data_An_Cour!$L:$Q,6,0)</f>
        <v>7-Dépenses</v>
      </c>
      <c r="H495" s="3"/>
    </row>
    <row r="496" spans="1:8" ht="15" customHeight="1">
      <c r="A496" s="692" t="s">
        <v>2546</v>
      </c>
      <c r="B496" s="680" t="s">
        <v>808</v>
      </c>
      <c r="C496" s="681"/>
      <c r="D496" s="681"/>
      <c r="E496" s="682" t="s">
        <v>303</v>
      </c>
      <c r="F496" s="682"/>
      <c r="G496" s="684" t="str">
        <f>+VLOOKUP([1]Data_Validation!$A86,[1]BV_Data_An_Cour!$L:$Q,6,0)</f>
        <v>2-Actifs</v>
      </c>
      <c r="H496" s="3"/>
    </row>
    <row r="497" spans="1:8" ht="15" customHeight="1">
      <c r="A497" s="692" t="s">
        <v>2549</v>
      </c>
      <c r="B497" s="690" t="s">
        <v>1171</v>
      </c>
      <c r="C497" s="681" t="s">
        <v>176</v>
      </c>
      <c r="D497" s="681" t="s">
        <v>204</v>
      </c>
      <c r="E497" s="682" t="s">
        <v>303</v>
      </c>
      <c r="F497" s="682"/>
      <c r="G497" s="684" t="str">
        <f>+VLOOKUP([1]Data_Validation!$A459,[1]BV_Data_An_Cour!$L:$Q,6,0)</f>
        <v>7-Dépenses</v>
      </c>
      <c r="H497" s="3"/>
    </row>
    <row r="498" spans="1:8" ht="15" customHeight="1">
      <c r="A498" s="692" t="s">
        <v>2552</v>
      </c>
      <c r="B498" s="690" t="s">
        <v>1173</v>
      </c>
      <c r="C498" s="681" t="s">
        <v>176</v>
      </c>
      <c r="D498" s="681" t="s">
        <v>120</v>
      </c>
      <c r="E498" s="682" t="s">
        <v>303</v>
      </c>
      <c r="F498" s="682"/>
      <c r="G498" s="684" t="str">
        <f>+VLOOKUP([1]Data_Validation!$A460,[1]BV_Data_An_Cour!$L:$Q,6,0)</f>
        <v>7-Dépenses</v>
      </c>
      <c r="H498" s="3"/>
    </row>
    <row r="499" spans="1:8" ht="15" customHeight="1">
      <c r="A499" s="692" t="s">
        <v>2555</v>
      </c>
      <c r="B499" s="690" t="s">
        <v>1246</v>
      </c>
      <c r="C499" s="681" t="s">
        <v>176</v>
      </c>
      <c r="D499" s="681" t="s">
        <v>121</v>
      </c>
      <c r="E499" s="682" t="s">
        <v>303</v>
      </c>
      <c r="F499" s="682"/>
      <c r="G499" s="684" t="str">
        <f>+VLOOKUP([1]Data_Validation!$A461,[1]BV_Data_An_Cour!$L:$Q,6,0)</f>
        <v>7-Dépenses</v>
      </c>
      <c r="H499" s="3"/>
    </row>
    <row r="500" spans="1:8" ht="15" customHeight="1">
      <c r="A500" s="692" t="s">
        <v>2558</v>
      </c>
      <c r="B500" s="690" t="s">
        <v>1177</v>
      </c>
      <c r="C500" s="681" t="s">
        <v>176</v>
      </c>
      <c r="D500" s="681" t="s">
        <v>122</v>
      </c>
      <c r="E500" s="682" t="s">
        <v>303</v>
      </c>
      <c r="F500" s="682"/>
      <c r="G500" s="684" t="str">
        <f>+VLOOKUP([1]Data_Validation!$A462,[1]BV_Data_An_Cour!$L:$Q,6,0)</f>
        <v>7-Dépenses</v>
      </c>
      <c r="H500" s="3"/>
    </row>
    <row r="501" spans="1:8" ht="15" customHeight="1">
      <c r="A501" s="692" t="s">
        <v>2561</v>
      </c>
      <c r="B501" s="690" t="s">
        <v>1247</v>
      </c>
      <c r="C501" s="681" t="s">
        <v>176</v>
      </c>
      <c r="D501" s="681" t="s">
        <v>123</v>
      </c>
      <c r="E501" s="682" t="s">
        <v>303</v>
      </c>
      <c r="F501" s="682"/>
      <c r="G501" s="684" t="str">
        <f>+VLOOKUP([1]Data_Validation!$A463,[1]BV_Data_An_Cour!$L:$Q,6,0)</f>
        <v>7-Dépenses</v>
      </c>
      <c r="H501" s="3"/>
    </row>
    <row r="502" spans="1:8" ht="15" customHeight="1">
      <c r="A502" s="692" t="s">
        <v>2564</v>
      </c>
      <c r="B502" s="680" t="s">
        <v>1231</v>
      </c>
      <c r="C502" s="681" t="s">
        <v>176</v>
      </c>
      <c r="D502" s="681" t="s">
        <v>124</v>
      </c>
      <c r="E502" s="682" t="s">
        <v>303</v>
      </c>
      <c r="F502" s="682"/>
      <c r="G502" s="684" t="str">
        <f>+VLOOKUP([1]Data_Validation!$A464,[1]BV_Data_An_Cour!$L:$Q,6,0)</f>
        <v>7-Dépenses</v>
      </c>
      <c r="H502" s="3"/>
    </row>
    <row r="503" spans="1:8" ht="15" customHeight="1">
      <c r="A503" s="692" t="s">
        <v>2567</v>
      </c>
      <c r="B503" s="690" t="s">
        <v>1181</v>
      </c>
      <c r="C503" s="681" t="s">
        <v>176</v>
      </c>
      <c r="D503" s="681" t="s">
        <v>127</v>
      </c>
      <c r="E503" s="682" t="s">
        <v>303</v>
      </c>
      <c r="F503" s="682"/>
      <c r="G503" s="684" t="str">
        <f>+VLOOKUP([1]Data_Validation!$A465,[1]BV_Data_An_Cour!$L:$Q,6,0)</f>
        <v>7-Dépenses</v>
      </c>
      <c r="H503" s="3"/>
    </row>
    <row r="504" spans="1:8" ht="15" customHeight="1">
      <c r="A504" s="692" t="s">
        <v>2570</v>
      </c>
      <c r="B504" s="690" t="s">
        <v>1183</v>
      </c>
      <c r="C504" s="681" t="s">
        <v>176</v>
      </c>
      <c r="D504" s="681" t="s">
        <v>125</v>
      </c>
      <c r="E504" s="682" t="s">
        <v>303</v>
      </c>
      <c r="F504" s="682"/>
      <c r="G504" s="684" t="str">
        <f>+VLOOKUP([1]Data_Validation!$A466,[1]BV_Data_An_Cour!$L:$Q,6,0)</f>
        <v>7-Dépenses</v>
      </c>
      <c r="H504" s="3"/>
    </row>
    <row r="505" spans="1:8" ht="15" customHeight="1">
      <c r="A505" s="692" t="s">
        <v>3401</v>
      </c>
      <c r="B505" s="690" t="s">
        <v>1396</v>
      </c>
      <c r="C505" s="681" t="s">
        <v>176</v>
      </c>
      <c r="D505" s="681" t="s">
        <v>126</v>
      </c>
      <c r="E505" s="682" t="s">
        <v>303</v>
      </c>
      <c r="F505" s="682"/>
      <c r="G505" s="684" t="str">
        <f>+VLOOKUP([1]Data_Validation!$A467,[1]BV_Data_An_Cour!$L:$Q,6,0)</f>
        <v>7-Dépenses</v>
      </c>
      <c r="H505" s="3"/>
    </row>
    <row r="506" spans="1:8" ht="15" customHeight="1">
      <c r="A506" s="692" t="s">
        <v>2573</v>
      </c>
      <c r="B506" s="690" t="s">
        <v>1233</v>
      </c>
      <c r="C506" s="681" t="s">
        <v>176</v>
      </c>
      <c r="D506" s="681" t="s">
        <v>126</v>
      </c>
      <c r="E506" s="682" t="s">
        <v>303</v>
      </c>
      <c r="F506" s="682"/>
      <c r="G506" s="684" t="str">
        <f>+VLOOKUP([1]Data_Validation!$A468,[1]BV_Data_An_Cour!$L:$Q,6,0)</f>
        <v>1-Mémo</v>
      </c>
      <c r="H506" s="3"/>
    </row>
    <row r="507" spans="1:8" ht="15" customHeight="1">
      <c r="A507" s="692" t="s">
        <v>2576</v>
      </c>
      <c r="B507" s="690" t="s">
        <v>809</v>
      </c>
      <c r="C507" s="681"/>
      <c r="D507" s="681"/>
      <c r="E507" s="682" t="s">
        <v>303</v>
      </c>
      <c r="F507" s="682"/>
      <c r="G507" s="684" t="e">
        <f>+VLOOKUP([1]Data_Validation!$A87,[1]BV_Data_An_Cour!$L:$Q,6,0)</f>
        <v>#N/A</v>
      </c>
      <c r="H507" s="3"/>
    </row>
    <row r="508" spans="1:8" ht="15" customHeight="1">
      <c r="A508" s="692" t="s">
        <v>3690</v>
      </c>
      <c r="B508" s="690" t="s">
        <v>1251</v>
      </c>
      <c r="C508" s="681" t="s">
        <v>161</v>
      </c>
      <c r="D508" s="681" t="s">
        <v>130</v>
      </c>
      <c r="E508" s="682" t="s">
        <v>303</v>
      </c>
      <c r="F508" s="682"/>
      <c r="G508" s="684" t="str">
        <f>+VLOOKUP([1]Data_Validation!$A472,[1]BV_Data_An_Cour!$L:$Q,6,0)</f>
        <v>7-Dépenses</v>
      </c>
      <c r="H508" s="3"/>
    </row>
    <row r="509" spans="1:8" ht="15" customHeight="1">
      <c r="A509" s="692" t="s">
        <v>2579</v>
      </c>
      <c r="B509" s="690" t="s">
        <v>1189</v>
      </c>
      <c r="C509" s="681" t="s">
        <v>176</v>
      </c>
      <c r="D509" s="681" t="s">
        <v>135</v>
      </c>
      <c r="E509" s="682" t="s">
        <v>303</v>
      </c>
      <c r="F509" s="682"/>
      <c r="G509" s="684" t="str">
        <f>+VLOOKUP([1]Data_Validation!$A469,[1]BV_Data_An_Cour!$L:$Q,6,0)</f>
        <v>7-Dépenses</v>
      </c>
      <c r="H509" s="3"/>
    </row>
    <row r="510" spans="1:8" ht="15" customHeight="1">
      <c r="A510" s="692" t="s">
        <v>2582</v>
      </c>
      <c r="B510" s="680" t="s">
        <v>1397</v>
      </c>
      <c r="C510" s="681" t="s">
        <v>176</v>
      </c>
      <c r="D510" s="681" t="s">
        <v>136</v>
      </c>
      <c r="E510" s="682" t="s">
        <v>303</v>
      </c>
      <c r="F510" s="682"/>
      <c r="G510" s="682" t="str">
        <f>+VLOOKUP([1]Data_Validation!$A470,[1]BV_Data_An_Cour!$L:$Q,6,0)</f>
        <v>7-Dépenses</v>
      </c>
      <c r="H510" s="3"/>
    </row>
    <row r="511" spans="1:8" ht="15" customHeight="1">
      <c r="A511" s="692" t="s">
        <v>2585</v>
      </c>
      <c r="B511" s="690" t="s">
        <v>1193</v>
      </c>
      <c r="C511" s="681" t="s">
        <v>176</v>
      </c>
      <c r="D511" s="681" t="s">
        <v>141</v>
      </c>
      <c r="E511" s="682" t="s">
        <v>303</v>
      </c>
      <c r="F511" s="682"/>
      <c r="G511" s="684" t="str">
        <f>+VLOOKUP([1]Data_Validation!$A471,[1]BV_Data_An_Cour!$L:$Q,6,0)</f>
        <v>7-Dépenses</v>
      </c>
      <c r="H511" s="3"/>
    </row>
    <row r="512" spans="1:8" ht="15" customHeight="1">
      <c r="A512" s="692" t="s">
        <v>2588</v>
      </c>
      <c r="B512" s="690" t="s">
        <v>1195</v>
      </c>
      <c r="C512" s="681" t="s">
        <v>176</v>
      </c>
      <c r="D512" s="681" t="s">
        <v>131</v>
      </c>
      <c r="E512" s="682" t="s">
        <v>303</v>
      </c>
      <c r="F512" s="682"/>
      <c r="G512" s="684" t="str">
        <f>+VLOOKUP([1]Data_Validation!$A472,[1]BV_Data_An_Cour!$L:$Q,6,0)</f>
        <v>7-Dépenses</v>
      </c>
      <c r="H512" s="3"/>
    </row>
    <row r="513" spans="1:29" ht="15" customHeight="1">
      <c r="A513" s="692" t="s">
        <v>2591</v>
      </c>
      <c r="B513" s="680" t="s">
        <v>1197</v>
      </c>
      <c r="C513" s="681" t="s">
        <v>176</v>
      </c>
      <c r="D513" s="681" t="s">
        <v>139</v>
      </c>
      <c r="E513" s="682" t="s">
        <v>303</v>
      </c>
      <c r="F513" s="682"/>
      <c r="G513" s="684" t="str">
        <f>+VLOOKUP([1]Data_Validation!$A473,[1]BV_Data_An_Cour!$L:$Q,6,0)</f>
        <v>7-Dépenses</v>
      </c>
      <c r="H513" s="3"/>
    </row>
    <row r="514" spans="1:29" ht="15" customHeight="1">
      <c r="A514" s="692" t="s">
        <v>1269</v>
      </c>
      <c r="B514" s="680" t="s">
        <v>810</v>
      </c>
      <c r="C514" s="681"/>
      <c r="D514" s="681"/>
      <c r="E514" s="682" t="s">
        <v>303</v>
      </c>
      <c r="F514" s="688"/>
      <c r="G514" s="684"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2" t="s">
        <v>2596</v>
      </c>
      <c r="B515" s="690" t="s">
        <v>1199</v>
      </c>
      <c r="C515" s="681" t="s">
        <v>176</v>
      </c>
      <c r="D515" s="681" t="s">
        <v>132</v>
      </c>
      <c r="E515" s="682" t="s">
        <v>303</v>
      </c>
      <c r="F515" s="682"/>
      <c r="G515" s="684"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2" t="s">
        <v>2599</v>
      </c>
      <c r="B516" s="680" t="s">
        <v>1201</v>
      </c>
      <c r="C516" s="681" t="s">
        <v>176</v>
      </c>
      <c r="D516" s="681" t="s">
        <v>137</v>
      </c>
      <c r="E516" s="682" t="s">
        <v>303</v>
      </c>
      <c r="F516" s="688"/>
      <c r="G516" s="684" t="str">
        <f>+VLOOKUP([1]Data_Validation!$A475,[1]BV_Data_An_Cour!$L:$Q,6,0)</f>
        <v>7-Dépenses</v>
      </c>
      <c r="H516" s="3"/>
    </row>
    <row r="517" spans="1:29" ht="15" customHeight="1">
      <c r="A517" s="692" t="s">
        <v>2602</v>
      </c>
      <c r="B517" s="690" t="s">
        <v>1203</v>
      </c>
      <c r="C517" s="681" t="s">
        <v>176</v>
      </c>
      <c r="D517" s="681" t="s">
        <v>138</v>
      </c>
      <c r="E517" s="682" t="s">
        <v>303</v>
      </c>
      <c r="F517" s="682"/>
      <c r="G517" s="684" t="str">
        <f>+VLOOKUP([1]Data_Validation!$A476,[1]BV_Data_An_Cour!$L:$Q,6,0)</f>
        <v>7-Dépenses</v>
      </c>
      <c r="H517" s="3"/>
    </row>
    <row r="518" spans="1:29" ht="15" customHeight="1">
      <c r="A518" s="692" t="s">
        <v>2605</v>
      </c>
      <c r="B518" s="680" t="s">
        <v>1205</v>
      </c>
      <c r="C518" s="681" t="s">
        <v>176</v>
      </c>
      <c r="D518" s="681" t="s">
        <v>140</v>
      </c>
      <c r="E518" s="682" t="s">
        <v>303</v>
      </c>
      <c r="F518" s="688"/>
      <c r="G518" s="684" t="str">
        <f>+VLOOKUP([1]Data_Validation!$A477,[1]BV_Data_An_Cour!$L:$Q,6,0)</f>
        <v>7-Dépenses</v>
      </c>
      <c r="H518" s="3"/>
    </row>
    <row r="519" spans="1:29" ht="15" customHeight="1">
      <c r="A519" s="692" t="s">
        <v>2608</v>
      </c>
      <c r="B519" s="680" t="s">
        <v>1267</v>
      </c>
      <c r="C519" s="681" t="s">
        <v>176</v>
      </c>
      <c r="D519" s="681" t="s">
        <v>133</v>
      </c>
      <c r="E519" s="682" t="s">
        <v>303</v>
      </c>
      <c r="F519" s="682"/>
      <c r="G519" s="684" t="str">
        <f>+VLOOKUP([1]Data_Validation!$A478,[1]BV_Data_An_Cour!$L:$Q,6,0)</f>
        <v>7-Dépenses</v>
      </c>
      <c r="H519" s="3"/>
    </row>
    <row r="520" spans="1:29" ht="15" customHeight="1">
      <c r="A520" s="692" t="s">
        <v>3402</v>
      </c>
      <c r="B520" s="680" t="s">
        <v>1268</v>
      </c>
      <c r="C520" s="681" t="s">
        <v>176</v>
      </c>
      <c r="D520" s="681" t="s">
        <v>142</v>
      </c>
      <c r="E520" s="682" t="s">
        <v>303</v>
      </c>
      <c r="F520" s="682"/>
      <c r="G520" s="684" t="str">
        <f>+VLOOKUP([1]Data_Validation!$A479,[1]BV_Data_An_Cour!$L:$Q,6,0)</f>
        <v>7-Dépenses</v>
      </c>
      <c r="H520" s="3"/>
    </row>
    <row r="521" spans="1:29" ht="15" customHeight="1">
      <c r="A521" s="692" t="s">
        <v>2611</v>
      </c>
      <c r="B521" s="680" t="s">
        <v>1211</v>
      </c>
      <c r="C521" s="681" t="s">
        <v>176</v>
      </c>
      <c r="D521" s="681" t="s">
        <v>134</v>
      </c>
      <c r="E521" s="682" t="s">
        <v>303</v>
      </c>
      <c r="F521" s="688"/>
      <c r="G521" s="684" t="str">
        <f>+VLOOKUP([1]Data_Validation!$A480,[1]BV_Data_An_Cour!$L:$Q,6,0)</f>
        <v>7-Dépenses</v>
      </c>
      <c r="H521" s="3"/>
      <c r="K521" s="3"/>
    </row>
    <row r="522" spans="1:29" ht="15" customHeight="1">
      <c r="A522" s="692" t="s">
        <v>2613</v>
      </c>
      <c r="B522" s="690" t="s">
        <v>1213</v>
      </c>
      <c r="C522" s="681" t="s">
        <v>176</v>
      </c>
      <c r="D522" s="681" t="s">
        <v>221</v>
      </c>
      <c r="E522" s="682" t="s">
        <v>303</v>
      </c>
      <c r="F522" s="682"/>
      <c r="G522" s="684"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2" t="s">
        <v>2616</v>
      </c>
      <c r="B523" s="680" t="s">
        <v>1391</v>
      </c>
      <c r="C523" s="681" t="s">
        <v>176</v>
      </c>
      <c r="D523" s="681" t="s">
        <v>213</v>
      </c>
      <c r="E523" s="682" t="s">
        <v>303</v>
      </c>
      <c r="F523" s="682"/>
      <c r="G523" s="682" t="str">
        <f>+VLOOKUP([1]Data_Validation!$A482,[1]BV_Data_An_Cour!$L:$Q,6,0)</f>
        <v>7-Dépenses</v>
      </c>
      <c r="H523" s="3"/>
    </row>
    <row r="524" spans="1:29" ht="15" customHeight="1">
      <c r="A524" s="680" t="s">
        <v>2619</v>
      </c>
      <c r="B524" s="680" t="s">
        <v>811</v>
      </c>
      <c r="C524" s="681"/>
      <c r="D524" s="681"/>
      <c r="E524" s="682" t="s">
        <v>303</v>
      </c>
      <c r="F524" s="682"/>
      <c r="G524" s="684" t="str">
        <f>+VLOOKUP([1]Data_Validation!$A89,[1]BV_Data_An_Cour!$L:$Q,6,0)</f>
        <v>2-Actifs</v>
      </c>
      <c r="H524" s="3"/>
    </row>
    <row r="525" spans="1:29" ht="15" customHeight="1">
      <c r="A525" s="692" t="s">
        <v>2622</v>
      </c>
      <c r="B525" s="690" t="s">
        <v>1270</v>
      </c>
      <c r="C525" s="681" t="s">
        <v>176</v>
      </c>
      <c r="D525" s="681" t="s">
        <v>210</v>
      </c>
      <c r="E525" s="682" t="s">
        <v>303</v>
      </c>
      <c r="F525" s="682"/>
      <c r="G525" s="684" t="str">
        <f>+VLOOKUP([1]Data_Validation!$A483,[1]BV_Data_An_Cour!$L:$Q,6,0)</f>
        <v>7-Dépenses</v>
      </c>
      <c r="H525" s="3"/>
    </row>
    <row r="526" spans="1:29" ht="15" customHeight="1">
      <c r="A526" s="692" t="s">
        <v>2625</v>
      </c>
      <c r="B526" s="680" t="s">
        <v>1271</v>
      </c>
      <c r="C526" s="681" t="s">
        <v>176</v>
      </c>
      <c r="D526" s="681" t="s">
        <v>205</v>
      </c>
      <c r="E526" s="682" t="s">
        <v>303</v>
      </c>
      <c r="F526" s="682"/>
      <c r="G526" s="684" t="str">
        <f>+VLOOKUP([1]Data_Validation!$A484,[1]BV_Data_An_Cour!$L:$Q,6,0)</f>
        <v>7-Dépenses</v>
      </c>
      <c r="H526" s="3"/>
    </row>
    <row r="527" spans="1:29" ht="15" customHeight="1">
      <c r="A527" s="680" t="s">
        <v>2627</v>
      </c>
      <c r="B527" s="690" t="s">
        <v>1272</v>
      </c>
      <c r="C527" s="681" t="s">
        <v>176</v>
      </c>
      <c r="D527" s="681" t="s">
        <v>209</v>
      </c>
      <c r="E527" s="682" t="s">
        <v>303</v>
      </c>
      <c r="F527" s="682"/>
      <c r="G527" s="684" t="str">
        <f>+VLOOKUP([1]Data_Validation!$A485,[1]BV_Data_An_Cour!$L:$Q,6,0)</f>
        <v>7-Dépenses</v>
      </c>
      <c r="H527" s="3"/>
    </row>
    <row r="528" spans="1:29" ht="15" customHeight="1">
      <c r="A528" s="680" t="s">
        <v>2629</v>
      </c>
      <c r="B528" s="690" t="s">
        <v>1273</v>
      </c>
      <c r="C528" s="681" t="s">
        <v>176</v>
      </c>
      <c r="D528" s="681" t="s">
        <v>206</v>
      </c>
      <c r="E528" s="682" t="s">
        <v>303</v>
      </c>
      <c r="F528" s="682"/>
      <c r="G528" s="684" t="str">
        <f>+VLOOKUP([1]Data_Validation!$A486,[1]BV_Data_An_Cour!$L:$Q,6,0)</f>
        <v>7-Dépenses</v>
      </c>
      <c r="H528" s="3"/>
    </row>
    <row r="529" spans="1:29" ht="15" customHeight="1">
      <c r="A529" s="692" t="s">
        <v>2632</v>
      </c>
      <c r="B529" s="680" t="s">
        <v>1274</v>
      </c>
      <c r="C529" s="681" t="s">
        <v>176</v>
      </c>
      <c r="D529" s="681" t="s">
        <v>207</v>
      </c>
      <c r="E529" s="682" t="s">
        <v>303</v>
      </c>
      <c r="F529" s="682"/>
      <c r="G529" s="684"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2" t="s">
        <v>2634</v>
      </c>
      <c r="B530" s="680" t="s">
        <v>1275</v>
      </c>
      <c r="C530" s="681" t="s">
        <v>176</v>
      </c>
      <c r="D530" s="681" t="s">
        <v>211</v>
      </c>
      <c r="E530" s="682" t="s">
        <v>303</v>
      </c>
      <c r="F530" s="682"/>
      <c r="G530" s="684" t="str">
        <f>+VLOOKUP([1]Data_Validation!$A488,[1]BV_Data_An_Cour!$L:$Q,6,0)</f>
        <v>7-Dépenses</v>
      </c>
      <c r="H530" s="3"/>
      <c r="K530" s="3"/>
    </row>
    <row r="531" spans="1:29" ht="15" customHeight="1">
      <c r="A531" s="680" t="s">
        <v>3403</v>
      </c>
      <c r="B531" s="680" t="s">
        <v>1398</v>
      </c>
      <c r="C531" s="681" t="s">
        <v>176</v>
      </c>
      <c r="D531" s="681" t="s">
        <v>214</v>
      </c>
      <c r="E531" s="682" t="s">
        <v>303</v>
      </c>
      <c r="F531" s="682"/>
      <c r="G531" s="682" t="str">
        <f>+VLOOKUP([1]Data_Validation!$A489,[1]BV_Data_An_Cour!$L:$Q,6,0)</f>
        <v>7-Dépenses</v>
      </c>
      <c r="H531" s="3"/>
      <c r="K531" s="3"/>
    </row>
    <row r="532" spans="1:29" ht="15" customHeight="1">
      <c r="A532" s="680" t="s">
        <v>3404</v>
      </c>
      <c r="B532" s="680" t="s">
        <v>3318</v>
      </c>
      <c r="C532" s="681" t="s">
        <v>176</v>
      </c>
      <c r="D532" s="681" t="s">
        <v>140</v>
      </c>
      <c r="E532" s="682" t="s">
        <v>303</v>
      </c>
      <c r="F532" s="682"/>
      <c r="G532" s="684" t="str">
        <f>+VLOOKUP([1]Data_Validation!$A490,[1]BV_Data_An_Cour!$L:$Q,6,0)</f>
        <v>7-Dépenses</v>
      </c>
      <c r="H532" s="3"/>
    </row>
    <row r="533" spans="1:29" ht="15" customHeight="1">
      <c r="A533" s="680" t="s">
        <v>2637</v>
      </c>
      <c r="B533" s="690" t="s">
        <v>812</v>
      </c>
      <c r="C533" s="681"/>
      <c r="D533" s="681"/>
      <c r="E533" s="682" t="s">
        <v>303</v>
      </c>
      <c r="F533" s="682"/>
      <c r="G533" s="684" t="str">
        <f>+VLOOKUP([1]Data_Validation!$A90,[1]BV_Data_An_Cour!$L:$Q,6,0)</f>
        <v>2-Actifs</v>
      </c>
      <c r="H533" s="3"/>
    </row>
    <row r="534" spans="1:29" ht="15" customHeight="1">
      <c r="A534" s="692" t="s">
        <v>2640</v>
      </c>
      <c r="B534" s="680" t="s">
        <v>813</v>
      </c>
      <c r="C534" s="681"/>
      <c r="D534" s="681"/>
      <c r="E534" s="682" t="s">
        <v>303</v>
      </c>
      <c r="F534" s="688"/>
      <c r="G534" s="684" t="str">
        <f>+VLOOKUP([1]Data_Validation!$A91,[1]BV_Data_An_Cour!$L:$Q,6,0)</f>
        <v>2-Actifs</v>
      </c>
      <c r="H534" s="3"/>
    </row>
    <row r="535" spans="1:29" ht="15" customHeight="1">
      <c r="A535" s="692" t="s">
        <v>2643</v>
      </c>
      <c r="B535" s="690" t="s">
        <v>814</v>
      </c>
      <c r="C535" s="681"/>
      <c r="D535" s="681"/>
      <c r="E535" s="682" t="s">
        <v>303</v>
      </c>
      <c r="F535" s="682"/>
      <c r="G535" s="684" t="str">
        <f>+VLOOKUP([1]Data_Validation!$A92,[1]BV_Data_An_Cour!$L:$Q,6,0)</f>
        <v>2-Actifs</v>
      </c>
      <c r="H535" s="3"/>
    </row>
    <row r="536" spans="1:29" ht="15" customHeight="1">
      <c r="A536" s="692" t="s">
        <v>2646</v>
      </c>
      <c r="B536" s="690" t="s">
        <v>815</v>
      </c>
      <c r="C536" s="681"/>
      <c r="D536" s="681"/>
      <c r="E536" s="682" t="s">
        <v>303</v>
      </c>
      <c r="F536" s="682"/>
      <c r="G536" s="684" t="str">
        <f>+VLOOKUP([1]Data_Validation!$A93,[1]BV_Data_An_Cour!$L:$Q,6,0)</f>
        <v>2-Actifs</v>
      </c>
      <c r="H536" s="3"/>
    </row>
    <row r="537" spans="1:29" ht="15" customHeight="1">
      <c r="A537" s="692" t="s">
        <v>2649</v>
      </c>
      <c r="B537" s="680" t="s">
        <v>1160</v>
      </c>
      <c r="C537" s="681" t="s">
        <v>180</v>
      </c>
      <c r="D537" s="681" t="s">
        <v>130</v>
      </c>
      <c r="E537" s="682" t="s">
        <v>303</v>
      </c>
      <c r="F537" s="682"/>
      <c r="G537" s="684" t="e">
        <f>+VLOOKUP([1]Data_Validation!$A491,[1]BV_Data_An_Cour!$L:$Q,6,0)</f>
        <v>#N/A</v>
      </c>
      <c r="H537" s="3"/>
    </row>
    <row r="538" spans="1:29" ht="15" customHeight="1">
      <c r="A538" s="692" t="s">
        <v>2652</v>
      </c>
      <c r="B538" s="690" t="s">
        <v>1399</v>
      </c>
      <c r="C538" s="681" t="s">
        <v>180</v>
      </c>
      <c r="D538" s="681" t="s">
        <v>130</v>
      </c>
      <c r="E538" s="682" t="s">
        <v>303</v>
      </c>
      <c r="F538" s="682"/>
      <c r="G538" s="682" t="e">
        <f>+VLOOKUP([1]Data_Validation!$A492,[1]BV_Data_An_Cour!$L:$Q,6,0)</f>
        <v>#N/A</v>
      </c>
      <c r="H538" s="3"/>
    </row>
    <row r="539" spans="1:29" ht="15" customHeight="1">
      <c r="A539" s="680" t="s">
        <v>2655</v>
      </c>
      <c r="B539" s="690" t="s">
        <v>1168</v>
      </c>
      <c r="C539" s="681" t="s">
        <v>180</v>
      </c>
      <c r="D539" s="681" t="s">
        <v>129</v>
      </c>
      <c r="E539" s="682" t="s">
        <v>303</v>
      </c>
      <c r="F539" s="682"/>
      <c r="G539" s="684" t="str">
        <f>+VLOOKUP([1]Data_Validation!$A493,[1]BV_Data_An_Cour!$L:$Q,6,0)</f>
        <v>7-Dépenses</v>
      </c>
      <c r="H539" s="3"/>
    </row>
    <row r="540" spans="1:29" ht="15" customHeight="1">
      <c r="A540" s="692" t="s">
        <v>2658</v>
      </c>
      <c r="B540" s="680" t="s">
        <v>1276</v>
      </c>
      <c r="C540" s="681" t="s">
        <v>180</v>
      </c>
      <c r="D540" s="681" t="s">
        <v>204</v>
      </c>
      <c r="E540" s="682" t="s">
        <v>303</v>
      </c>
      <c r="F540" s="682"/>
      <c r="G540" s="684" t="str">
        <f>+VLOOKUP([1]Data_Validation!$A494,[1]BV_Data_An_Cour!$L:$Q,6,0)</f>
        <v>1-Mémo</v>
      </c>
      <c r="H540" s="3"/>
    </row>
    <row r="541" spans="1:29" ht="15" customHeight="1">
      <c r="A541" s="680" t="s">
        <v>2661</v>
      </c>
      <c r="B541" s="690" t="s">
        <v>1173</v>
      </c>
      <c r="C541" s="681" t="s">
        <v>180</v>
      </c>
      <c r="D541" s="681" t="s">
        <v>120</v>
      </c>
      <c r="E541" s="682" t="s">
        <v>303</v>
      </c>
      <c r="F541" s="682"/>
      <c r="G541" s="684" t="str">
        <f>+VLOOKUP([1]Data_Validation!$A495,[1]BV_Data_An_Cour!$L:$Q,6,0)</f>
        <v>7-Dépenses</v>
      </c>
      <c r="H541" s="3"/>
    </row>
    <row r="542" spans="1:29" ht="15" customHeight="1">
      <c r="A542" s="692" t="s">
        <v>2664</v>
      </c>
      <c r="B542" s="680" t="s">
        <v>1175</v>
      </c>
      <c r="C542" s="681" t="s">
        <v>180</v>
      </c>
      <c r="D542" s="681" t="s">
        <v>121</v>
      </c>
      <c r="E542" s="682" t="s">
        <v>303</v>
      </c>
      <c r="F542" s="682"/>
      <c r="G542" s="684" t="str">
        <f>+VLOOKUP([1]Data_Validation!$A496,[1]BV_Data_An_Cour!$L:$Q,6,0)</f>
        <v>1-Mémo</v>
      </c>
      <c r="H542" s="3"/>
    </row>
    <row r="543" spans="1:29" ht="15" customHeight="1">
      <c r="A543" s="692" t="s">
        <v>2667</v>
      </c>
      <c r="B543" s="690" t="s">
        <v>1177</v>
      </c>
      <c r="C543" s="681" t="s">
        <v>180</v>
      </c>
      <c r="D543" s="681" t="s">
        <v>122</v>
      </c>
      <c r="E543" s="682" t="s">
        <v>303</v>
      </c>
      <c r="F543" s="682"/>
      <c r="G543" s="684" t="str">
        <f>+VLOOKUP([1]Data_Validation!$A497,[1]BV_Data_An_Cour!$L:$Q,6,0)</f>
        <v>7-Dépenses</v>
      </c>
      <c r="H543" s="3"/>
    </row>
    <row r="544" spans="1:29" ht="15" customHeight="1">
      <c r="A544" s="692" t="s">
        <v>2670</v>
      </c>
      <c r="B544" s="680" t="s">
        <v>1277</v>
      </c>
      <c r="C544" s="681" t="s">
        <v>180</v>
      </c>
      <c r="D544" s="681" t="s">
        <v>124</v>
      </c>
      <c r="E544" s="682" t="s">
        <v>303</v>
      </c>
      <c r="F544" s="682"/>
      <c r="G544" s="684" t="str">
        <f>+VLOOKUP([1]Data_Validation!$A498,[1]BV_Data_An_Cour!$L:$Q,6,0)</f>
        <v>7-Dépenses</v>
      </c>
      <c r="H544" s="3"/>
    </row>
    <row r="545" spans="1:29" ht="15" customHeight="1">
      <c r="A545" s="692" t="s">
        <v>2673</v>
      </c>
      <c r="B545" s="690" t="s">
        <v>1181</v>
      </c>
      <c r="C545" s="681" t="s">
        <v>180</v>
      </c>
      <c r="D545" s="681" t="s">
        <v>127</v>
      </c>
      <c r="E545" s="682" t="s">
        <v>303</v>
      </c>
      <c r="F545" s="682"/>
      <c r="G545" s="684" t="str">
        <f>+VLOOKUP([1]Data_Validation!$A499,[1]BV_Data_An_Cour!$L:$Q,6,0)</f>
        <v>7-Dépenses</v>
      </c>
      <c r="H545" s="3"/>
    </row>
    <row r="546" spans="1:29" ht="15" customHeight="1">
      <c r="A546" s="692" t="s">
        <v>2676</v>
      </c>
      <c r="B546" s="680" t="s">
        <v>1183</v>
      </c>
      <c r="C546" s="681" t="s">
        <v>180</v>
      </c>
      <c r="D546" s="681" t="s">
        <v>125</v>
      </c>
      <c r="E546" s="682" t="s">
        <v>303</v>
      </c>
      <c r="F546" s="682"/>
      <c r="G546" s="684" t="str">
        <f>+VLOOKUP([1]Data_Validation!$A500,[1]BV_Data_An_Cour!$L:$Q,6,0)</f>
        <v>7-Dépenses</v>
      </c>
      <c r="H546" s="3"/>
    </row>
    <row r="547" spans="1:29" ht="15" customHeight="1">
      <c r="A547" s="692" t="s">
        <v>2679</v>
      </c>
      <c r="B547" s="690" t="s">
        <v>1278</v>
      </c>
      <c r="C547" s="681" t="s">
        <v>180</v>
      </c>
      <c r="D547" s="681" t="s">
        <v>125</v>
      </c>
      <c r="E547" s="682" t="s">
        <v>303</v>
      </c>
      <c r="F547" s="682"/>
      <c r="G547" s="684" t="e">
        <f>+VLOOKUP([1]Data_Validation!$A501,[1]BV_Data_An_Cour!$L:$Q,6,0)</f>
        <v>#N/A</v>
      </c>
      <c r="H547" s="3"/>
    </row>
    <row r="548" spans="1:29" ht="15" customHeight="1">
      <c r="A548" s="692" t="s">
        <v>2682</v>
      </c>
      <c r="B548" s="680" t="s">
        <v>1233</v>
      </c>
      <c r="C548" s="681" t="s">
        <v>180</v>
      </c>
      <c r="D548" s="681" t="s">
        <v>126</v>
      </c>
      <c r="E548" s="682" t="s">
        <v>303</v>
      </c>
      <c r="F548" s="682"/>
      <c r="G548" s="684"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2" t="s">
        <v>2686</v>
      </c>
      <c r="B549" s="690" t="s">
        <v>1189</v>
      </c>
      <c r="C549" s="681" t="s">
        <v>180</v>
      </c>
      <c r="D549" s="681" t="s">
        <v>135</v>
      </c>
      <c r="E549" s="682" t="s">
        <v>303</v>
      </c>
      <c r="F549" s="682"/>
      <c r="G549" s="684" t="str">
        <f>+VLOOKUP([1]Data_Validation!$A503,[1]BV_Data_An_Cour!$L:$Q,6,0)</f>
        <v>7-Dépenses</v>
      </c>
      <c r="H549" s="3"/>
    </row>
    <row r="550" spans="1:29" ht="15" customHeight="1">
      <c r="A550" s="1022" t="s">
        <v>2689</v>
      </c>
      <c r="B550" s="694" t="s">
        <v>1191</v>
      </c>
      <c r="C550" s="695" t="s">
        <v>180</v>
      </c>
      <c r="D550" s="681" t="s">
        <v>136</v>
      </c>
      <c r="E550" s="682" t="s">
        <v>303</v>
      </c>
      <c r="F550" s="682"/>
      <c r="G550" s="682" t="str">
        <f>+VLOOKUP([1]Data_Validation!$A504,[1]BV_Data_An_Cour!$L:$Q,6,0)</f>
        <v>7-Dépenses</v>
      </c>
      <c r="H550" s="3"/>
    </row>
    <row r="551" spans="1:29" ht="15" customHeight="1">
      <c r="A551" s="692" t="s">
        <v>2692</v>
      </c>
      <c r="B551" s="690" t="s">
        <v>1193</v>
      </c>
      <c r="C551" s="681" t="s">
        <v>180</v>
      </c>
      <c r="D551" s="681" t="s">
        <v>141</v>
      </c>
      <c r="E551" s="682" t="s">
        <v>303</v>
      </c>
      <c r="F551" s="682"/>
      <c r="G551" s="684" t="str">
        <f>+VLOOKUP([1]Data_Validation!$A505,[1]BV_Data_An_Cour!$L:$Q,6,0)</f>
        <v>7-Dépenses</v>
      </c>
      <c r="H551" s="3"/>
    </row>
    <row r="552" spans="1:29" ht="15" customHeight="1">
      <c r="A552" s="692" t="s">
        <v>2695</v>
      </c>
      <c r="B552" s="680" t="s">
        <v>1195</v>
      </c>
      <c r="C552" s="681" t="s">
        <v>180</v>
      </c>
      <c r="D552" s="681" t="s">
        <v>131</v>
      </c>
      <c r="E552" s="682" t="s">
        <v>303</v>
      </c>
      <c r="F552" s="682"/>
      <c r="G552" s="684" t="str">
        <f>+VLOOKUP([1]Data_Validation!$A506,[1]BV_Data_An_Cour!$L:$Q,6,0)</f>
        <v>7-Dépenses</v>
      </c>
      <c r="H552" s="3"/>
    </row>
    <row r="553" spans="1:29" ht="15" customHeight="1">
      <c r="A553" s="680" t="s">
        <v>2698</v>
      </c>
      <c r="B553" s="687" t="s">
        <v>1197</v>
      </c>
      <c r="C553" s="681" t="s">
        <v>180</v>
      </c>
      <c r="D553" s="681" t="s">
        <v>139</v>
      </c>
      <c r="E553" s="682" t="s">
        <v>303</v>
      </c>
      <c r="F553" s="683"/>
      <c r="G553" s="684" t="str">
        <f>+VLOOKUP([1]Data_Validation!$A507,[1]BV_Data_An_Cour!$L:$Q,6,0)</f>
        <v>1-Mémo</v>
      </c>
      <c r="H553" s="3"/>
    </row>
    <row r="554" spans="1:29" ht="15" customHeight="1">
      <c r="A554" s="692" t="s">
        <v>2700</v>
      </c>
      <c r="B554" s="687" t="s">
        <v>1199</v>
      </c>
      <c r="C554" s="681" t="s">
        <v>180</v>
      </c>
      <c r="D554" s="681" t="s">
        <v>132</v>
      </c>
      <c r="E554" s="682" t="s">
        <v>303</v>
      </c>
      <c r="F554" s="683"/>
      <c r="G554" s="684" t="e">
        <f>+VLOOKUP([1]Data_Validation!$A509,[1]BV_Data_An_Cour!$L:$Q,6,0)</f>
        <v>#N/A</v>
      </c>
      <c r="H554" s="3"/>
    </row>
    <row r="555" spans="1:29" ht="15" customHeight="1">
      <c r="A555" s="692" t="s">
        <v>2703</v>
      </c>
      <c r="B555" s="687" t="s">
        <v>1201</v>
      </c>
      <c r="C555" s="681" t="s">
        <v>180</v>
      </c>
      <c r="D555" s="681" t="s">
        <v>137</v>
      </c>
      <c r="E555" s="682" t="s">
        <v>303</v>
      </c>
      <c r="F555" s="683"/>
      <c r="G555" s="684" t="e">
        <f>+VLOOKUP([1]Data_Validation!$A510,[1]BV_Data_An_Cour!$L:$Q,6,0)</f>
        <v>#N/A</v>
      </c>
      <c r="H555" s="3"/>
    </row>
    <row r="556" spans="1:29" ht="15" customHeight="1">
      <c r="A556" s="692" t="s">
        <v>2706</v>
      </c>
      <c r="B556" s="687" t="s">
        <v>1203</v>
      </c>
      <c r="C556" s="681" t="s">
        <v>180</v>
      </c>
      <c r="D556" s="681" t="s">
        <v>138</v>
      </c>
      <c r="E556" s="682" t="s">
        <v>303</v>
      </c>
      <c r="F556" s="683"/>
      <c r="G556" s="684" t="str">
        <f>+VLOOKUP([1]Data_Validation!$A511,[1]BV_Data_An_Cour!$L:$Q,6,0)</f>
        <v>7-Dépenses</v>
      </c>
      <c r="H556" s="3"/>
    </row>
    <row r="557" spans="1:29" ht="15" customHeight="1">
      <c r="A557" s="692" t="s">
        <v>2709</v>
      </c>
      <c r="B557" s="687" t="s">
        <v>1205</v>
      </c>
      <c r="C557" s="681" t="s">
        <v>180</v>
      </c>
      <c r="D557" s="681" t="s">
        <v>140</v>
      </c>
      <c r="E557" s="682" t="s">
        <v>303</v>
      </c>
      <c r="F557" s="683"/>
      <c r="G557" s="684" t="str">
        <f>+VLOOKUP([1]Data_Validation!$A512,[1]BV_Data_An_Cour!$L:$Q,6,0)</f>
        <v>7-Dépenses</v>
      </c>
      <c r="H557" s="3"/>
    </row>
    <row r="558" spans="1:29" ht="15" customHeight="1">
      <c r="A558" s="692" t="s">
        <v>2712</v>
      </c>
      <c r="B558" s="687" t="s">
        <v>1279</v>
      </c>
      <c r="C558" s="681" t="s">
        <v>180</v>
      </c>
      <c r="D558" s="681" t="s">
        <v>133</v>
      </c>
      <c r="E558" s="682" t="s">
        <v>303</v>
      </c>
      <c r="F558" s="683"/>
      <c r="G558" s="684" t="str">
        <f>+VLOOKUP([1]Data_Validation!$A513,[1]BV_Data_An_Cour!$L:$Q,6,0)</f>
        <v>7-Dépenses</v>
      </c>
      <c r="H558" s="3"/>
    </row>
    <row r="559" spans="1:29" ht="15" customHeight="1">
      <c r="A559" s="692" t="s">
        <v>3405</v>
      </c>
      <c r="B559" s="687" t="s">
        <v>1280</v>
      </c>
      <c r="C559" s="681" t="s">
        <v>180</v>
      </c>
      <c r="D559" s="681" t="s">
        <v>142</v>
      </c>
      <c r="E559" s="682" t="s">
        <v>303</v>
      </c>
      <c r="F559" s="683"/>
      <c r="G559" s="684" t="str">
        <f>+VLOOKUP([1]Data_Validation!$A514,[1]BV_Data_An_Cour!$L:$Q,6,0)</f>
        <v>1-Mémo</v>
      </c>
      <c r="H559" s="3"/>
    </row>
    <row r="560" spans="1:29" ht="15" customHeight="1">
      <c r="A560" s="692" t="s">
        <v>3902</v>
      </c>
      <c r="B560" s="687" t="s">
        <v>3901</v>
      </c>
      <c r="C560" s="681" t="s">
        <v>180</v>
      </c>
      <c r="D560" s="681" t="s">
        <v>134</v>
      </c>
      <c r="E560" s="682" t="s">
        <v>303</v>
      </c>
      <c r="F560" s="683"/>
      <c r="G560" s="684" t="str">
        <f>+VLOOKUP([1]Data_Validation!$A515,[1]BV_Data_An_Cour!$L:$Q,6,0)</f>
        <v>7-Dépenses</v>
      </c>
      <c r="H560" s="3"/>
    </row>
    <row r="561" spans="1:8" ht="15" customHeight="1">
      <c r="A561" s="692" t="s">
        <v>2715</v>
      </c>
      <c r="B561" s="687" t="s">
        <v>1211</v>
      </c>
      <c r="C561" s="681" t="s">
        <v>180</v>
      </c>
      <c r="D561" s="681" t="s">
        <v>134</v>
      </c>
      <c r="E561" s="682" t="s">
        <v>303</v>
      </c>
      <c r="F561" s="683"/>
      <c r="G561" s="684" t="str">
        <f>+VLOOKUP([1]Data_Validation!$A515,[1]BV_Data_An_Cour!$L:$Q,6,0)</f>
        <v>7-Dépenses</v>
      </c>
      <c r="H561" s="3"/>
    </row>
    <row r="562" spans="1:8" ht="15" customHeight="1">
      <c r="A562" s="692" t="s">
        <v>2718</v>
      </c>
      <c r="B562" s="690" t="s">
        <v>1213</v>
      </c>
      <c r="C562" s="681" t="s">
        <v>180</v>
      </c>
      <c r="D562" s="681" t="s">
        <v>221</v>
      </c>
      <c r="E562" s="682" t="s">
        <v>303</v>
      </c>
      <c r="F562" s="683"/>
      <c r="G562" s="684" t="str">
        <f>+VLOOKUP([1]Data_Validation!$A516,[1]BV_Data_An_Cour!$L:$Q,6,0)</f>
        <v>7-Dépenses</v>
      </c>
      <c r="H562" s="3"/>
    </row>
    <row r="563" spans="1:8" ht="15" customHeight="1">
      <c r="A563" s="692" t="s">
        <v>2721</v>
      </c>
      <c r="B563" s="687" t="s">
        <v>1391</v>
      </c>
      <c r="C563" s="681" t="s">
        <v>180</v>
      </c>
      <c r="D563" s="681" t="s">
        <v>213</v>
      </c>
      <c r="E563" s="682" t="s">
        <v>303</v>
      </c>
      <c r="F563" s="683"/>
      <c r="G563" s="682" t="str">
        <f>+VLOOKUP([1]Data_Validation!$A517,[1]BV_Data_An_Cour!$L:$Q,6,0)</f>
        <v>7-Dépenses</v>
      </c>
      <c r="H563" s="3"/>
    </row>
    <row r="564" spans="1:8" ht="15" customHeight="1">
      <c r="A564" s="692" t="s">
        <v>2724</v>
      </c>
      <c r="B564" s="687" t="s">
        <v>816</v>
      </c>
      <c r="C564" s="681"/>
      <c r="D564" s="681"/>
      <c r="E564" s="682" t="s">
        <v>303</v>
      </c>
      <c r="F564" s="683"/>
      <c r="G564" s="684" t="str">
        <f>+VLOOKUP([1]Data_Validation!$A94,[1]BV_Data_An_Cour!$L:$Q,6,0)</f>
        <v>2-Actifs</v>
      </c>
      <c r="H564" s="3"/>
    </row>
    <row r="565" spans="1:8" ht="15" customHeight="1">
      <c r="A565" s="692" t="s">
        <v>2727</v>
      </c>
      <c r="B565" s="687" t="s">
        <v>1281</v>
      </c>
      <c r="C565" s="681" t="s">
        <v>180</v>
      </c>
      <c r="D565" s="681" t="s">
        <v>210</v>
      </c>
      <c r="E565" s="682" t="s">
        <v>303</v>
      </c>
      <c r="F565" s="683"/>
      <c r="G565" s="684" t="str">
        <f>+VLOOKUP([1]Data_Validation!$A518,[1]BV_Data_An_Cour!$L:$Q,6,0)</f>
        <v>7-Dépenses</v>
      </c>
      <c r="H565" s="3"/>
    </row>
    <row r="566" spans="1:8" ht="15" customHeight="1">
      <c r="A566" s="692" t="s">
        <v>2730</v>
      </c>
      <c r="B566" s="687" t="s">
        <v>1282</v>
      </c>
      <c r="C566" s="681" t="s">
        <v>180</v>
      </c>
      <c r="D566" s="681" t="s">
        <v>205</v>
      </c>
      <c r="E566" s="682" t="s">
        <v>303</v>
      </c>
      <c r="F566" s="683"/>
      <c r="G566" s="684" t="str">
        <f>+VLOOKUP([1]Data_Validation!$A519,[1]BV_Data_An_Cour!$L:$Q,6,0)</f>
        <v>7-Dépenses</v>
      </c>
      <c r="H566" s="3"/>
    </row>
    <row r="567" spans="1:8" ht="15" customHeight="1">
      <c r="A567" s="692" t="s">
        <v>2733</v>
      </c>
      <c r="B567" s="687" t="s">
        <v>1283</v>
      </c>
      <c r="C567" s="681" t="s">
        <v>180</v>
      </c>
      <c r="D567" s="681" t="s">
        <v>209</v>
      </c>
      <c r="E567" s="682" t="s">
        <v>303</v>
      </c>
      <c r="F567" s="683"/>
      <c r="G567" s="684" t="str">
        <f>+VLOOKUP([1]Data_Validation!$A520,[1]BV_Data_An_Cour!$L:$Q,6,0)</f>
        <v>7-Dépenses</v>
      </c>
      <c r="H567" s="3"/>
    </row>
    <row r="568" spans="1:8" ht="15" customHeight="1">
      <c r="A568" s="692" t="s">
        <v>2736</v>
      </c>
      <c r="B568" s="687" t="s">
        <v>1284</v>
      </c>
      <c r="C568" s="681" t="s">
        <v>180</v>
      </c>
      <c r="D568" s="681" t="s">
        <v>206</v>
      </c>
      <c r="E568" s="682" t="s">
        <v>303</v>
      </c>
      <c r="F568" s="683"/>
      <c r="G568" s="684" t="str">
        <f>+VLOOKUP([1]Data_Validation!$A521,[1]BV_Data_An_Cour!$L:$Q,6,0)</f>
        <v>7-Dépenses</v>
      </c>
      <c r="H568" s="3"/>
    </row>
    <row r="569" spans="1:8" ht="15" customHeight="1">
      <c r="A569" s="692" t="s">
        <v>2739</v>
      </c>
      <c r="B569" s="687" t="s">
        <v>1285</v>
      </c>
      <c r="C569" s="681" t="s">
        <v>180</v>
      </c>
      <c r="D569" s="681" t="s">
        <v>207</v>
      </c>
      <c r="E569" s="682" t="s">
        <v>303</v>
      </c>
      <c r="F569" s="683"/>
      <c r="G569" s="684" t="str">
        <f>+VLOOKUP([1]Data_Validation!$A522,[1]BV_Data_An_Cour!$L:$Q,6,0)</f>
        <v>7-Dépenses</v>
      </c>
      <c r="H569" s="3"/>
    </row>
    <row r="570" spans="1:8" ht="15" customHeight="1">
      <c r="A570" s="692" t="s">
        <v>2742</v>
      </c>
      <c r="B570" s="687" t="s">
        <v>1286</v>
      </c>
      <c r="C570" s="681" t="s">
        <v>180</v>
      </c>
      <c r="D570" s="681" t="s">
        <v>211</v>
      </c>
      <c r="E570" s="682" t="s">
        <v>303</v>
      </c>
      <c r="F570" s="683"/>
      <c r="G570" s="684" t="e">
        <f>+VLOOKUP([1]Data_Validation!$A523,[1]BV_Data_An_Cour!$L:$Q,6,0)</f>
        <v>#N/A</v>
      </c>
      <c r="H570" s="3"/>
    </row>
    <row r="571" spans="1:8" ht="15" customHeight="1">
      <c r="A571" s="699" t="s">
        <v>3406</v>
      </c>
      <c r="B571" s="699" t="s">
        <v>1400</v>
      </c>
      <c r="C571" s="681" t="s">
        <v>180</v>
      </c>
      <c r="D571" s="681" t="s">
        <v>214</v>
      </c>
      <c r="E571" s="682" t="s">
        <v>303</v>
      </c>
      <c r="F571" s="682"/>
      <c r="G571" s="682" t="str">
        <f>+VLOOKUP([1]Data_Validation!$A524,[1]BV_Data_An_Cour!$L:$Q,6,0)</f>
        <v>1-Mémo</v>
      </c>
      <c r="H571" s="3"/>
    </row>
    <row r="572" spans="1:8" ht="15" customHeight="1">
      <c r="A572" s="680" t="s">
        <v>2744</v>
      </c>
      <c r="B572" s="687" t="s">
        <v>728</v>
      </c>
      <c r="C572" s="681"/>
      <c r="D572" s="681"/>
      <c r="E572" s="682"/>
      <c r="F572" s="683"/>
      <c r="G572" s="684" t="e">
        <f>+VLOOKUP([1]Data_Validation!$A8,[1]BV_Data_An_Cour!$L:$Q,6,0)</f>
        <v>#N/A</v>
      </c>
      <c r="H572" s="3"/>
    </row>
    <row r="573" spans="1:8" ht="15" customHeight="1">
      <c r="A573" s="692" t="s">
        <v>2747</v>
      </c>
      <c r="B573" s="687" t="s">
        <v>729</v>
      </c>
      <c r="C573" s="681"/>
      <c r="D573" s="681"/>
      <c r="E573" s="682"/>
      <c r="F573" s="683"/>
      <c r="G573" s="684" t="e">
        <f>+VLOOKUP([1]Data_Validation!$A9,[1]BV_Data_An_Cour!$L:$Q,6,0)</f>
        <v>#N/A</v>
      </c>
      <c r="H573" s="3"/>
    </row>
    <row r="574" spans="1:8" ht="15" customHeight="1">
      <c r="A574" s="692" t="s">
        <v>2750</v>
      </c>
      <c r="B574" s="687" t="s">
        <v>730</v>
      </c>
      <c r="C574" s="681"/>
      <c r="D574" s="681"/>
      <c r="E574" s="682"/>
      <c r="F574" s="683"/>
      <c r="G574" s="684" t="str">
        <f>+VLOOKUP([1]Data_Validation!$A11,[1]BV_Data_An_Cour!$L:$Q,6,0)</f>
        <v>2-Actifs</v>
      </c>
      <c r="H574" s="3"/>
    </row>
    <row r="575" spans="1:8" ht="15" customHeight="1">
      <c r="A575" s="680" t="s">
        <v>3407</v>
      </c>
      <c r="B575" s="680" t="s">
        <v>1401</v>
      </c>
      <c r="C575" s="681" t="s">
        <v>198</v>
      </c>
      <c r="D575" s="681" t="s">
        <v>216</v>
      </c>
      <c r="E575" s="682" t="s">
        <v>303</v>
      </c>
      <c r="F575" s="683"/>
      <c r="G575" s="684" t="str">
        <f>+VLOOKUP([1]Data_Validation!$A525,[1]BV_Data_An_Cour!$L:$Q,6,0)</f>
        <v>7-Dépenses</v>
      </c>
      <c r="H575" s="3"/>
    </row>
    <row r="576" spans="1:8" ht="15" customHeight="1">
      <c r="A576" s="700" t="s">
        <v>2753</v>
      </c>
      <c r="B576" s="697" t="s">
        <v>1289</v>
      </c>
      <c r="C576" s="695" t="s">
        <v>92</v>
      </c>
      <c r="D576" s="681" t="s">
        <v>148</v>
      </c>
      <c r="E576" s="682" t="s">
        <v>303</v>
      </c>
      <c r="F576" s="683"/>
      <c r="G576" s="684" t="str">
        <f>+VLOOKUP([1]Data_Validation!$A526,[1]BV_Data_An_Cour!$L:$Q,6,0)</f>
        <v>7-Dépenses</v>
      </c>
      <c r="H576" s="3"/>
    </row>
    <row r="577" spans="1:11" ht="15" customHeight="1">
      <c r="A577" s="700" t="s">
        <v>1291</v>
      </c>
      <c r="B577" s="697" t="s">
        <v>1290</v>
      </c>
      <c r="C577" s="695" t="s">
        <v>180</v>
      </c>
      <c r="D577" s="681" t="s">
        <v>188</v>
      </c>
      <c r="E577" s="682" t="s">
        <v>303</v>
      </c>
      <c r="F577" s="683"/>
      <c r="G577" s="684" t="str">
        <f>+VLOOKUP([1]Data_Validation!$A527,[1]BV_Data_An_Cour!$L:$Q,6,0)</f>
        <v>7-Dépenses</v>
      </c>
      <c r="H577" s="3"/>
      <c r="K577" s="3"/>
    </row>
    <row r="578" spans="1:11" ht="15" customHeight="1">
      <c r="A578" s="692" t="s">
        <v>2758</v>
      </c>
      <c r="B578" s="687" t="s">
        <v>1402</v>
      </c>
      <c r="C578" s="681" t="s">
        <v>92</v>
      </c>
      <c r="D578" s="681" t="s">
        <v>145</v>
      </c>
      <c r="E578" s="682" t="s">
        <v>303</v>
      </c>
      <c r="F578" s="683"/>
      <c r="G578" s="684" t="str">
        <f>+VLOOKUP([1]Data_Validation!$A528,[1]BV_Data_An_Cour!$L:$Q,6,0)</f>
        <v>7-Dépenses</v>
      </c>
      <c r="H578" s="3"/>
    </row>
    <row r="579" spans="1:11" ht="15" customHeight="1">
      <c r="A579" s="700" t="s">
        <v>1293</v>
      </c>
      <c r="B579" s="707" t="s">
        <v>1292</v>
      </c>
      <c r="C579" s="681" t="s">
        <v>92</v>
      </c>
      <c r="D579" s="681" t="s">
        <v>105</v>
      </c>
      <c r="E579" s="682" t="s">
        <v>303</v>
      </c>
      <c r="F579" s="683" t="s">
        <v>1370</v>
      </c>
      <c r="G579" s="684" t="str">
        <f>+VLOOKUP([1]Data_Validation!$A529,[1]BV_Data_An_Cour!$L:$Q,6,0)</f>
        <v>7-Dépenses</v>
      </c>
      <c r="H579" s="3"/>
    </row>
    <row r="580" spans="1:11" ht="15" customHeight="1">
      <c r="A580" s="701" t="s">
        <v>1295</v>
      </c>
      <c r="B580" s="1042" t="s">
        <v>1294</v>
      </c>
      <c r="C580" s="695" t="s">
        <v>92</v>
      </c>
      <c r="D580" s="681"/>
      <c r="E580" s="688" t="s">
        <v>341</v>
      </c>
      <c r="F580" s="683"/>
      <c r="G580" s="684" t="str">
        <f>+VLOOKUP([1]Data_Validation!$A595,[1]BV_Data_An_Cour!$L:$Q,6,0)</f>
        <v>8-Autres revenus</v>
      </c>
      <c r="H580" s="3"/>
    </row>
    <row r="581" spans="1:11" ht="15" customHeight="1">
      <c r="A581" s="692" t="s">
        <v>1297</v>
      </c>
      <c r="B581" s="697" t="s">
        <v>1296</v>
      </c>
      <c r="C581" s="695" t="s">
        <v>152</v>
      </c>
      <c r="D581" s="681" t="s">
        <v>105</v>
      </c>
      <c r="E581" s="682" t="s">
        <v>303</v>
      </c>
      <c r="F581" s="683" t="s">
        <v>1370</v>
      </c>
      <c r="G581" s="684" t="str">
        <f>+VLOOKUP([1]Data_Validation!$A530,[1]BV_Data_An_Cour!$L:$Q,6,0)</f>
        <v>7-Dépenses</v>
      </c>
      <c r="H581" s="3"/>
    </row>
    <row r="582" spans="1:11" ht="15" customHeight="1">
      <c r="A582" s="1038" t="s">
        <v>1298</v>
      </c>
      <c r="B582" s="1038" t="s">
        <v>1296</v>
      </c>
      <c r="C582" s="681" t="s">
        <v>152</v>
      </c>
      <c r="D582" s="681"/>
      <c r="E582" s="688" t="s">
        <v>341</v>
      </c>
      <c r="F582" s="683"/>
      <c r="G582" s="684" t="str">
        <f>+VLOOKUP([1]Data_Validation!$A596,[1]BV_Data_An_Cour!$L:$Q,6,0)</f>
        <v>8-Autres revenus</v>
      </c>
      <c r="H582" s="3"/>
    </row>
    <row r="583" spans="1:11" ht="15" customHeight="1">
      <c r="A583" s="692" t="s">
        <v>2765</v>
      </c>
      <c r="B583" s="687" t="s">
        <v>1299</v>
      </c>
      <c r="C583" s="681" t="s">
        <v>92</v>
      </c>
      <c r="D583" s="681" t="s">
        <v>107</v>
      </c>
      <c r="E583" s="682" t="s">
        <v>303</v>
      </c>
      <c r="F583" s="683" t="s">
        <v>1370</v>
      </c>
      <c r="G583" s="684" t="e">
        <f>+VLOOKUP([1]Data_Validation!$A531,[1]BV_Data_An_Cour!$L:$Q,6,0)</f>
        <v>#N/A</v>
      </c>
      <c r="H583" s="3"/>
    </row>
    <row r="584" spans="1:11" ht="15" customHeight="1">
      <c r="A584" s="692" t="s">
        <v>2768</v>
      </c>
      <c r="B584" s="687" t="s">
        <v>1300</v>
      </c>
      <c r="C584" s="681" t="s">
        <v>152</v>
      </c>
      <c r="D584" s="681" t="s">
        <v>107</v>
      </c>
      <c r="E584" s="682" t="s">
        <v>303</v>
      </c>
      <c r="F584" s="683" t="s">
        <v>1370</v>
      </c>
      <c r="G584" s="684" t="e">
        <f>+VLOOKUP([1]Data_Validation!$A532,[1]BV_Data_An_Cour!$L:$Q,6,0)</f>
        <v>#N/A</v>
      </c>
      <c r="H584" s="3"/>
    </row>
    <row r="585" spans="1:11" ht="15" customHeight="1">
      <c r="A585" s="1038" t="s">
        <v>1302</v>
      </c>
      <c r="B585" s="1038" t="s">
        <v>1301</v>
      </c>
      <c r="C585" s="681" t="s">
        <v>152</v>
      </c>
      <c r="D585" s="681"/>
      <c r="E585" s="688" t="s">
        <v>341</v>
      </c>
      <c r="F585" s="683"/>
      <c r="G585" s="684" t="e">
        <f>+VLOOKUP([1]Data_Validation!$A597,[1]BV_Data_An_Cour!$L:$Q,6,0)</f>
        <v>#N/A</v>
      </c>
      <c r="H585" s="3"/>
    </row>
    <row r="586" spans="1:11" ht="15" customHeight="1">
      <c r="A586" s="692" t="s">
        <v>2771</v>
      </c>
      <c r="B586" s="687" t="s">
        <v>1303</v>
      </c>
      <c r="C586" s="681" t="s">
        <v>92</v>
      </c>
      <c r="D586" s="681" t="s">
        <v>106</v>
      </c>
      <c r="E586" s="682" t="s">
        <v>303</v>
      </c>
      <c r="F586" s="683" t="s">
        <v>1370</v>
      </c>
      <c r="G586" s="684" t="str">
        <f>+VLOOKUP([1]Data_Validation!$A533,[1]BV_Data_An_Cour!$L:$Q,6,0)</f>
        <v>1-Mémo</v>
      </c>
      <c r="H586" s="3"/>
    </row>
    <row r="587" spans="1:11" ht="15" customHeight="1">
      <c r="A587" s="701" t="s">
        <v>3350</v>
      </c>
      <c r="B587" s="1040" t="s">
        <v>3349</v>
      </c>
      <c r="C587" s="681"/>
      <c r="D587" s="681"/>
      <c r="E587" s="688" t="s">
        <v>341</v>
      </c>
      <c r="F587" s="683"/>
      <c r="G587" s="684" t="e">
        <f>+VLOOKUP([1]Data_Validation!$A598,[1]BV_Data_An_Cour!$L:$Q,6,0)</f>
        <v>#N/A</v>
      </c>
      <c r="H587" s="3"/>
    </row>
    <row r="588" spans="1:11" ht="15" customHeight="1">
      <c r="A588" s="700" t="s">
        <v>2774</v>
      </c>
      <c r="B588" s="681" t="s">
        <v>1304</v>
      </c>
      <c r="C588" s="681" t="s">
        <v>92</v>
      </c>
      <c r="D588" s="681" t="s">
        <v>106</v>
      </c>
      <c r="E588" s="682" t="s">
        <v>303</v>
      </c>
      <c r="F588" s="683" t="s">
        <v>1370</v>
      </c>
      <c r="G588" s="684" t="str">
        <f>+VLOOKUP([1]Data_Validation!$A534,[1]BV_Data_An_Cour!$L:$Q,6,0)</f>
        <v>1-Mémo</v>
      </c>
      <c r="H588" s="3"/>
    </row>
    <row r="589" spans="1:11" ht="15" customHeight="1">
      <c r="A589" s="701" t="s">
        <v>3352</v>
      </c>
      <c r="B589" s="1040" t="s">
        <v>3351</v>
      </c>
      <c r="C589" s="681" t="s">
        <v>92</v>
      </c>
      <c r="D589" s="681"/>
      <c r="E589" s="688" t="s">
        <v>341</v>
      </c>
      <c r="F589" s="683"/>
      <c r="G589" s="684" t="e">
        <f>+VLOOKUP([1]Data_Validation!$A599,[1]BV_Data_An_Cour!$L:$Q,6,0)</f>
        <v>#N/A</v>
      </c>
      <c r="H589" s="3"/>
    </row>
    <row r="590" spans="1:11" ht="15" customHeight="1">
      <c r="A590" s="700" t="s">
        <v>2777</v>
      </c>
      <c r="B590" s="681" t="s">
        <v>1305</v>
      </c>
      <c r="C590" s="681" t="s">
        <v>152</v>
      </c>
      <c r="D590" s="681" t="s">
        <v>106</v>
      </c>
      <c r="E590" s="682" t="s">
        <v>303</v>
      </c>
      <c r="F590" s="683" t="s">
        <v>1370</v>
      </c>
      <c r="G590" s="684" t="str">
        <f>+VLOOKUP([1]Data_Validation!$A535,[1]BV_Data_An_Cour!$L:$Q,6,0)</f>
        <v>1-Mémo</v>
      </c>
      <c r="H590" s="3"/>
      <c r="K590" s="3"/>
    </row>
    <row r="591" spans="1:11" ht="15" customHeight="1">
      <c r="A591" s="701" t="s">
        <v>1307</v>
      </c>
      <c r="B591" s="701" t="s">
        <v>1306</v>
      </c>
      <c r="C591" s="681" t="s">
        <v>152</v>
      </c>
      <c r="D591" s="681"/>
      <c r="E591" s="688" t="s">
        <v>341</v>
      </c>
      <c r="F591" s="683"/>
      <c r="G591" s="684" t="e">
        <f>+VLOOKUP([1]Data_Validation!$A600,[1]BV_Data_An_Cour!$L:$Q,6,0)</f>
        <v>#N/A</v>
      </c>
      <c r="H591" s="3"/>
    </row>
    <row r="592" spans="1:11" ht="15" customHeight="1">
      <c r="A592" s="700" t="s">
        <v>2780</v>
      </c>
      <c r="B592" s="681" t="s">
        <v>1308</v>
      </c>
      <c r="C592" s="681" t="s">
        <v>152</v>
      </c>
      <c r="D592" s="681" t="s">
        <v>106</v>
      </c>
      <c r="E592" s="682" t="s">
        <v>303</v>
      </c>
      <c r="F592" s="683" t="s">
        <v>1370</v>
      </c>
      <c r="G592" s="684" t="str">
        <f>+VLOOKUP([1]Data_Validation!$A536,[1]BV_Data_An_Cour!$L:$Q,6,0)</f>
        <v>1-Mémo</v>
      </c>
      <c r="H592" s="3"/>
    </row>
    <row r="593" spans="1:8" ht="15" customHeight="1">
      <c r="A593" s="701" t="s">
        <v>1310</v>
      </c>
      <c r="B593" s="701" t="s">
        <v>1309</v>
      </c>
      <c r="C593" s="681" t="s">
        <v>152</v>
      </c>
      <c r="D593" s="681"/>
      <c r="E593" s="688" t="s">
        <v>341</v>
      </c>
      <c r="F593" s="683"/>
      <c r="G593" s="684" t="e">
        <f>+VLOOKUP([1]Data_Validation!$A602,[1]BV_Data_An_Cour!$L:$Q,6,0)</f>
        <v>#N/A</v>
      </c>
      <c r="H593" s="3"/>
    </row>
    <row r="594" spans="1:8" ht="15" customHeight="1">
      <c r="A594" s="700" t="s">
        <v>2783</v>
      </c>
      <c r="B594" s="681" t="s">
        <v>1403</v>
      </c>
      <c r="C594" s="681" t="s">
        <v>92</v>
      </c>
      <c r="D594" s="681" t="s">
        <v>149</v>
      </c>
      <c r="E594" s="682" t="s">
        <v>303</v>
      </c>
      <c r="F594" s="683"/>
      <c r="G594" s="684" t="str">
        <f>+VLOOKUP([1]Data_Validation!$A537,[1]BV_Data_An_Cour!$L:$Q,6,0)</f>
        <v>7-Dépenses</v>
      </c>
      <c r="H594" s="3"/>
    </row>
    <row r="595" spans="1:8" ht="15" customHeight="1">
      <c r="A595" s="700" t="s">
        <v>3408</v>
      </c>
      <c r="B595" s="681" t="s">
        <v>1404</v>
      </c>
      <c r="C595" s="681" t="s">
        <v>152</v>
      </c>
      <c r="D595" s="681" t="s">
        <v>149</v>
      </c>
      <c r="E595" s="682" t="s">
        <v>303</v>
      </c>
      <c r="F595" s="683"/>
      <c r="G595" s="684" t="str">
        <f>+VLOOKUP([1]Data_Validation!$A538,[1]BV_Data_An_Cour!$L:$Q,6,0)</f>
        <v>7-Dépenses</v>
      </c>
      <c r="H595" s="3"/>
    </row>
    <row r="596" spans="1:8" ht="15" customHeight="1">
      <c r="A596" s="700" t="s">
        <v>1312</v>
      </c>
      <c r="B596" s="681" t="s">
        <v>1314</v>
      </c>
      <c r="C596" s="681" t="s">
        <v>198</v>
      </c>
      <c r="D596" s="681" t="s">
        <v>216</v>
      </c>
      <c r="E596" s="682" t="s">
        <v>303</v>
      </c>
      <c r="F596" s="683"/>
      <c r="G596" s="684" t="str">
        <f>+VLOOKUP([1]Data_Validation!$A539,[1]BV_Data_An_Cour!$L:$Q,6,0)</f>
        <v>7-Dépenses</v>
      </c>
      <c r="H596" s="3"/>
    </row>
    <row r="597" spans="1:8" ht="15" customHeight="1">
      <c r="A597" s="700" t="s">
        <v>3409</v>
      </c>
      <c r="B597" s="681" t="s">
        <v>1405</v>
      </c>
      <c r="C597" s="681" t="s">
        <v>198</v>
      </c>
      <c r="D597" s="681" t="s">
        <v>216</v>
      </c>
      <c r="E597" s="682" t="s">
        <v>303</v>
      </c>
      <c r="F597" s="683"/>
      <c r="G597" s="682" t="str">
        <f>+VLOOKUP([1]Data_Validation!$A540,[1]BV_Data_An_Cour!$L:$Q,6,0)</f>
        <v>7-Dépenses</v>
      </c>
      <c r="H597" s="3"/>
    </row>
    <row r="598" spans="1:8" ht="15" customHeight="1">
      <c r="A598" s="700" t="s">
        <v>1317</v>
      </c>
      <c r="B598" s="1041" t="s">
        <v>1315</v>
      </c>
      <c r="C598" s="681" t="s">
        <v>198</v>
      </c>
      <c r="D598" s="681" t="s">
        <v>223</v>
      </c>
      <c r="E598" s="682" t="s">
        <v>303</v>
      </c>
      <c r="F598" s="683"/>
      <c r="G598" s="684" t="str">
        <f>+VLOOKUP([1]Data_Validation!$A541,[1]BV_Data_An_Cour!$L:$Q,6,0)</f>
        <v>7-Dépenses</v>
      </c>
      <c r="H598" s="3"/>
    </row>
    <row r="599" spans="1:8" ht="15" customHeight="1">
      <c r="A599" s="700" t="s">
        <v>2790</v>
      </c>
      <c r="B599" s="1041" t="s">
        <v>1406</v>
      </c>
      <c r="C599" s="681" t="s">
        <v>198</v>
      </c>
      <c r="D599" s="681" t="s">
        <v>222</v>
      </c>
      <c r="E599" s="682" t="s">
        <v>303</v>
      </c>
      <c r="F599" s="683"/>
      <c r="G599" s="682" t="str">
        <f>+VLOOKUP([1]Data_Validation!$A542,[1]BV_Data_An_Cour!$L:$Q,6,0)</f>
        <v>7-Dépenses</v>
      </c>
      <c r="H599" s="3"/>
    </row>
    <row r="600" spans="1:8" ht="15" customHeight="1">
      <c r="A600" s="700" t="s">
        <v>2793</v>
      </c>
      <c r="B600" s="681" t="s">
        <v>1318</v>
      </c>
      <c r="C600" s="681" t="s">
        <v>198</v>
      </c>
      <c r="D600" s="681" t="s">
        <v>223</v>
      </c>
      <c r="E600" s="682" t="s">
        <v>303</v>
      </c>
      <c r="F600" s="683"/>
      <c r="G600" s="684" t="str">
        <f>+VLOOKUP([1]Data_Validation!$A543,[1]BV_Data_An_Cour!$L:$Q,6,0)</f>
        <v>7-Dépenses</v>
      </c>
      <c r="H600" s="3"/>
    </row>
    <row r="601" spans="1:8" ht="15" customHeight="1">
      <c r="A601" s="700" t="s">
        <v>3904</v>
      </c>
      <c r="B601" s="681" t="s">
        <v>3903</v>
      </c>
      <c r="C601" s="681" t="s">
        <v>1327</v>
      </c>
      <c r="D601" s="681" t="s">
        <v>3869</v>
      </c>
      <c r="E601" s="682" t="s">
        <v>303</v>
      </c>
      <c r="F601" s="683"/>
      <c r="G601" s="684" t="str">
        <f>+VLOOKUP([1]Data_Validation!$A544,[1]BV_Data_An_Cour!$L:$Q,6,0)</f>
        <v>7-Dépenses</v>
      </c>
      <c r="H601" s="3"/>
    </row>
    <row r="602" spans="1:8" ht="15" customHeight="1">
      <c r="A602" s="700" t="s">
        <v>2796</v>
      </c>
      <c r="B602" s="681" t="s">
        <v>1407</v>
      </c>
      <c r="C602" s="681" t="s">
        <v>198</v>
      </c>
      <c r="D602" s="681" t="s">
        <v>142</v>
      </c>
      <c r="E602" s="682" t="s">
        <v>303</v>
      </c>
      <c r="F602" s="683"/>
      <c r="G602" s="682" t="str">
        <f>+VLOOKUP([1]Data_Validation!$A544,[1]BV_Data_An_Cour!$L:$Q,6,0)</f>
        <v>7-Dépenses</v>
      </c>
      <c r="H602" s="3"/>
    </row>
    <row r="603" spans="1:8" ht="15" customHeight="1">
      <c r="A603" s="692" t="s">
        <v>3558</v>
      </c>
      <c r="B603" s="687" t="s">
        <v>3557</v>
      </c>
      <c r="C603" s="681" t="s">
        <v>161</v>
      </c>
      <c r="D603" s="681" t="s">
        <v>140</v>
      </c>
      <c r="E603" s="682" t="s">
        <v>303</v>
      </c>
      <c r="F603" s="682"/>
      <c r="G603" s="684" t="str">
        <f>+VLOOKUP([1]Data_Validation!$A566,[1]BV_Data_An_Cour!$L:$Q,6,0)</f>
        <v>7-Dépenses</v>
      </c>
      <c r="H603" s="3"/>
    </row>
    <row r="604" spans="1:8" ht="15" customHeight="1">
      <c r="A604" s="1183" t="s">
        <v>3935</v>
      </c>
      <c r="B604" s="1184" t="s">
        <v>3934</v>
      </c>
      <c r="C604" s="681" t="s">
        <v>152</v>
      </c>
      <c r="D604" s="681" t="s">
        <v>153</v>
      </c>
      <c r="E604" s="682" t="s">
        <v>303</v>
      </c>
      <c r="F604" s="683"/>
      <c r="G604" s="682" t="str">
        <f>+VLOOKUP([1]Data_Validation!$A604,[1]BV_Data_An_Cour!$L:$Q,6,0)</f>
        <v>6-Coût des ventes</v>
      </c>
      <c r="H604" s="3"/>
    </row>
    <row r="605" spans="1:8" ht="15" customHeight="1">
      <c r="A605" s="1185" t="s">
        <v>3937</v>
      </c>
      <c r="B605" s="1184" t="s">
        <v>1399</v>
      </c>
      <c r="C605" s="681" t="s">
        <v>176</v>
      </c>
      <c r="D605" s="681" t="s">
        <v>130</v>
      </c>
      <c r="E605" s="682" t="s">
        <v>303</v>
      </c>
      <c r="F605" s="683"/>
      <c r="G605" s="682" t="str">
        <f>+VLOOKUP([1]Data_Validation!$A605,[1]BV_Data_An_Cour!$L:$Q,6,0)</f>
        <v>7-Dépenses</v>
      </c>
      <c r="H605" s="3"/>
    </row>
    <row r="606" spans="1:8" ht="15" customHeight="1">
      <c r="A606" s="687"/>
      <c r="B606" s="687"/>
      <c r="C606" s="681"/>
      <c r="D606" s="681"/>
      <c r="E606" s="682"/>
      <c r="F606" s="683"/>
      <c r="G606" s="682" t="e">
        <f>+VLOOKUP([1]Data_Validation!$A606,[1]BV_Data_An_Cour!$L:$Q,6,0)</f>
        <v>#N/A</v>
      </c>
      <c r="H606" s="3"/>
    </row>
    <row r="607" spans="1:8" ht="15" customHeight="1">
      <c r="A607" s="679"/>
      <c r="B607" s="690"/>
      <c r="C607" s="681"/>
      <c r="D607" s="681"/>
      <c r="E607" s="682"/>
      <c r="F607" s="683"/>
      <c r="G607" s="682" t="e">
        <f>+VLOOKUP([1]Data_Validation!$A607,[1]BV_Data_An_Cour!$L:$Q,6,0)</f>
        <v>#N/A</v>
      </c>
      <c r="H607" s="3"/>
    </row>
    <row r="608" spans="1:8" ht="15" customHeight="1">
      <c r="A608" s="687"/>
      <c r="B608" s="687"/>
      <c r="C608" s="681"/>
      <c r="D608" s="681"/>
      <c r="E608" s="682"/>
      <c r="F608" s="683"/>
      <c r="G608" s="682" t="e">
        <f>+VLOOKUP([1]Data_Validation!$A608,[1]BV_Data_An_Cour!$L:$Q,6,0)</f>
        <v>#N/A</v>
      </c>
      <c r="H608" s="3"/>
    </row>
    <row r="609" spans="1:8" ht="15" customHeight="1">
      <c r="A609" s="687"/>
      <c r="B609" s="687"/>
      <c r="C609" s="681"/>
      <c r="D609" s="681"/>
      <c r="E609" s="682"/>
      <c r="F609" s="683"/>
      <c r="G609" s="682" t="e">
        <f>+VLOOKUP([1]Data_Validation!$A609,[1]BV_Data_An_Cour!$L:$Q,6,0)</f>
        <v>#N/A</v>
      </c>
      <c r="H609" s="3"/>
    </row>
    <row r="610" spans="1:8" ht="15" customHeight="1">
      <c r="A610" s="692"/>
      <c r="B610" s="687"/>
      <c r="C610" s="681"/>
      <c r="D610" s="681"/>
      <c r="E610" s="682"/>
      <c r="F610" s="683"/>
      <c r="G610" s="682" t="e">
        <f>+VLOOKUP([1]Data_Validation!$A610,[1]BV_Data_An_Cour!$L:$Q,6,0)</f>
        <v>#N/A</v>
      </c>
      <c r="H610" s="3"/>
    </row>
    <row r="611" spans="1:8" ht="15" customHeight="1">
      <c r="A611" s="679"/>
      <c r="B611" s="690"/>
      <c r="C611" s="681"/>
      <c r="D611" s="681"/>
      <c r="E611" s="682"/>
      <c r="F611" s="683"/>
      <c r="G611" s="682" t="e">
        <f>+VLOOKUP([1]Data_Validation!$A611,[1]BV_Data_An_Cour!$L:$Q,6,0)</f>
        <v>#N/A</v>
      </c>
      <c r="H611" s="3"/>
    </row>
    <row r="612" spans="1:8" ht="15" customHeight="1">
      <c r="A612" s="691"/>
      <c r="B612" s="680"/>
      <c r="C612" s="681"/>
      <c r="D612" s="681"/>
      <c r="E612" s="682"/>
      <c r="F612" s="683"/>
      <c r="G612" s="682" t="e">
        <f>+VLOOKUP([1]Data_Validation!$A612,[1]BV_Data_An_Cour!$L:$Q,6,0)</f>
        <v>#N/A</v>
      </c>
      <c r="H612" s="3"/>
    </row>
    <row r="613" spans="1:8" ht="15" customHeight="1">
      <c r="A613" s="691"/>
      <c r="B613" s="680"/>
      <c r="C613" s="681"/>
      <c r="D613" s="681"/>
      <c r="E613" s="682"/>
      <c r="F613" s="683"/>
      <c r="G613" s="682" t="e">
        <f>+VLOOKUP([1]Data_Validation!$A613,[1]BV_Data_An_Cour!$L:$Q,6,0)</f>
        <v>#N/A</v>
      </c>
      <c r="H613" s="3"/>
    </row>
    <row r="614" spans="1:8" ht="15" customHeight="1">
      <c r="A614" s="679"/>
      <c r="B614" s="687"/>
      <c r="C614" s="681"/>
      <c r="D614" s="681"/>
      <c r="E614" s="682"/>
      <c r="F614" s="683"/>
      <c r="G614" s="682" t="e">
        <f>+VLOOKUP([1]Data_Validation!$A614,[1]BV_Data_An_Cour!$L:$Q,6,0)</f>
        <v>#N/A</v>
      </c>
      <c r="H614" s="3"/>
    </row>
    <row r="615" spans="1:8" ht="15" customHeight="1">
      <c r="A615" s="692"/>
      <c r="B615" s="687"/>
      <c r="C615" s="681"/>
      <c r="D615" s="681"/>
      <c r="E615" s="682"/>
      <c r="F615" s="683"/>
      <c r="G615" s="682" t="e">
        <f>+VLOOKUP([1]Data_Validation!$A615,[1]BV_Data_An_Cour!$L:$Q,6,0)</f>
        <v>#N/A</v>
      </c>
      <c r="H615" s="3"/>
    </row>
    <row r="616" spans="1:8" ht="15" customHeight="1">
      <c r="A616" s="692"/>
      <c r="B616" s="687"/>
      <c r="C616" s="681"/>
      <c r="D616" s="681"/>
      <c r="E616" s="682"/>
      <c r="F616" s="683"/>
      <c r="G616" s="682" t="e">
        <f>+VLOOKUP([1]Data_Validation!$A616,[1]BV_Data_An_Cour!$L:$Q,6,0)</f>
        <v>#N/A</v>
      </c>
      <c r="H616" s="3"/>
    </row>
    <row r="617" spans="1:8" ht="15" customHeight="1">
      <c r="A617" s="692"/>
      <c r="B617" s="687"/>
      <c r="C617" s="681"/>
      <c r="D617" s="681"/>
      <c r="E617" s="682"/>
      <c r="F617" s="683"/>
      <c r="G617" s="682" t="e">
        <f>+VLOOKUP([1]Data_Validation!$A617,[1]BV_Data_An_Cour!$L:$Q,6,0)</f>
        <v>#N/A</v>
      </c>
      <c r="H617" s="3"/>
    </row>
    <row r="618" spans="1:8" ht="15" customHeight="1">
      <c r="A618" s="692"/>
      <c r="B618" s="687"/>
      <c r="C618" s="681"/>
      <c r="D618" s="681"/>
      <c r="E618" s="682"/>
      <c r="F618" s="683"/>
      <c r="G618" s="682" t="e">
        <f>+VLOOKUP([1]Data_Validation!$A618,[1]BV_Data_An_Cour!$L:$Q,6,0)</f>
        <v>#N/A</v>
      </c>
      <c r="H618" s="3"/>
    </row>
    <row r="619" spans="1:8" ht="15" customHeight="1">
      <c r="A619" s="679"/>
      <c r="B619" s="690"/>
      <c r="C619" s="681"/>
      <c r="D619" s="681"/>
      <c r="E619" s="682"/>
      <c r="F619" s="683"/>
      <c r="G619" s="682" t="e">
        <f>+VLOOKUP([1]Data_Validation!$A619,[1]BV_Data_An_Cour!$L:$Q,6,0)</f>
        <v>#N/A</v>
      </c>
      <c r="H619" s="3"/>
    </row>
    <row r="620" spans="1:8" ht="15" customHeight="1">
      <c r="A620" s="679"/>
      <c r="B620" s="690"/>
      <c r="C620" s="681"/>
      <c r="D620" s="681"/>
      <c r="E620" s="682"/>
      <c r="F620" s="683"/>
      <c r="G620" s="682" t="e">
        <f>+VLOOKUP([1]Data_Validation!$A620,[1]BV_Data_An_Cour!$L:$Q,6,0)</f>
        <v>#N/A</v>
      </c>
      <c r="H620" s="3"/>
    </row>
    <row r="621" spans="1:8" ht="15" customHeight="1">
      <c r="A621" s="679"/>
      <c r="B621" s="690"/>
      <c r="C621" s="681"/>
      <c r="D621" s="681"/>
      <c r="E621" s="682"/>
      <c r="F621" s="683"/>
      <c r="G621" s="682" t="e">
        <f>+VLOOKUP([1]Data_Validation!$A621,[1]BV_Data_An_Cour!$L:$Q,6,0)</f>
        <v>#N/A</v>
      </c>
      <c r="H621" s="3"/>
    </row>
    <row r="622" spans="1:8" ht="15" customHeight="1">
      <c r="A622" s="693"/>
      <c r="B622" s="702"/>
      <c r="C622" s="681"/>
      <c r="D622" s="681"/>
      <c r="E622" s="682"/>
      <c r="F622" s="683"/>
      <c r="G622" s="682" t="e">
        <f>+VLOOKUP([1]Data_Validation!$A622,[1]BV_Data_An_Cour!$L:$Q,6,0)</f>
        <v>#N/A</v>
      </c>
      <c r="H622" s="3"/>
    </row>
    <row r="623" spans="1:8" ht="15" customHeight="1">
      <c r="A623" s="679"/>
      <c r="B623" s="690"/>
      <c r="C623" s="681"/>
      <c r="D623" s="681"/>
      <c r="E623" s="682"/>
      <c r="F623" s="683"/>
      <c r="G623" s="682" t="e">
        <f>+VLOOKUP([1]Data_Validation!$A623,[1]BV_Data_An_Cour!$L:$Q,6,0)</f>
        <v>#N/A</v>
      </c>
      <c r="H623" s="3"/>
    </row>
    <row r="624" spans="1:8" ht="15" customHeight="1">
      <c r="A624" s="679"/>
      <c r="B624" s="690"/>
      <c r="C624" s="681"/>
      <c r="D624" s="681"/>
      <c r="E624" s="682"/>
      <c r="F624" s="683"/>
      <c r="G624" s="682" t="e">
        <f>+VLOOKUP([1]Data_Validation!$A624,[1]BV_Data_An_Cour!$L:$Q,6,0)</f>
        <v>#N/A</v>
      </c>
      <c r="H624" s="3"/>
    </row>
    <row r="625" spans="1:29" ht="15" customHeight="1">
      <c r="A625" s="679"/>
      <c r="B625" s="690"/>
      <c r="C625" s="681"/>
      <c r="D625" s="681"/>
      <c r="E625" s="682"/>
      <c r="F625" s="683"/>
      <c r="G625" s="682" t="e">
        <f>+VLOOKUP([1]Data_Validation!$A625,[1]BV_Data_An_Cour!$L:$Q,6,0)</f>
        <v>#N/A</v>
      </c>
      <c r="H625" s="3"/>
    </row>
    <row r="626" spans="1:29" ht="15" customHeight="1">
      <c r="A626" s="679"/>
      <c r="B626" s="690"/>
      <c r="C626" s="681"/>
      <c r="D626" s="681"/>
      <c r="E626" s="682"/>
      <c r="F626" s="683"/>
      <c r="G626" s="682"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90"/>
      <c r="B627" s="690"/>
      <c r="C627" s="681"/>
      <c r="D627" s="681"/>
      <c r="E627" s="682"/>
      <c r="F627" s="683"/>
      <c r="G627" s="682" t="e">
        <f>+VLOOKUP([1]Data_Validation!$A627,[1]BV_Data_An_Cour!$L:$Q,6,0)</f>
        <v>#N/A</v>
      </c>
      <c r="H627" s="3"/>
    </row>
    <row r="628" spans="1:29" ht="15" customHeight="1">
      <c r="A628" s="690"/>
      <c r="B628" s="690"/>
      <c r="C628" s="681"/>
      <c r="D628" s="681"/>
      <c r="E628" s="682"/>
      <c r="F628" s="683"/>
      <c r="G628" s="682" t="e">
        <f>+VLOOKUP([1]Data_Validation!$A628,[1]BV_Data_An_Cour!$L:$Q,6,0)</f>
        <v>#N/A</v>
      </c>
      <c r="H628" s="3"/>
    </row>
    <row r="629" spans="1:29" ht="15" customHeight="1">
      <c r="A629" s="679"/>
      <c r="B629" s="690"/>
      <c r="C629" s="681"/>
      <c r="D629" s="681"/>
      <c r="E629" s="682"/>
      <c r="F629" s="683"/>
      <c r="G629" s="682" t="e">
        <f>+VLOOKUP([1]Data_Validation!$A629,[1]BV_Data_An_Cour!$L:$Q,6,0)</f>
        <v>#N/A</v>
      </c>
      <c r="H629" s="3"/>
    </row>
    <row r="630" spans="1:29" ht="15" customHeight="1">
      <c r="A630" s="679"/>
      <c r="B630" s="690"/>
      <c r="C630" s="681"/>
      <c r="D630" s="681"/>
      <c r="E630" s="682"/>
      <c r="F630" s="683"/>
      <c r="G630" s="682" t="e">
        <f>+VLOOKUP([1]Data_Validation!$A630,[1]BV_Data_An_Cour!$L:$Q,6,0)</f>
        <v>#N/A</v>
      </c>
      <c r="H630" s="3"/>
    </row>
    <row r="631" spans="1:29" ht="15" customHeight="1">
      <c r="A631" s="679"/>
      <c r="B631" s="690"/>
      <c r="C631" s="681"/>
      <c r="D631" s="681"/>
      <c r="E631" s="682"/>
      <c r="F631" s="683"/>
      <c r="G631" s="682" t="e">
        <f>+VLOOKUP([1]Data_Validation!$A631,[1]BV_Data_An_Cour!$L:$Q,6,0)</f>
        <v>#N/A</v>
      </c>
      <c r="H631" s="3"/>
    </row>
    <row r="632" spans="1:29" ht="15" customHeight="1">
      <c r="A632" s="679"/>
      <c r="B632" s="690"/>
      <c r="C632" s="681"/>
      <c r="D632" s="681"/>
      <c r="E632" s="682"/>
      <c r="F632" s="683"/>
      <c r="G632" s="682" t="e">
        <f>+VLOOKUP([1]Data_Validation!$A632,[1]BV_Data_An_Cour!$L:$Q,6,0)</f>
        <v>#N/A</v>
      </c>
      <c r="H632" s="3"/>
    </row>
    <row r="633" spans="1:29" ht="15" customHeight="1">
      <c r="A633" s="679"/>
      <c r="B633" s="690"/>
      <c r="C633" s="681"/>
      <c r="D633" s="681"/>
      <c r="E633" s="682"/>
      <c r="F633" s="683"/>
      <c r="G633" s="682" t="e">
        <f>+VLOOKUP([1]Data_Validation!$A633,[1]BV_Data_An_Cour!$L:$Q,6,0)</f>
        <v>#N/A</v>
      </c>
      <c r="H633" s="3"/>
      <c r="K633" s="3"/>
    </row>
    <row r="634" spans="1:29" ht="15" customHeight="1">
      <c r="A634" s="679"/>
      <c r="B634" s="690"/>
      <c r="C634" s="681"/>
      <c r="D634" s="681"/>
      <c r="E634" s="682"/>
      <c r="F634" s="683"/>
      <c r="G634" s="682" t="e">
        <f>+VLOOKUP([1]Data_Validation!$A634,[1]BV_Data_An_Cour!$L:$Q,6,0)</f>
        <v>#N/A</v>
      </c>
      <c r="H634" s="3"/>
    </row>
    <row r="635" spans="1:29" ht="15" customHeight="1">
      <c r="A635" s="679"/>
      <c r="B635" s="690"/>
      <c r="C635" s="681"/>
      <c r="D635" s="681"/>
      <c r="E635" s="682"/>
      <c r="F635" s="683"/>
      <c r="G635" s="682" t="e">
        <f>+VLOOKUP([1]Data_Validation!$A635,[1]BV_Data_An_Cour!$L:$Q,6,0)</f>
        <v>#N/A</v>
      </c>
      <c r="H635" s="3"/>
    </row>
    <row r="636" spans="1:29" ht="15" customHeight="1">
      <c r="A636" s="679"/>
      <c r="B636" s="690"/>
      <c r="C636" s="681"/>
      <c r="D636" s="681"/>
      <c r="E636" s="682"/>
      <c r="F636" s="683"/>
      <c r="G636" s="682" t="e">
        <f>+VLOOKUP([1]Data_Validation!$A636,[1]BV_Data_An_Cour!$L:$Q,6,0)</f>
        <v>#N/A</v>
      </c>
      <c r="H636" s="3"/>
    </row>
    <row r="637" spans="1:29" ht="15" customHeight="1">
      <c r="A637" s="679"/>
      <c r="B637" s="690"/>
      <c r="C637" s="681"/>
      <c r="D637" s="681"/>
      <c r="E637" s="682"/>
      <c r="F637" s="683"/>
      <c r="G637" s="682" t="e">
        <f>+VLOOKUP([1]Data_Validation!$A637,[1]BV_Data_An_Cour!$L:$Q,6,0)</f>
        <v>#N/A</v>
      </c>
      <c r="H637" s="3"/>
    </row>
    <row r="638" spans="1:29" ht="15" customHeight="1">
      <c r="A638" s="679"/>
      <c r="B638" s="690"/>
      <c r="C638" s="681"/>
      <c r="D638" s="681"/>
      <c r="E638" s="682"/>
      <c r="F638" s="683"/>
      <c r="G638" s="682" t="e">
        <f>+VLOOKUP([1]Data_Validation!$A638,[1]BV_Data_An_Cour!$L:$Q,6,0)</f>
        <v>#N/A</v>
      </c>
      <c r="H638" s="3"/>
    </row>
    <row r="639" spans="1:29" ht="15" customHeight="1">
      <c r="A639" s="679"/>
      <c r="B639" s="690"/>
      <c r="C639" s="681"/>
      <c r="D639" s="681"/>
      <c r="E639" s="682"/>
      <c r="F639" s="683"/>
      <c r="G639" s="682" t="e">
        <f>+VLOOKUP([1]Data_Validation!$A639,[1]BV_Data_An_Cour!$L:$Q,6,0)</f>
        <v>#N/A</v>
      </c>
      <c r="H639" s="3"/>
    </row>
    <row r="640" spans="1:29" ht="15" customHeight="1">
      <c r="A640" s="679"/>
      <c r="B640" s="690"/>
      <c r="C640" s="681"/>
      <c r="D640" s="681"/>
      <c r="E640" s="682"/>
      <c r="F640" s="683"/>
      <c r="G640" s="682" t="e">
        <f>+VLOOKUP([1]Data_Validation!$A640,[1]BV_Data_An_Cour!$L:$Q,6,0)</f>
        <v>#N/A</v>
      </c>
      <c r="H640" s="3"/>
    </row>
    <row r="641" spans="1:8" ht="15" customHeight="1">
      <c r="A641" s="679"/>
      <c r="B641" s="690"/>
      <c r="C641" s="681"/>
      <c r="D641" s="681"/>
      <c r="E641" s="682"/>
      <c r="F641" s="683"/>
      <c r="G641" s="682" t="e">
        <f>+VLOOKUP([1]Data_Validation!$A641,[1]BV_Data_An_Cour!$L:$Q,6,0)</f>
        <v>#N/A</v>
      </c>
      <c r="H641" s="3"/>
    </row>
    <row r="642" spans="1:8" ht="15" customHeight="1">
      <c r="A642" s="679"/>
      <c r="B642" s="690"/>
      <c r="C642" s="681"/>
      <c r="D642" s="681"/>
      <c r="E642" s="682"/>
      <c r="F642" s="683"/>
      <c r="G642" s="682" t="e">
        <f>+VLOOKUP([1]Data_Validation!$A642,[1]BV_Data_An_Cour!$L:$Q,6,0)</f>
        <v>#N/A</v>
      </c>
      <c r="H642" s="3"/>
    </row>
    <row r="643" spans="1:8" ht="15" customHeight="1">
      <c r="A643" s="679"/>
      <c r="B643" s="690"/>
      <c r="C643" s="681"/>
      <c r="D643" s="681"/>
      <c r="E643" s="682"/>
      <c r="F643" s="683"/>
      <c r="G643" s="682" t="e">
        <f>+VLOOKUP([1]Data_Validation!$A643,[1]BV_Data_An_Cour!$L:$Q,6,0)</f>
        <v>#N/A</v>
      </c>
      <c r="H643" s="3"/>
    </row>
    <row r="644" spans="1:8" ht="15" customHeight="1">
      <c r="A644" s="679"/>
      <c r="B644" s="690"/>
      <c r="C644" s="681"/>
      <c r="D644" s="681"/>
      <c r="E644" s="682"/>
      <c r="F644" s="683"/>
      <c r="G644" s="682" t="e">
        <f>+VLOOKUP([1]Data_Validation!$A644,[1]BV_Data_An_Cour!$L:$Q,6,0)</f>
        <v>#N/A</v>
      </c>
      <c r="H644" s="3"/>
    </row>
    <row r="645" spans="1:8" ht="15" customHeight="1">
      <c r="A645" s="679"/>
      <c r="B645" s="690"/>
      <c r="C645" s="681"/>
      <c r="D645" s="681"/>
      <c r="E645" s="682"/>
      <c r="F645" s="683"/>
      <c r="G645" s="682" t="e">
        <f>+VLOOKUP([1]Data_Validation!$A645,[1]BV_Data_An_Cour!$L:$Q,6,0)</f>
        <v>#N/A</v>
      </c>
      <c r="H645" s="3"/>
    </row>
    <row r="646" spans="1:8" ht="15" customHeight="1">
      <c r="A646" s="679"/>
      <c r="B646" s="690"/>
      <c r="C646" s="681"/>
      <c r="D646" s="681"/>
      <c r="E646" s="682"/>
      <c r="F646" s="683"/>
      <c r="G646" s="682" t="e">
        <f>+VLOOKUP([1]Data_Validation!$A646,[1]BV_Data_An_Cour!$L:$Q,6,0)</f>
        <v>#N/A</v>
      </c>
      <c r="H646" s="3"/>
    </row>
    <row r="647" spans="1:8" ht="15" customHeight="1">
      <c r="A647" s="690"/>
      <c r="B647" s="690"/>
      <c r="C647" s="681"/>
      <c r="D647" s="681"/>
      <c r="E647" s="682"/>
      <c r="F647" s="683"/>
      <c r="G647" s="682" t="e">
        <f>+VLOOKUP([1]Data_Validation!$A647,[1]BV_Data_An_Cour!$L:$Q,6,0)</f>
        <v>#N/A</v>
      </c>
      <c r="H647" s="3"/>
    </row>
    <row r="648" spans="1:8" ht="15" customHeight="1">
      <c r="A648" s="690"/>
      <c r="B648" s="690"/>
      <c r="C648" s="681"/>
      <c r="D648" s="681"/>
      <c r="E648" s="682"/>
      <c r="F648" s="683"/>
      <c r="G648" s="682" t="e">
        <f>+VLOOKUP([1]Data_Validation!$A648,[1]BV_Data_An_Cour!$L:$Q,6,0)</f>
        <v>#N/A</v>
      </c>
      <c r="H648" s="3"/>
    </row>
    <row r="649" spans="1:8" ht="15" customHeight="1">
      <c r="A649" s="679"/>
      <c r="B649" s="690"/>
      <c r="C649" s="681"/>
      <c r="D649" s="681"/>
      <c r="E649" s="682"/>
      <c r="F649" s="683"/>
      <c r="G649" s="682" t="e">
        <f>+VLOOKUP([1]Data_Validation!$A649,[1]BV_Data_An_Cour!$L:$Q,6,0)</f>
        <v>#N/A</v>
      </c>
      <c r="H649" s="3"/>
    </row>
    <row r="650" spans="1:8" ht="15" customHeight="1">
      <c r="A650" s="679"/>
      <c r="B650" s="690"/>
      <c r="C650" s="681"/>
      <c r="D650" s="681"/>
      <c r="E650" s="682"/>
      <c r="F650" s="683"/>
      <c r="G650" s="682" t="e">
        <f>+VLOOKUP([1]Data_Validation!$A650,[1]BV_Data_An_Cour!$L:$Q,6,0)</f>
        <v>#N/A</v>
      </c>
      <c r="H650" s="3"/>
    </row>
    <row r="651" spans="1:8" ht="15" customHeight="1">
      <c r="A651" s="679"/>
      <c r="B651" s="690"/>
      <c r="C651" s="681"/>
      <c r="D651" s="681"/>
      <c r="E651" s="682"/>
      <c r="F651" s="683"/>
      <c r="G651" s="682" t="e">
        <f>+VLOOKUP([1]Data_Validation!$A651,[1]BV_Data_An_Cour!$L:$Q,6,0)</f>
        <v>#N/A</v>
      </c>
      <c r="H651" s="3"/>
    </row>
    <row r="652" spans="1:8" ht="15" customHeight="1">
      <c r="A652" s="679"/>
      <c r="B652" s="703"/>
      <c r="C652" s="695"/>
      <c r="D652" s="681"/>
      <c r="E652" s="682"/>
      <c r="F652" s="683"/>
      <c r="G652" s="682" t="e">
        <f>+VLOOKUP([1]Data_Validation!$A652,[1]BV_Data_An_Cour!$L:$Q,6,0)</f>
        <v>#N/A</v>
      </c>
      <c r="H652" s="3"/>
    </row>
    <row r="653" spans="1:8" ht="15" customHeight="1">
      <c r="A653" s="679"/>
      <c r="B653" s="690"/>
      <c r="C653" s="681"/>
      <c r="D653" s="681"/>
      <c r="E653" s="682"/>
      <c r="F653" s="683"/>
      <c r="G653" s="682" t="e">
        <f>+VLOOKUP([1]Data_Validation!$A653,[1]BV_Data_An_Cour!$L:$Q,6,0)</f>
        <v>#N/A</v>
      </c>
      <c r="H653" s="3"/>
    </row>
    <row r="654" spans="1:8" ht="15" customHeight="1">
      <c r="A654" s="679"/>
      <c r="B654" s="690"/>
      <c r="C654" s="681"/>
      <c r="D654" s="681"/>
      <c r="E654" s="682"/>
      <c r="F654" s="683"/>
      <c r="G654" s="682" t="e">
        <f>+VLOOKUP([1]Data_Validation!$A654,[1]BV_Data_An_Cour!$L:$Q,6,0)</f>
        <v>#N/A</v>
      </c>
      <c r="H654" s="3"/>
    </row>
    <row r="655" spans="1:8" ht="15" customHeight="1">
      <c r="A655" s="679"/>
      <c r="B655" s="690"/>
      <c r="C655" s="681"/>
      <c r="D655" s="681"/>
      <c r="E655" s="682"/>
      <c r="F655" s="683"/>
      <c r="G655" s="682" t="e">
        <f>+VLOOKUP([1]Data_Validation!$A655,[1]BV_Data_An_Cour!$L:$Q,6,0)</f>
        <v>#N/A</v>
      </c>
      <c r="H655" s="3"/>
    </row>
    <row r="656" spans="1:8" ht="15" customHeight="1">
      <c r="A656" s="679"/>
      <c r="B656" s="690"/>
      <c r="C656" s="681"/>
      <c r="D656" s="681"/>
      <c r="E656" s="682"/>
      <c r="F656" s="683"/>
      <c r="G656" s="682" t="e">
        <f>+VLOOKUP([1]Data_Validation!$A656,[1]BV_Data_An_Cour!$L:$Q,6,0)</f>
        <v>#N/A</v>
      </c>
      <c r="H656" s="3"/>
    </row>
    <row r="657" spans="1:29" ht="15" customHeight="1">
      <c r="A657" s="679"/>
      <c r="B657" s="690"/>
      <c r="C657" s="681"/>
      <c r="D657" s="681"/>
      <c r="E657" s="682"/>
      <c r="F657" s="683"/>
      <c r="G657" s="682"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9"/>
      <c r="B658" s="690"/>
      <c r="C658" s="681"/>
      <c r="D658" s="681"/>
      <c r="E658" s="682"/>
      <c r="F658" s="683"/>
      <c r="G658" s="682" t="e">
        <f>+VLOOKUP([1]Data_Validation!$A658,[1]BV_Data_An_Cour!$L:$Q,6,0)</f>
        <v>#N/A</v>
      </c>
      <c r="H658" s="3"/>
    </row>
    <row r="659" spans="1:29" ht="15" customHeight="1">
      <c r="A659" s="679"/>
      <c r="B659" s="690"/>
      <c r="C659" s="681"/>
      <c r="D659" s="681"/>
      <c r="E659" s="682"/>
      <c r="F659" s="683"/>
      <c r="G659" s="682" t="e">
        <f>+VLOOKUP([1]Data_Validation!$A659,[1]BV_Data_An_Cour!$L:$Q,6,0)</f>
        <v>#N/A</v>
      </c>
      <c r="H659" s="3"/>
    </row>
    <row r="660" spans="1:29" ht="15" customHeight="1">
      <c r="A660" s="679"/>
      <c r="B660" s="690"/>
      <c r="C660" s="681"/>
      <c r="D660" s="681"/>
      <c r="E660" s="682"/>
      <c r="F660" s="683"/>
      <c r="G660" s="682" t="e">
        <f>+VLOOKUP([1]Data_Validation!$A660,[1]BV_Data_An_Cour!$L:$Q,6,0)</f>
        <v>#N/A</v>
      </c>
      <c r="H660" s="3"/>
    </row>
    <row r="661" spans="1:29" ht="15" customHeight="1">
      <c r="A661" s="679"/>
      <c r="B661" s="690"/>
      <c r="C661" s="681"/>
      <c r="D661" s="681"/>
      <c r="E661" s="682"/>
      <c r="F661" s="683"/>
      <c r="G661" s="682" t="e">
        <f>+VLOOKUP([1]Data_Validation!$A661,[1]BV_Data_An_Cour!$L:$Q,6,0)</f>
        <v>#N/A</v>
      </c>
      <c r="H661" s="3"/>
    </row>
    <row r="662" spans="1:29" ht="15" customHeight="1">
      <c r="A662" s="679"/>
      <c r="B662" s="690"/>
      <c r="C662" s="681"/>
      <c r="D662" s="681"/>
      <c r="E662" s="682"/>
      <c r="F662" s="683"/>
      <c r="G662" s="682" t="e">
        <f>+VLOOKUP([1]Data_Validation!$A662,[1]BV_Data_An_Cour!$L:$Q,6,0)</f>
        <v>#N/A</v>
      </c>
      <c r="H662" s="3"/>
    </row>
    <row r="663" spans="1:29" ht="15" customHeight="1">
      <c r="A663" s="679"/>
      <c r="B663" s="690"/>
      <c r="C663" s="681"/>
      <c r="D663" s="681"/>
      <c r="E663" s="682"/>
      <c r="F663" s="683"/>
      <c r="G663" s="682" t="e">
        <f>+VLOOKUP([1]Data_Validation!$A663,[1]BV_Data_An_Cour!$L:$Q,6,0)</f>
        <v>#N/A</v>
      </c>
      <c r="H663" s="3"/>
    </row>
    <row r="664" spans="1:29" ht="15" customHeight="1">
      <c r="A664" s="679"/>
      <c r="B664" s="690"/>
      <c r="C664" s="681"/>
      <c r="D664" s="681"/>
      <c r="E664" s="682"/>
      <c r="F664" s="683"/>
      <c r="G664" s="682" t="e">
        <f>+VLOOKUP([1]Data_Validation!$A664,[1]BV_Data_An_Cour!$L:$Q,6,0)</f>
        <v>#N/A</v>
      </c>
      <c r="H664" s="3"/>
    </row>
    <row r="665" spans="1:29" ht="15" customHeight="1">
      <c r="A665" s="679"/>
      <c r="B665" s="690"/>
      <c r="C665" s="681"/>
      <c r="D665" s="681"/>
      <c r="E665" s="682"/>
      <c r="F665" s="683"/>
      <c r="G665" s="682" t="e">
        <f>+VLOOKUP([1]Data_Validation!$A665,[1]BV_Data_An_Cour!$L:$Q,6,0)</f>
        <v>#N/A</v>
      </c>
      <c r="H665" s="3"/>
    </row>
    <row r="666" spans="1:29" ht="15" customHeight="1">
      <c r="A666" s="679"/>
      <c r="B666" s="690"/>
      <c r="C666" s="681"/>
      <c r="D666" s="681"/>
      <c r="E666" s="682"/>
      <c r="F666" s="683"/>
      <c r="G666" s="682" t="e">
        <f>+VLOOKUP([1]Data_Validation!$A666,[1]BV_Data_An_Cour!$L:$Q,6,0)</f>
        <v>#N/A</v>
      </c>
      <c r="H666" s="3"/>
    </row>
    <row r="667" spans="1:29" ht="15" customHeight="1">
      <c r="A667" s="679"/>
      <c r="B667" s="690"/>
      <c r="C667" s="681"/>
      <c r="D667" s="681"/>
      <c r="E667" s="682"/>
      <c r="F667" s="683"/>
      <c r="G667" s="682" t="e">
        <f>+VLOOKUP([1]Data_Validation!$A667,[1]BV_Data_An_Cour!$L:$Q,6,0)</f>
        <v>#N/A</v>
      </c>
      <c r="H667" s="3"/>
    </row>
    <row r="668" spans="1:29" ht="15" customHeight="1">
      <c r="A668" s="679"/>
      <c r="B668" s="690"/>
      <c r="C668" s="681"/>
      <c r="D668" s="681"/>
      <c r="E668" s="682"/>
      <c r="F668" s="683"/>
      <c r="G668" s="682" t="e">
        <f>+VLOOKUP([1]Data_Validation!$A668,[1]BV_Data_An_Cour!$L:$Q,6,0)</f>
        <v>#N/A</v>
      </c>
      <c r="H668" s="3"/>
    </row>
    <row r="669" spans="1:29" ht="15" customHeight="1">
      <c r="A669" s="679"/>
      <c r="B669" s="690"/>
      <c r="C669" s="681"/>
      <c r="D669" s="681"/>
      <c r="E669" s="682"/>
      <c r="F669" s="683"/>
      <c r="G669" s="682" t="e">
        <f>+VLOOKUP([1]Data_Validation!$A669,[1]BV_Data_An_Cour!$L:$Q,6,0)</f>
        <v>#N/A</v>
      </c>
      <c r="H669" s="3"/>
    </row>
    <row r="670" spans="1:29" ht="15" customHeight="1">
      <c r="A670" s="679"/>
      <c r="B670" s="690"/>
      <c r="C670" s="681"/>
      <c r="D670" s="681"/>
      <c r="E670" s="682"/>
      <c r="F670" s="683"/>
      <c r="G670" s="682" t="e">
        <f>+VLOOKUP([1]Data_Validation!$A670,[1]BV_Data_An_Cour!$L:$Q,6,0)</f>
        <v>#N/A</v>
      </c>
      <c r="H670" s="3"/>
    </row>
    <row r="671" spans="1:29" ht="15" customHeight="1">
      <c r="A671" s="679"/>
      <c r="B671" s="690"/>
      <c r="C671" s="681"/>
      <c r="D671" s="681"/>
      <c r="E671" s="682"/>
      <c r="F671" s="683"/>
      <c r="G671" s="682" t="e">
        <f>+VLOOKUP([1]Data_Validation!$A671,[1]BV_Data_An_Cour!$L:$Q,6,0)</f>
        <v>#N/A</v>
      </c>
      <c r="H671" s="3"/>
    </row>
    <row r="672" spans="1:29" ht="15" customHeight="1">
      <c r="A672" s="679"/>
      <c r="B672" s="690"/>
      <c r="C672" s="681"/>
      <c r="D672" s="681"/>
      <c r="E672" s="682"/>
      <c r="F672" s="683"/>
      <c r="G672" s="682" t="e">
        <f>+VLOOKUP([1]Data_Validation!$A672,[1]BV_Data_An_Cour!$L:$Q,6,0)</f>
        <v>#N/A</v>
      </c>
      <c r="H672" s="3"/>
    </row>
    <row r="673" spans="1:8" ht="15" customHeight="1">
      <c r="A673" s="679"/>
      <c r="B673" s="690"/>
      <c r="C673" s="681"/>
      <c r="D673" s="681"/>
      <c r="E673" s="682"/>
      <c r="F673" s="683"/>
      <c r="G673" s="682" t="e">
        <f>+VLOOKUP([1]Data_Validation!$A673,[1]BV_Data_An_Cour!$L:$Q,6,0)</f>
        <v>#N/A</v>
      </c>
      <c r="H673" s="3"/>
    </row>
    <row r="674" spans="1:8" ht="15" customHeight="1">
      <c r="A674" s="679"/>
      <c r="B674" s="690"/>
      <c r="C674" s="681"/>
      <c r="D674" s="681"/>
      <c r="E674" s="682"/>
      <c r="F674" s="683"/>
      <c r="G674" s="682" t="e">
        <f>+VLOOKUP([1]Data_Validation!$A674,[1]BV_Data_An_Cour!$L:$Q,6,0)</f>
        <v>#N/A</v>
      </c>
      <c r="H674" s="3"/>
    </row>
    <row r="675" spans="1:8" ht="15" customHeight="1">
      <c r="A675" s="679"/>
      <c r="B675" s="690"/>
      <c r="C675" s="681"/>
      <c r="D675" s="681"/>
      <c r="E675" s="682"/>
      <c r="F675" s="683"/>
      <c r="G675" s="682" t="e">
        <f>+VLOOKUP([1]Data_Validation!$A675,[1]BV_Data_An_Cour!$L:$Q,6,0)</f>
        <v>#N/A</v>
      </c>
      <c r="H675" s="3"/>
    </row>
    <row r="676" spans="1:8" ht="15" customHeight="1">
      <c r="A676" s="679"/>
      <c r="B676" s="690"/>
      <c r="C676" s="681"/>
      <c r="D676" s="681"/>
      <c r="E676" s="682"/>
      <c r="F676" s="683"/>
      <c r="G676" s="682" t="e">
        <f>+VLOOKUP([1]Data_Validation!$A676,[1]BV_Data_An_Cour!$L:$Q,6,0)</f>
        <v>#N/A</v>
      </c>
      <c r="H676" s="3"/>
    </row>
    <row r="677" spans="1:8" ht="15" customHeight="1">
      <c r="A677" s="679"/>
      <c r="B677" s="690"/>
      <c r="C677" s="681"/>
      <c r="D677" s="681"/>
      <c r="E677" s="682"/>
      <c r="F677" s="683"/>
      <c r="G677" s="682" t="e">
        <f>+VLOOKUP([1]Data_Validation!$A677,[1]BV_Data_An_Cour!$L:$Q,6,0)</f>
        <v>#N/A</v>
      </c>
      <c r="H677" s="3"/>
    </row>
    <row r="678" spans="1:8" ht="15" customHeight="1">
      <c r="A678" s="679"/>
      <c r="B678" s="690"/>
      <c r="C678" s="681"/>
      <c r="D678" s="681"/>
      <c r="E678" s="682"/>
      <c r="F678" s="683"/>
      <c r="G678" s="682" t="e">
        <f>+VLOOKUP([1]Data_Validation!$A678,[1]BV_Data_An_Cour!$L:$Q,6,0)</f>
        <v>#N/A</v>
      </c>
      <c r="H678" s="3"/>
    </row>
    <row r="679" spans="1:8" ht="15" customHeight="1">
      <c r="A679" s="679"/>
      <c r="B679" s="690"/>
      <c r="C679" s="681"/>
      <c r="D679" s="681"/>
      <c r="E679" s="682"/>
      <c r="F679" s="683"/>
      <c r="G679" s="682" t="e">
        <f>+VLOOKUP([1]Data_Validation!$A679,[1]BV_Data_An_Cour!$L:$Q,6,0)</f>
        <v>#N/A</v>
      </c>
      <c r="H679" s="3"/>
    </row>
    <row r="680" spans="1:8" ht="15" customHeight="1">
      <c r="A680" s="679"/>
      <c r="B680" s="702"/>
      <c r="C680" s="681"/>
      <c r="D680" s="681"/>
      <c r="E680" s="682"/>
      <c r="F680" s="683"/>
      <c r="G680" s="682" t="e">
        <f>+VLOOKUP([1]Data_Validation!$A680,[1]BV_Data_An_Cour!$L:$Q,6,0)</f>
        <v>#N/A</v>
      </c>
      <c r="H680" s="3"/>
    </row>
    <row r="681" spans="1:8" ht="15" customHeight="1">
      <c r="A681" s="679"/>
      <c r="B681" s="702"/>
      <c r="C681" s="681"/>
      <c r="D681" s="681"/>
      <c r="E681" s="682"/>
      <c r="F681" s="683"/>
      <c r="G681" s="682" t="e">
        <f>+VLOOKUP([1]Data_Validation!$A681,[1]BV_Data_An_Cour!$L:$Q,6,0)</f>
        <v>#N/A</v>
      </c>
      <c r="H681" s="3"/>
    </row>
    <row r="682" spans="1:8" ht="15" customHeight="1">
      <c r="A682" s="679"/>
      <c r="B682" s="690"/>
      <c r="C682" s="681"/>
      <c r="D682" s="681"/>
      <c r="E682" s="682"/>
      <c r="F682" s="683"/>
      <c r="G682" s="682" t="e">
        <f>+VLOOKUP([1]Data_Validation!$A682,[1]BV_Data_An_Cour!$L:$Q,6,0)</f>
        <v>#N/A</v>
      </c>
      <c r="H682" s="3"/>
    </row>
    <row r="683" spans="1:8" ht="15" customHeight="1">
      <c r="A683" s="679"/>
      <c r="B683" s="690"/>
      <c r="C683" s="681"/>
      <c r="D683" s="681"/>
      <c r="E683" s="682"/>
      <c r="F683" s="683"/>
      <c r="G683" s="682" t="e">
        <f>+VLOOKUP([1]Data_Validation!$A683,[1]BV_Data_An_Cour!$L:$Q,6,0)</f>
        <v>#N/A</v>
      </c>
      <c r="H683" s="3"/>
    </row>
    <row r="684" spans="1:8" ht="15" customHeight="1">
      <c r="A684" s="679"/>
      <c r="B684" s="690"/>
      <c r="C684" s="681"/>
      <c r="D684" s="681"/>
      <c r="E684" s="682"/>
      <c r="F684" s="683"/>
      <c r="G684" s="682" t="e">
        <f>+VLOOKUP([1]Data_Validation!$A684,[1]BV_Data_An_Cour!$L:$Q,6,0)</f>
        <v>#N/A</v>
      </c>
      <c r="H684" s="3"/>
    </row>
    <row r="685" spans="1:8" ht="15" customHeight="1">
      <c r="A685" s="679"/>
      <c r="B685" s="690"/>
      <c r="C685" s="681"/>
      <c r="D685" s="681"/>
      <c r="E685" s="682"/>
      <c r="F685" s="683"/>
      <c r="G685" s="682" t="e">
        <f>+VLOOKUP([1]Data_Validation!$A685,[1]BV_Data_An_Cour!$L:$Q,6,0)</f>
        <v>#N/A</v>
      </c>
      <c r="H685" s="3"/>
    </row>
    <row r="686" spans="1:8" ht="15" customHeight="1">
      <c r="A686" s="679"/>
      <c r="B686" s="690"/>
      <c r="C686" s="681"/>
      <c r="D686" s="681"/>
      <c r="E686" s="682"/>
      <c r="F686" s="683"/>
      <c r="G686" s="682" t="e">
        <f>+VLOOKUP([1]Data_Validation!$A686,[1]BV_Data_An_Cour!$L:$Q,6,0)</f>
        <v>#N/A</v>
      </c>
      <c r="H686" s="3"/>
    </row>
    <row r="687" spans="1:8" ht="15" customHeight="1">
      <c r="A687" s="679"/>
      <c r="B687" s="690"/>
      <c r="C687" s="681"/>
      <c r="D687" s="681"/>
      <c r="E687" s="682"/>
      <c r="F687" s="683"/>
      <c r="G687" s="682" t="e">
        <f>+VLOOKUP([1]Data_Validation!$A687,[1]BV_Data_An_Cour!$L:$Q,6,0)</f>
        <v>#N/A</v>
      </c>
      <c r="H687" s="3"/>
    </row>
    <row r="688" spans="1:8" ht="15" customHeight="1">
      <c r="A688" s="679"/>
      <c r="B688" s="690"/>
      <c r="C688" s="681"/>
      <c r="D688" s="681"/>
      <c r="E688" s="682"/>
      <c r="F688" s="683"/>
      <c r="G688" s="682" t="e">
        <f>+VLOOKUP([1]Data_Validation!$A688,[1]BV_Data_An_Cour!$L:$Q,6,0)</f>
        <v>#N/A</v>
      </c>
      <c r="H688" s="3"/>
    </row>
    <row r="689" spans="1:29" ht="15" customHeight="1">
      <c r="A689" s="679"/>
      <c r="B689" s="690"/>
      <c r="C689" s="681"/>
      <c r="D689" s="681"/>
      <c r="E689" s="682"/>
      <c r="F689" s="683"/>
      <c r="G689" s="682" t="e">
        <f>+VLOOKUP([1]Data_Validation!$A689,[1]BV_Data_An_Cour!$L:$Q,6,0)</f>
        <v>#N/A</v>
      </c>
      <c r="H689" s="3"/>
    </row>
    <row r="690" spans="1:29" ht="15" customHeight="1">
      <c r="A690" s="679"/>
      <c r="B690" s="690"/>
      <c r="C690" s="681"/>
      <c r="D690" s="681"/>
      <c r="E690" s="682"/>
      <c r="F690" s="683"/>
      <c r="G690" s="682" t="e">
        <f>+VLOOKUP([1]Data_Validation!$A690,[1]BV_Data_An_Cour!$L:$Q,6,0)</f>
        <v>#N/A</v>
      </c>
      <c r="H690" s="3"/>
    </row>
    <row r="691" spans="1:29" ht="15" customHeight="1">
      <c r="A691" s="679"/>
      <c r="B691" s="690"/>
      <c r="C691" s="681"/>
      <c r="D691" s="681"/>
      <c r="E691" s="682"/>
      <c r="F691" s="683"/>
      <c r="G691" s="682" t="e">
        <f>+VLOOKUP([1]Data_Validation!$A691,[1]BV_Data_An_Cour!$L:$Q,6,0)</f>
        <v>#N/A</v>
      </c>
      <c r="H691" s="3"/>
    </row>
    <row r="692" spans="1:29" ht="15" customHeight="1">
      <c r="A692" s="679"/>
      <c r="B692" s="690"/>
      <c r="C692" s="681"/>
      <c r="D692" s="681"/>
      <c r="E692" s="682"/>
      <c r="F692" s="683"/>
      <c r="G692" s="682"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9"/>
      <c r="B693" s="690"/>
      <c r="C693" s="681"/>
      <c r="D693" s="681"/>
      <c r="E693" s="682"/>
      <c r="F693" s="683"/>
      <c r="G693" s="682" t="e">
        <f>+VLOOKUP([1]Data_Validation!$A693,[1]BV_Data_An_Cour!$L:$Q,6,0)</f>
        <v>#N/A</v>
      </c>
      <c r="H693" s="3"/>
    </row>
    <row r="694" spans="1:29" ht="15" customHeight="1">
      <c r="A694" s="679"/>
      <c r="B694" s="690"/>
      <c r="C694" s="681"/>
      <c r="D694" s="681"/>
      <c r="E694" s="682"/>
      <c r="F694" s="683"/>
      <c r="G694" s="682" t="e">
        <f>+VLOOKUP([1]Data_Validation!$A694,[1]BV_Data_An_Cour!$L:$Q,6,0)</f>
        <v>#N/A</v>
      </c>
      <c r="H694" s="3"/>
    </row>
    <row r="695" spans="1:29" ht="15" customHeight="1">
      <c r="A695" s="691"/>
      <c r="B695" s="680"/>
      <c r="C695" s="681"/>
      <c r="D695" s="681"/>
      <c r="E695" s="682"/>
      <c r="F695" s="683"/>
      <c r="G695" s="682" t="e">
        <f>+VLOOKUP([1]Data_Validation!$A695,[1]BV_Data_An_Cour!$L:$Q,6,0)</f>
        <v>#N/A</v>
      </c>
      <c r="H695" s="3"/>
    </row>
    <row r="696" spans="1:29" ht="15" customHeight="1">
      <c r="A696" s="679"/>
      <c r="B696" s="690"/>
      <c r="C696" s="681"/>
      <c r="D696" s="681"/>
      <c r="E696" s="682"/>
      <c r="F696" s="683"/>
      <c r="G696" s="682" t="e">
        <f>+VLOOKUP([1]Data_Validation!$A696,[1]BV_Data_An_Cour!$L:$Q,6,0)</f>
        <v>#N/A</v>
      </c>
      <c r="H696" s="3"/>
    </row>
    <row r="697" spans="1:29" ht="15" customHeight="1">
      <c r="A697" s="680"/>
      <c r="B697" s="680"/>
      <c r="C697" s="681"/>
      <c r="D697" s="681"/>
      <c r="E697" s="682"/>
      <c r="F697" s="683"/>
      <c r="G697" s="682" t="e">
        <f>+VLOOKUP([1]Data_Validation!$A697,[1]BV_Data_An_Cour!$L:$Q,6,0)</f>
        <v>#N/A</v>
      </c>
      <c r="H697" s="3"/>
    </row>
    <row r="698" spans="1:29" ht="15" customHeight="1">
      <c r="A698" s="690"/>
      <c r="B698" s="690"/>
      <c r="C698" s="681"/>
      <c r="D698" s="681"/>
      <c r="E698" s="682"/>
      <c r="F698" s="683"/>
      <c r="G698" s="682" t="e">
        <f>+VLOOKUP([1]Data_Validation!$A698,[1]BV_Data_An_Cour!$L:$Q,6,0)</f>
        <v>#N/A</v>
      </c>
      <c r="H698" s="3"/>
    </row>
    <row r="699" spans="1:29" ht="15" customHeight="1">
      <c r="A699" s="691"/>
      <c r="B699" s="680"/>
      <c r="C699" s="681"/>
      <c r="D699" s="681"/>
      <c r="E699" s="682"/>
      <c r="F699" s="683"/>
      <c r="G699" s="682" t="e">
        <f>+VLOOKUP([1]Data_Validation!$A699,[1]BV_Data_An_Cour!$L:$Q,6,0)</f>
        <v>#N/A</v>
      </c>
      <c r="H699" s="3"/>
    </row>
    <row r="700" spans="1:29" ht="15" customHeight="1">
      <c r="A700" s="690"/>
      <c r="B700" s="690"/>
      <c r="C700" s="681"/>
      <c r="D700" s="681"/>
      <c r="E700" s="682"/>
      <c r="F700" s="683"/>
      <c r="G700" s="682" t="e">
        <f>+VLOOKUP([1]Data_Validation!$A700,[1]BV_Data_An_Cour!$L:$Q,6,0)</f>
        <v>#N/A</v>
      </c>
      <c r="H700" s="3"/>
    </row>
    <row r="701" spans="1:29" ht="15" customHeight="1">
      <c r="A701" s="691"/>
      <c r="B701" s="680"/>
      <c r="C701" s="681"/>
      <c r="D701" s="681"/>
      <c r="E701" s="682"/>
      <c r="F701" s="683"/>
      <c r="G701" s="682" t="e">
        <f>+VLOOKUP([1]Data_Validation!$A701,[1]BV_Data_An_Cour!$L:$Q,6,0)</f>
        <v>#N/A</v>
      </c>
      <c r="H701" s="3"/>
    </row>
    <row r="702" spans="1:29" ht="15" customHeight="1">
      <c r="A702" s="690"/>
      <c r="B702" s="690"/>
      <c r="C702" s="681"/>
      <c r="D702" s="681"/>
      <c r="E702" s="682"/>
      <c r="F702" s="683"/>
      <c r="G702" s="682" t="e">
        <f>+VLOOKUP([1]Data_Validation!$A702,[1]BV_Data_An_Cour!$L:$Q,6,0)</f>
        <v>#N/A</v>
      </c>
      <c r="H702" s="3"/>
    </row>
    <row r="703" spans="1:29" ht="15" customHeight="1">
      <c r="A703" s="679"/>
      <c r="B703" s="690"/>
      <c r="C703" s="681"/>
      <c r="D703" s="681"/>
      <c r="E703" s="682"/>
      <c r="F703" s="683"/>
      <c r="G703" s="682" t="e">
        <f>+VLOOKUP([1]Data_Validation!$A703,[1]BV_Data_An_Cour!$L:$Q,6,0)</f>
        <v>#N/A</v>
      </c>
      <c r="H703" s="3"/>
    </row>
    <row r="704" spans="1:29" ht="15" customHeight="1">
      <c r="A704" s="679"/>
      <c r="B704" s="690"/>
      <c r="C704" s="681"/>
      <c r="D704" s="681"/>
      <c r="E704" s="682"/>
      <c r="F704" s="683"/>
      <c r="G704" s="682" t="e">
        <f>+VLOOKUP([1]Data_Validation!$A704,[1]BV_Data_An_Cour!$L:$Q,6,0)</f>
        <v>#N/A</v>
      </c>
      <c r="H704" s="3"/>
    </row>
    <row r="705" spans="1:29" ht="15" customHeight="1">
      <c r="A705" s="679"/>
      <c r="B705" s="690"/>
      <c r="C705" s="681"/>
      <c r="D705" s="681"/>
      <c r="E705" s="682"/>
      <c r="F705" s="683"/>
      <c r="G705" s="682"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90"/>
      <c r="B706" s="690"/>
      <c r="C706" s="681"/>
      <c r="D706" s="681"/>
      <c r="E706" s="682"/>
      <c r="F706" s="683"/>
      <c r="G706" s="682" t="e">
        <f>+VLOOKUP([1]Data_Validation!$A706,[1]BV_Data_An_Cour!$L:$Q,6,0)</f>
        <v>#N/A</v>
      </c>
      <c r="H706" s="3"/>
    </row>
    <row r="707" spans="1:29" ht="15" customHeight="1">
      <c r="A707" s="690"/>
      <c r="B707" s="690"/>
      <c r="C707" s="681"/>
      <c r="D707" s="681"/>
      <c r="E707" s="682"/>
      <c r="F707" s="683"/>
      <c r="G707" s="682"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9"/>
      <c r="B708" s="690"/>
      <c r="C708" s="681"/>
      <c r="D708" s="681"/>
      <c r="E708" s="682"/>
      <c r="F708" s="683"/>
      <c r="G708" s="682" t="e">
        <f>+VLOOKUP([1]Data_Validation!$A708,[1]BV_Data_An_Cour!$L:$Q,6,0)</f>
        <v>#N/A</v>
      </c>
      <c r="H708" s="3"/>
      <c r="K708" s="3"/>
    </row>
    <row r="709" spans="1:29" ht="15" customHeight="1">
      <c r="A709" s="679"/>
      <c r="B709" s="690"/>
      <c r="C709" s="681"/>
      <c r="D709" s="681"/>
      <c r="E709" s="682"/>
      <c r="F709" s="683"/>
      <c r="G709" s="682" t="e">
        <f>+VLOOKUP([1]Data_Validation!$A709,[1]BV_Data_An_Cour!$L:$Q,6,0)</f>
        <v>#N/A</v>
      </c>
      <c r="H709" s="3"/>
    </row>
    <row r="710" spans="1:29" ht="15" customHeight="1">
      <c r="A710" s="679"/>
      <c r="B710" s="690"/>
      <c r="C710" s="681"/>
      <c r="D710" s="681"/>
      <c r="E710" s="682"/>
      <c r="F710" s="683"/>
      <c r="G710" s="682" t="e">
        <f>+VLOOKUP([1]Data_Validation!$A710,[1]BV_Data_An_Cour!$L:$Q,6,0)</f>
        <v>#N/A</v>
      </c>
      <c r="H710" s="3"/>
    </row>
    <row r="711" spans="1:29" ht="15" customHeight="1">
      <c r="A711" s="679"/>
      <c r="B711" s="690"/>
      <c r="C711" s="681"/>
      <c r="D711" s="681"/>
      <c r="E711" s="682"/>
      <c r="F711" s="683"/>
      <c r="G711" s="682" t="e">
        <f>+VLOOKUP([1]Data_Validation!$A711,[1]BV_Data_An_Cour!$L:$Q,6,0)</f>
        <v>#N/A</v>
      </c>
      <c r="H711" s="3"/>
    </row>
    <row r="712" spans="1:29" ht="15" customHeight="1">
      <c r="A712" s="679"/>
      <c r="B712" s="690"/>
      <c r="C712" s="681"/>
      <c r="D712" s="681"/>
      <c r="E712" s="682"/>
      <c r="F712" s="683"/>
      <c r="G712" s="682" t="e">
        <f>+VLOOKUP([1]Data_Validation!$A712,[1]BV_Data_An_Cour!$L:$Q,6,0)</f>
        <v>#N/A</v>
      </c>
      <c r="H712" s="3"/>
    </row>
    <row r="713" spans="1:29" ht="15" customHeight="1">
      <c r="A713" s="679"/>
      <c r="B713" s="690"/>
      <c r="C713" s="681"/>
      <c r="D713" s="681"/>
      <c r="E713" s="682"/>
      <c r="F713" s="683"/>
      <c r="G713" s="682" t="e">
        <f>+VLOOKUP([1]Data_Validation!$A713,[1]BV_Data_An_Cour!$L:$Q,6,0)</f>
        <v>#N/A</v>
      </c>
      <c r="H713" s="3"/>
    </row>
    <row r="714" spans="1:29" ht="15" customHeight="1">
      <c r="A714" s="679"/>
      <c r="B714" s="690"/>
      <c r="C714" s="681"/>
      <c r="D714" s="681"/>
      <c r="E714" s="682"/>
      <c r="F714" s="683"/>
      <c r="G714" s="682" t="e">
        <f>+VLOOKUP([1]Data_Validation!$A714,[1]BV_Data_An_Cour!$L:$Q,6,0)</f>
        <v>#N/A</v>
      </c>
      <c r="H714" s="3"/>
    </row>
    <row r="715" spans="1:29" ht="15" customHeight="1">
      <c r="A715" s="679"/>
      <c r="B715" s="690"/>
      <c r="C715" s="681"/>
      <c r="D715" s="681"/>
      <c r="E715" s="682"/>
      <c r="F715" s="683"/>
      <c r="G715" s="682" t="e">
        <f>+VLOOKUP([1]Data_Validation!$A715,[1]BV_Data_An_Cour!$L:$Q,6,0)</f>
        <v>#N/A</v>
      </c>
      <c r="H715" s="3"/>
    </row>
    <row r="716" spans="1:29" ht="15" customHeight="1">
      <c r="A716" s="679"/>
      <c r="B716" s="690"/>
      <c r="C716" s="681"/>
      <c r="D716" s="681"/>
      <c r="E716" s="682"/>
      <c r="F716" s="683"/>
      <c r="G716" s="682" t="e">
        <f>+VLOOKUP([1]Data_Validation!$A716,[1]BV_Data_An_Cour!$L:$Q,6,0)</f>
        <v>#N/A</v>
      </c>
      <c r="H716" s="3"/>
    </row>
    <row r="717" spans="1:29" ht="15" customHeight="1">
      <c r="A717" s="679"/>
      <c r="B717" s="690"/>
      <c r="C717" s="681"/>
      <c r="D717" s="681"/>
      <c r="E717" s="682"/>
      <c r="F717" s="683"/>
      <c r="G717" s="682" t="e">
        <f>+VLOOKUP([1]Data_Validation!$A717,[1]BV_Data_An_Cour!$L:$Q,6,0)</f>
        <v>#N/A</v>
      </c>
      <c r="H717" s="3"/>
    </row>
    <row r="718" spans="1:29" ht="15" customHeight="1">
      <c r="A718" s="679"/>
      <c r="B718" s="690"/>
      <c r="C718" s="681"/>
      <c r="D718" s="681"/>
      <c r="E718" s="682"/>
      <c r="F718" s="683"/>
      <c r="G718" s="682" t="e">
        <f>+VLOOKUP([1]Data_Validation!$A718,[1]BV_Data_An_Cour!$L:$Q,6,0)</f>
        <v>#N/A</v>
      </c>
      <c r="H718" s="3"/>
    </row>
    <row r="719" spans="1:29" ht="15" customHeight="1">
      <c r="A719" s="704"/>
      <c r="B719" s="703"/>
      <c r="C719" s="695"/>
      <c r="D719" s="681"/>
      <c r="E719" s="682"/>
      <c r="F719" s="683"/>
      <c r="G719" s="682" t="e">
        <f>+VLOOKUP([1]Data_Validation!$A719,[1]BV_Data_An_Cour!$L:$Q,6,0)</f>
        <v>#N/A</v>
      </c>
      <c r="H719" s="3"/>
    </row>
    <row r="720" spans="1:29" ht="15" customHeight="1">
      <c r="A720" s="679"/>
      <c r="B720" s="690"/>
      <c r="C720" s="681"/>
      <c r="D720" s="681"/>
      <c r="E720" s="682"/>
      <c r="F720" s="683"/>
      <c r="G720" s="682" t="e">
        <f>+VLOOKUP([1]Data_Validation!$A720,[1]BV_Data_An_Cour!$L:$Q,6,0)</f>
        <v>#N/A</v>
      </c>
      <c r="H720" s="3"/>
    </row>
    <row r="721" spans="1:8" ht="15" customHeight="1">
      <c r="A721" s="679"/>
      <c r="B721" s="690"/>
      <c r="C721" s="681"/>
      <c r="D721" s="681"/>
      <c r="E721" s="682"/>
      <c r="F721" s="683"/>
      <c r="G721" s="682" t="e">
        <f>+VLOOKUP([1]Data_Validation!$A721,[1]BV_Data_An_Cour!$L:$Q,6,0)</f>
        <v>#N/A</v>
      </c>
      <c r="H721" s="3"/>
    </row>
    <row r="722" spans="1:8" ht="15" customHeight="1">
      <c r="A722" s="679"/>
      <c r="B722" s="690"/>
      <c r="C722" s="681"/>
      <c r="D722" s="681"/>
      <c r="E722" s="682"/>
      <c r="F722" s="683"/>
      <c r="G722" s="682" t="e">
        <f>+VLOOKUP([1]Data_Validation!$A722,[1]BV_Data_An_Cour!$L:$Q,6,0)</f>
        <v>#N/A</v>
      </c>
      <c r="H722" s="3"/>
    </row>
    <row r="723" spans="1:8" ht="15" customHeight="1">
      <c r="A723" s="679"/>
      <c r="B723" s="690"/>
      <c r="C723" s="681"/>
      <c r="D723" s="681"/>
      <c r="E723" s="682"/>
      <c r="F723" s="683"/>
      <c r="G723" s="682" t="e">
        <f>+VLOOKUP([1]Data_Validation!$A723,[1]BV_Data_An_Cour!$L:$Q,6,0)</f>
        <v>#N/A</v>
      </c>
      <c r="H723" s="3"/>
    </row>
    <row r="724" spans="1:8" ht="15" customHeight="1">
      <c r="A724" s="679"/>
      <c r="B724" s="690"/>
      <c r="C724" s="681"/>
      <c r="D724" s="681"/>
      <c r="E724" s="682"/>
      <c r="F724" s="683"/>
      <c r="G724" s="682" t="e">
        <f>+VLOOKUP([1]Data_Validation!$A724,[1]BV_Data_An_Cour!$L:$Q,6,0)</f>
        <v>#N/A</v>
      </c>
      <c r="H724" s="3"/>
    </row>
    <row r="725" spans="1:8" ht="15" customHeight="1">
      <c r="A725" s="679"/>
      <c r="B725" s="690"/>
      <c r="C725" s="681"/>
      <c r="D725" s="681"/>
      <c r="E725" s="682"/>
      <c r="F725" s="683"/>
      <c r="G725" s="682" t="e">
        <f>+VLOOKUP([1]Data_Validation!$A725,[1]BV_Data_An_Cour!$L:$Q,6,0)</f>
        <v>#N/A</v>
      </c>
      <c r="H725" s="3"/>
    </row>
    <row r="726" spans="1:8" ht="15" customHeight="1">
      <c r="A726" s="679"/>
      <c r="B726" s="690"/>
      <c r="C726" s="681"/>
      <c r="D726" s="681"/>
      <c r="E726" s="682"/>
      <c r="F726" s="683"/>
      <c r="G726" s="682" t="e">
        <f>+VLOOKUP([1]Data_Validation!$A726,[1]BV_Data_An_Cour!$L:$Q,6,0)</f>
        <v>#N/A</v>
      </c>
      <c r="H726" s="3"/>
    </row>
    <row r="727" spans="1:8" ht="15" customHeight="1">
      <c r="A727" s="679"/>
      <c r="B727" s="690"/>
      <c r="C727" s="681"/>
      <c r="D727" s="681"/>
      <c r="E727" s="682"/>
      <c r="F727" s="683"/>
      <c r="G727" s="682" t="e">
        <f>+VLOOKUP([1]Data_Validation!$A727,[1]BV_Data_An_Cour!$L:$Q,6,0)</f>
        <v>#N/A</v>
      </c>
      <c r="H727" s="3"/>
    </row>
    <row r="728" spans="1:8" ht="15" customHeight="1">
      <c r="A728" s="679"/>
      <c r="B728" s="690"/>
      <c r="C728" s="681"/>
      <c r="D728" s="681"/>
      <c r="E728" s="682"/>
      <c r="F728" s="683"/>
      <c r="G728" s="682" t="e">
        <f>+VLOOKUP([1]Data_Validation!$A728,[1]BV_Data_An_Cour!$L:$Q,6,0)</f>
        <v>#N/A</v>
      </c>
      <c r="H728" s="3"/>
    </row>
    <row r="729" spans="1:8" ht="15" customHeight="1">
      <c r="A729" s="704"/>
      <c r="B729" s="705"/>
      <c r="C729" s="681"/>
      <c r="D729" s="681"/>
      <c r="E729" s="682"/>
      <c r="F729" s="683"/>
      <c r="G729" s="682" t="e">
        <f>+VLOOKUP([1]Data_Validation!$A729,[1]BV_Data_An_Cour!$L:$Q,6,0)</f>
        <v>#N/A</v>
      </c>
      <c r="H729" s="3"/>
    </row>
    <row r="730" spans="1:8" ht="15" customHeight="1">
      <c r="A730" s="679"/>
      <c r="B730" s="687"/>
      <c r="C730" s="681"/>
      <c r="D730" s="681"/>
      <c r="E730" s="682"/>
      <c r="F730" s="683"/>
      <c r="G730" s="682" t="e">
        <f>+VLOOKUP([1]Data_Validation!$A730,[1]BV_Data_An_Cour!$L:$Q,6,0)</f>
        <v>#N/A</v>
      </c>
      <c r="H730" s="3"/>
    </row>
    <row r="731" spans="1:8" ht="15" customHeight="1">
      <c r="A731" s="679"/>
      <c r="B731" s="690"/>
      <c r="C731" s="681"/>
      <c r="D731" s="681"/>
      <c r="E731" s="682"/>
      <c r="F731" s="683"/>
      <c r="G731" s="682" t="e">
        <f>+VLOOKUP([1]Data_Validation!$A731,[1]BV_Data_An_Cour!$L:$Q,6,0)</f>
        <v>#N/A</v>
      </c>
      <c r="H731" s="3"/>
    </row>
    <row r="732" spans="1:8" ht="15" customHeight="1">
      <c r="A732" s="679"/>
      <c r="B732" s="690"/>
      <c r="C732" s="681"/>
      <c r="D732" s="681"/>
      <c r="E732" s="682"/>
      <c r="F732" s="683"/>
      <c r="G732" s="682" t="e">
        <f>+VLOOKUP([1]Data_Validation!$A732,[1]BV_Data_An_Cour!$L:$Q,6,0)</f>
        <v>#N/A</v>
      </c>
      <c r="H732" s="3"/>
    </row>
    <row r="733" spans="1:8" ht="15" customHeight="1">
      <c r="A733" s="679"/>
      <c r="B733" s="690"/>
      <c r="C733" s="681"/>
      <c r="D733" s="681"/>
      <c r="E733" s="682"/>
      <c r="F733" s="683"/>
      <c r="G733" s="682" t="e">
        <f>+VLOOKUP([1]Data_Validation!$A733,[1]BV_Data_An_Cour!$L:$Q,6,0)</f>
        <v>#N/A</v>
      </c>
      <c r="H733" s="3"/>
    </row>
    <row r="734" spans="1:8" ht="15" customHeight="1">
      <c r="A734" s="679"/>
      <c r="B734" s="690"/>
      <c r="C734" s="681"/>
      <c r="D734" s="681"/>
      <c r="E734" s="682"/>
      <c r="F734" s="683"/>
      <c r="G734" s="682" t="e">
        <f>+VLOOKUP([1]Data_Validation!$A734,[1]BV_Data_An_Cour!$L:$Q,6,0)</f>
        <v>#N/A</v>
      </c>
      <c r="H734" s="3"/>
    </row>
    <row r="735" spans="1:8" ht="15" customHeight="1">
      <c r="A735" s="679"/>
      <c r="B735" s="690"/>
      <c r="C735" s="681"/>
      <c r="D735" s="681"/>
      <c r="E735" s="682"/>
      <c r="F735" s="683"/>
      <c r="G735" s="682" t="e">
        <f>+VLOOKUP([1]Data_Validation!$A735,[1]BV_Data_An_Cour!$L:$Q,6,0)</f>
        <v>#N/A</v>
      </c>
      <c r="H735" s="3"/>
    </row>
    <row r="736" spans="1:8" ht="15" customHeight="1">
      <c r="A736" s="691"/>
      <c r="B736" s="680"/>
      <c r="C736" s="681"/>
      <c r="D736" s="681"/>
      <c r="E736" s="682"/>
      <c r="F736" s="683"/>
      <c r="G736" s="682" t="e">
        <f>+VLOOKUP([1]Data_Validation!$A736,[1]BV_Data_An_Cour!$L:$Q,6,0)</f>
        <v>#N/A</v>
      </c>
      <c r="H736" s="3"/>
    </row>
    <row r="737" spans="1:11" ht="15" customHeight="1">
      <c r="A737" s="679"/>
      <c r="B737" s="690"/>
      <c r="C737" s="681"/>
      <c r="D737" s="681"/>
      <c r="E737" s="682"/>
      <c r="F737" s="683"/>
      <c r="G737" s="682" t="e">
        <f>+VLOOKUP([1]Data_Validation!$A737,[1]BV_Data_An_Cour!$L:$Q,6,0)</f>
        <v>#N/A</v>
      </c>
      <c r="H737" s="3"/>
    </row>
    <row r="738" spans="1:11" ht="15" customHeight="1">
      <c r="A738" s="679"/>
      <c r="B738" s="690"/>
      <c r="C738" s="681"/>
      <c r="D738" s="681"/>
      <c r="E738" s="682"/>
      <c r="F738" s="683"/>
      <c r="G738" s="682" t="e">
        <f>+VLOOKUP([1]Data_Validation!$A738,[1]BV_Data_An_Cour!$L:$Q,6,0)</f>
        <v>#N/A</v>
      </c>
      <c r="H738" s="3"/>
    </row>
    <row r="739" spans="1:11" ht="15" customHeight="1">
      <c r="A739" s="679"/>
      <c r="B739" s="690"/>
      <c r="C739" s="681"/>
      <c r="D739" s="681"/>
      <c r="E739" s="682"/>
      <c r="F739" s="683"/>
      <c r="G739" s="682" t="e">
        <f>+VLOOKUP([1]Data_Validation!$A739,[1]BV_Data_An_Cour!$L:$Q,6,0)</f>
        <v>#N/A</v>
      </c>
      <c r="H739" s="3"/>
    </row>
    <row r="740" spans="1:11" ht="15" customHeight="1">
      <c r="A740" s="679"/>
      <c r="B740" s="690"/>
      <c r="C740" s="681"/>
      <c r="D740" s="681"/>
      <c r="E740" s="682"/>
      <c r="F740" s="683"/>
      <c r="G740" s="682" t="e">
        <f>+VLOOKUP([1]Data_Validation!$A740,[1]BV_Data_An_Cour!$L:$Q,6,0)</f>
        <v>#N/A</v>
      </c>
      <c r="H740" s="3"/>
    </row>
    <row r="741" spans="1:11" ht="15" customHeight="1">
      <c r="A741" s="679"/>
      <c r="B741" s="690"/>
      <c r="C741" s="681"/>
      <c r="D741" s="681"/>
      <c r="E741" s="682"/>
      <c r="F741" s="683"/>
      <c r="G741" s="682" t="e">
        <f>+VLOOKUP([1]Data_Validation!$A741,[1]BV_Data_An_Cour!$L:$Q,6,0)</f>
        <v>#N/A</v>
      </c>
      <c r="H741" s="3"/>
    </row>
    <row r="742" spans="1:11" ht="15" customHeight="1">
      <c r="A742" s="679"/>
      <c r="B742" s="690"/>
      <c r="C742" s="681"/>
      <c r="D742" s="681"/>
      <c r="E742" s="682"/>
      <c r="F742" s="683"/>
      <c r="G742" s="682" t="e">
        <f>+VLOOKUP([1]Data_Validation!$A742,[1]BV_Data_An_Cour!$L:$Q,6,0)</f>
        <v>#N/A</v>
      </c>
      <c r="H742" s="3"/>
    </row>
    <row r="743" spans="1:11" ht="15" customHeight="1">
      <c r="A743" s="679"/>
      <c r="B743" s="690"/>
      <c r="C743" s="681"/>
      <c r="D743" s="681"/>
      <c r="E743" s="682"/>
      <c r="F743" s="683"/>
      <c r="G743" s="682" t="e">
        <f>+VLOOKUP([1]Data_Validation!$A743,[1]BV_Data_An_Cour!$L:$Q,6,0)</f>
        <v>#N/A</v>
      </c>
      <c r="H743" s="3"/>
      <c r="K743" s="3"/>
    </row>
    <row r="744" spans="1:11" ht="15" customHeight="1">
      <c r="A744" s="679"/>
      <c r="B744" s="690"/>
      <c r="C744" s="681"/>
      <c r="D744" s="681"/>
      <c r="E744" s="682"/>
      <c r="F744" s="683"/>
      <c r="G744" s="682" t="e">
        <f>+VLOOKUP([1]Data_Validation!$A744,[1]BV_Data_An_Cour!$L:$Q,6,0)</f>
        <v>#N/A</v>
      </c>
      <c r="H744" s="3"/>
    </row>
    <row r="745" spans="1:11" ht="15" customHeight="1">
      <c r="A745" s="679"/>
      <c r="B745" s="703"/>
      <c r="C745" s="695"/>
      <c r="D745" s="681"/>
      <c r="E745" s="682"/>
      <c r="F745" s="683"/>
      <c r="G745" s="682" t="e">
        <f>+VLOOKUP([1]Data_Validation!$A745,[1]BV_Data_An_Cour!$L:$Q,6,0)</f>
        <v>#N/A</v>
      </c>
      <c r="H745" s="3"/>
    </row>
    <row r="746" spans="1:11" ht="15" customHeight="1">
      <c r="A746" s="679"/>
      <c r="B746" s="690"/>
      <c r="C746" s="681"/>
      <c r="D746" s="681"/>
      <c r="E746" s="682"/>
      <c r="F746" s="683"/>
      <c r="G746" s="682" t="e">
        <f>+VLOOKUP([1]Data_Validation!$A746,[1]BV_Data_An_Cour!$L:$Q,6,0)</f>
        <v>#N/A</v>
      </c>
      <c r="H746" s="3"/>
    </row>
    <row r="747" spans="1:11" ht="15" customHeight="1">
      <c r="A747" s="679"/>
      <c r="B747" s="690"/>
      <c r="C747" s="681"/>
      <c r="D747" s="681"/>
      <c r="E747" s="682"/>
      <c r="F747" s="683"/>
      <c r="G747" s="682" t="e">
        <f>+VLOOKUP([1]Data_Validation!$A747,[1]BV_Data_An_Cour!$L:$Q,6,0)</f>
        <v>#N/A</v>
      </c>
      <c r="H747" s="3"/>
    </row>
    <row r="748" spans="1:11" ht="15" customHeight="1">
      <c r="A748" s="679"/>
      <c r="B748" s="690"/>
      <c r="C748" s="681"/>
      <c r="D748" s="681"/>
      <c r="E748" s="682"/>
      <c r="F748" s="683"/>
      <c r="G748" s="682" t="e">
        <f>+VLOOKUP([1]Data_Validation!$A748,[1]BV_Data_An_Cour!$L:$Q,6,0)</f>
        <v>#N/A</v>
      </c>
      <c r="H748" s="3"/>
    </row>
    <row r="749" spans="1:11" ht="15" customHeight="1">
      <c r="A749" s="679"/>
      <c r="B749" s="690"/>
      <c r="C749" s="681"/>
      <c r="D749" s="681"/>
      <c r="E749" s="682"/>
      <c r="F749" s="683"/>
      <c r="G749" s="682" t="e">
        <f>+VLOOKUP([1]Data_Validation!$A749,[1]BV_Data_An_Cour!$L:$Q,6,0)</f>
        <v>#N/A</v>
      </c>
      <c r="H749" s="3"/>
    </row>
    <row r="750" spans="1:11" ht="15" customHeight="1">
      <c r="A750" s="679"/>
      <c r="B750" s="690"/>
      <c r="C750" s="681"/>
      <c r="D750" s="681"/>
      <c r="E750" s="682"/>
      <c r="F750" s="683"/>
      <c r="G750" s="682" t="e">
        <f>+VLOOKUP([1]Data_Validation!$A750,[1]BV_Data_An_Cour!$L:$Q,6,0)</f>
        <v>#N/A</v>
      </c>
      <c r="H750" s="3"/>
    </row>
    <row r="751" spans="1:11" ht="15" customHeight="1">
      <c r="A751" s="679"/>
      <c r="B751" s="690"/>
      <c r="C751" s="681"/>
      <c r="D751" s="681"/>
      <c r="E751" s="682"/>
      <c r="F751" s="683"/>
      <c r="G751" s="682" t="e">
        <f>+VLOOKUP([1]Data_Validation!$A751,[1]BV_Data_An_Cour!$L:$Q,6,0)</f>
        <v>#N/A</v>
      </c>
      <c r="H751" s="3"/>
    </row>
    <row r="752" spans="1:11" ht="15" customHeight="1">
      <c r="A752" s="679"/>
      <c r="B752" s="690"/>
      <c r="C752" s="681"/>
      <c r="D752" s="681"/>
      <c r="E752" s="682"/>
      <c r="F752" s="683"/>
      <c r="G752" s="682" t="e">
        <f>+VLOOKUP([1]Data_Validation!$A752,[1]BV_Data_An_Cour!$L:$Q,6,0)</f>
        <v>#N/A</v>
      </c>
      <c r="H752" s="3"/>
    </row>
    <row r="753" spans="1:29" ht="15" customHeight="1">
      <c r="A753" s="690"/>
      <c r="B753" s="690"/>
      <c r="C753" s="681"/>
      <c r="D753" s="681"/>
      <c r="E753" s="682"/>
      <c r="F753" s="683"/>
      <c r="G753" s="682" t="e">
        <f>+VLOOKUP([1]Data_Validation!$A753,[1]BV_Data_An_Cour!$L:$Q,6,0)</f>
        <v>#N/A</v>
      </c>
      <c r="H753" s="3"/>
    </row>
    <row r="754" spans="1:29" ht="15" customHeight="1">
      <c r="A754" s="679"/>
      <c r="B754" s="690"/>
      <c r="C754" s="681"/>
      <c r="D754" s="681"/>
      <c r="E754" s="682"/>
      <c r="F754" s="683"/>
      <c r="G754" s="682" t="e">
        <f>+VLOOKUP([1]Data_Validation!$A754,[1]BV_Data_An_Cour!$L:$Q,6,0)</f>
        <v>#N/A</v>
      </c>
      <c r="H754" s="3"/>
    </row>
    <row r="755" spans="1:29" ht="15" customHeight="1">
      <c r="A755" s="679"/>
      <c r="B755" s="690"/>
      <c r="C755" s="681"/>
      <c r="D755" s="681"/>
      <c r="E755" s="682"/>
      <c r="F755" s="683"/>
      <c r="G755" s="682" t="e">
        <f>+VLOOKUP([1]Data_Validation!$A755,[1]BV_Data_An_Cour!$L:$Q,6,0)</f>
        <v>#N/A</v>
      </c>
      <c r="H755" s="3"/>
    </row>
    <row r="756" spans="1:29" ht="15" customHeight="1">
      <c r="A756" s="679"/>
      <c r="B756" s="690"/>
      <c r="C756" s="681"/>
      <c r="D756" s="681"/>
      <c r="E756" s="682"/>
      <c r="F756" s="683"/>
      <c r="G756" s="682" t="e">
        <f>+VLOOKUP([1]Data_Validation!$A756,[1]BV_Data_An_Cour!$L:$Q,6,0)</f>
        <v>#N/A</v>
      </c>
      <c r="H756" s="3"/>
      <c r="K756" s="3"/>
    </row>
    <row r="757" spans="1:29" ht="15" customHeight="1">
      <c r="A757" s="679"/>
      <c r="B757" s="690"/>
      <c r="C757" s="681"/>
      <c r="D757" s="681"/>
      <c r="E757" s="682"/>
      <c r="F757" s="683"/>
      <c r="G757" s="682" t="e">
        <f>+VLOOKUP([1]Data_Validation!$A757,[1]BV_Data_An_Cour!$L:$Q,6,0)</f>
        <v>#N/A</v>
      </c>
      <c r="H757" s="3"/>
    </row>
    <row r="758" spans="1:29" ht="15" customHeight="1">
      <c r="A758" s="679"/>
      <c r="B758" s="690"/>
      <c r="C758" s="681"/>
      <c r="D758" s="681"/>
      <c r="E758" s="682"/>
      <c r="F758" s="683"/>
      <c r="G758" s="682" t="e">
        <f>+VLOOKUP([1]Data_Validation!$A758,[1]BV_Data_An_Cour!$L:$Q,6,0)</f>
        <v>#N/A</v>
      </c>
      <c r="H758" s="3"/>
      <c r="K758" s="3"/>
    </row>
    <row r="759" spans="1:29" ht="15" customHeight="1">
      <c r="A759" s="679"/>
      <c r="B759" s="690"/>
      <c r="C759" s="681"/>
      <c r="D759" s="681"/>
      <c r="E759" s="682"/>
      <c r="F759" s="683"/>
      <c r="G759" s="682" t="e">
        <f>+VLOOKUP([1]Data_Validation!$A759,[1]BV_Data_An_Cour!$L:$Q,6,0)</f>
        <v>#N/A</v>
      </c>
      <c r="H759" s="3"/>
    </row>
    <row r="760" spans="1:29" ht="15" customHeight="1">
      <c r="A760" s="679"/>
      <c r="B760" s="690"/>
      <c r="C760" s="681"/>
      <c r="D760" s="681"/>
      <c r="E760" s="682"/>
      <c r="F760" s="683"/>
      <c r="G760" s="682" t="e">
        <f>+VLOOKUP([1]Data_Validation!$A760,[1]BV_Data_An_Cour!$L:$Q,6,0)</f>
        <v>#N/A</v>
      </c>
      <c r="H760" s="3"/>
    </row>
    <row r="761" spans="1:29" ht="15" customHeight="1">
      <c r="A761" s="679"/>
      <c r="B761" s="690"/>
      <c r="C761" s="681"/>
      <c r="D761" s="681"/>
      <c r="E761" s="682"/>
      <c r="F761" s="683"/>
      <c r="G761" s="682" t="e">
        <f>+VLOOKUP([1]Data_Validation!$A761,[1]BV_Data_An_Cour!$L:$Q,6,0)</f>
        <v>#N/A</v>
      </c>
      <c r="H761" s="3"/>
    </row>
    <row r="762" spans="1:29" ht="15" customHeight="1">
      <c r="A762" s="679"/>
      <c r="B762" s="690"/>
      <c r="C762" s="681"/>
      <c r="D762" s="681"/>
      <c r="E762" s="682"/>
      <c r="F762" s="683"/>
      <c r="G762" s="682" t="e">
        <f>+VLOOKUP([1]Data_Validation!$A762,[1]BV_Data_An_Cour!$L:$Q,6,0)</f>
        <v>#N/A</v>
      </c>
      <c r="H762" s="3"/>
    </row>
    <row r="763" spans="1:29" ht="15" customHeight="1">
      <c r="A763" s="679"/>
      <c r="B763" s="690"/>
      <c r="C763" s="681"/>
      <c r="D763" s="681"/>
      <c r="E763" s="682"/>
      <c r="F763" s="683"/>
      <c r="G763" s="682" t="e">
        <f>+VLOOKUP([1]Data_Validation!$A763,[1]BV_Data_An_Cour!$L:$Q,6,0)</f>
        <v>#N/A</v>
      </c>
      <c r="H763" s="3"/>
    </row>
    <row r="764" spans="1:29" ht="15" customHeight="1">
      <c r="A764" s="679"/>
      <c r="B764" s="690"/>
      <c r="C764" s="681"/>
      <c r="D764" s="681"/>
      <c r="E764" s="682"/>
      <c r="F764" s="683"/>
      <c r="G764" s="682" t="e">
        <f>+VLOOKUP([1]Data_Validation!$A764,[1]BV_Data_An_Cour!$L:$Q,6,0)</f>
        <v>#N/A</v>
      </c>
      <c r="H764" s="3"/>
    </row>
    <row r="765" spans="1:29" ht="15" customHeight="1">
      <c r="A765" s="679"/>
      <c r="B765" s="690"/>
      <c r="C765" s="681"/>
      <c r="D765" s="681"/>
      <c r="E765" s="682"/>
      <c r="F765" s="683"/>
      <c r="G765" s="682"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9"/>
      <c r="B766" s="690"/>
      <c r="C766" s="681"/>
      <c r="D766" s="681"/>
      <c r="E766" s="682"/>
      <c r="F766" s="683"/>
      <c r="G766" s="682" t="e">
        <f>+VLOOKUP([1]Data_Validation!$A766,[1]BV_Data_An_Cour!$L:$Q,6,0)</f>
        <v>#N/A</v>
      </c>
      <c r="H766" s="3"/>
    </row>
    <row r="767" spans="1:29" ht="15" customHeight="1">
      <c r="A767" s="679"/>
      <c r="B767" s="690"/>
      <c r="C767" s="681"/>
      <c r="D767" s="681"/>
      <c r="E767" s="682"/>
      <c r="F767" s="683"/>
      <c r="G767" s="682" t="e">
        <f>+VLOOKUP([1]Data_Validation!$A767,[1]BV_Data_An_Cour!$L:$Q,6,0)</f>
        <v>#N/A</v>
      </c>
      <c r="H767" s="3"/>
    </row>
    <row r="768" spans="1:29" ht="15" customHeight="1">
      <c r="A768" s="679"/>
      <c r="B768" s="690"/>
      <c r="C768" s="681"/>
      <c r="D768" s="681"/>
      <c r="E768" s="682"/>
      <c r="F768" s="683"/>
      <c r="G768" s="682" t="e">
        <f>+VLOOKUP([1]Data_Validation!$A768,[1]BV_Data_An_Cour!$L:$Q,6,0)</f>
        <v>#N/A</v>
      </c>
      <c r="H768" s="3"/>
    </row>
    <row r="769" spans="1:8" ht="15" customHeight="1">
      <c r="A769" s="679"/>
      <c r="B769" s="690"/>
      <c r="C769" s="681"/>
      <c r="D769" s="681"/>
      <c r="E769" s="682"/>
      <c r="F769" s="683"/>
      <c r="G769" s="682" t="e">
        <f>+VLOOKUP([1]Data_Validation!$A769,[1]BV_Data_An_Cour!$L:$Q,6,0)</f>
        <v>#N/A</v>
      </c>
      <c r="H769" s="3"/>
    </row>
    <row r="770" spans="1:8" ht="15" customHeight="1">
      <c r="A770" s="679"/>
      <c r="B770" s="690"/>
      <c r="C770" s="681"/>
      <c r="D770" s="681"/>
      <c r="E770" s="682"/>
      <c r="F770" s="683"/>
      <c r="G770" s="682" t="e">
        <f>+VLOOKUP([1]Data_Validation!$A770,[1]BV_Data_An_Cour!$L:$Q,6,0)</f>
        <v>#N/A</v>
      </c>
      <c r="H770" s="3"/>
    </row>
    <row r="771" spans="1:8" ht="15" customHeight="1">
      <c r="A771" s="679"/>
      <c r="B771" s="690"/>
      <c r="C771" s="681"/>
      <c r="D771" s="681"/>
      <c r="E771" s="682"/>
      <c r="F771" s="683"/>
      <c r="G771" s="682" t="e">
        <f>+VLOOKUP([1]Data_Validation!$A771,[1]BV_Data_An_Cour!$L:$Q,6,0)</f>
        <v>#N/A</v>
      </c>
      <c r="H771" s="3"/>
    </row>
    <row r="772" spans="1:8" ht="15" customHeight="1">
      <c r="A772" s="679"/>
      <c r="B772" s="690"/>
      <c r="C772" s="681"/>
      <c r="D772" s="681"/>
      <c r="E772" s="682"/>
      <c r="F772" s="683"/>
      <c r="G772" s="682" t="e">
        <f>+VLOOKUP([1]Data_Validation!$A772,[1]BV_Data_An_Cour!$L:$Q,6,0)</f>
        <v>#N/A</v>
      </c>
      <c r="H772" s="3"/>
    </row>
    <row r="773" spans="1:8" ht="15" customHeight="1">
      <c r="A773" s="679"/>
      <c r="B773" s="690"/>
      <c r="C773" s="681"/>
      <c r="D773" s="681"/>
      <c r="E773" s="682"/>
      <c r="F773" s="683"/>
      <c r="G773" s="682" t="e">
        <f>+VLOOKUP([1]Data_Validation!$A773,[1]BV_Data_An_Cour!$L:$Q,6,0)</f>
        <v>#N/A</v>
      </c>
      <c r="H773" s="3"/>
    </row>
    <row r="774" spans="1:8" ht="15" customHeight="1">
      <c r="A774" s="679"/>
      <c r="B774" s="690"/>
      <c r="C774" s="681"/>
      <c r="D774" s="681"/>
      <c r="E774" s="682"/>
      <c r="F774" s="683"/>
      <c r="G774" s="682" t="e">
        <f>+VLOOKUP([1]Data_Validation!$A774,[1]BV_Data_An_Cour!$L:$Q,6,0)</f>
        <v>#N/A</v>
      </c>
      <c r="H774" s="3"/>
    </row>
    <row r="775" spans="1:8" ht="15" customHeight="1">
      <c r="A775" s="679"/>
      <c r="B775" s="690"/>
      <c r="C775" s="681"/>
      <c r="D775" s="681"/>
      <c r="E775" s="682"/>
      <c r="F775" s="683"/>
      <c r="G775" s="682" t="e">
        <f>+VLOOKUP([1]Data_Validation!$A775,[1]BV_Data_An_Cour!$L:$Q,6,0)</f>
        <v>#N/A</v>
      </c>
      <c r="H775" s="3"/>
    </row>
    <row r="776" spans="1:8" ht="15" customHeight="1">
      <c r="A776" s="679"/>
      <c r="B776" s="690"/>
      <c r="C776" s="681"/>
      <c r="D776" s="681"/>
      <c r="E776" s="682"/>
      <c r="F776" s="683"/>
      <c r="G776" s="682" t="e">
        <f>+VLOOKUP([1]Data_Validation!$A776,[1]BV_Data_An_Cour!$L:$Q,6,0)</f>
        <v>#N/A</v>
      </c>
      <c r="H776" s="3"/>
    </row>
    <row r="777" spans="1:8" ht="15" customHeight="1">
      <c r="A777" s="679"/>
      <c r="B777" s="690"/>
      <c r="C777" s="681"/>
      <c r="D777" s="681"/>
      <c r="E777" s="682"/>
      <c r="F777" s="683"/>
      <c r="G777" s="682" t="e">
        <f>+VLOOKUP([1]Data_Validation!$A777,[1]BV_Data_An_Cour!$L:$Q,6,0)</f>
        <v>#N/A</v>
      </c>
      <c r="H777" s="3"/>
    </row>
    <row r="778" spans="1:8" ht="15" customHeight="1">
      <c r="A778" s="679"/>
      <c r="B778" s="690"/>
      <c r="C778" s="681"/>
      <c r="D778" s="681"/>
      <c r="E778" s="682"/>
      <c r="F778" s="683"/>
      <c r="G778" s="682" t="e">
        <f>+VLOOKUP([1]Data_Validation!$A778,[1]BV_Data_An_Cour!$L:$Q,6,0)</f>
        <v>#N/A</v>
      </c>
      <c r="H778" s="3"/>
    </row>
    <row r="779" spans="1:8" ht="15" customHeight="1">
      <c r="A779" s="679"/>
      <c r="B779" s="690"/>
      <c r="C779" s="681"/>
      <c r="D779" s="681"/>
      <c r="E779" s="682"/>
      <c r="F779" s="683"/>
      <c r="G779" s="682" t="e">
        <f>+VLOOKUP([1]Data_Validation!$A779,[1]BV_Data_An_Cour!$L:$Q,6,0)</f>
        <v>#N/A</v>
      </c>
      <c r="H779" s="3"/>
    </row>
    <row r="780" spans="1:8" ht="15" customHeight="1">
      <c r="A780" s="679"/>
      <c r="B780" s="690"/>
      <c r="C780" s="681"/>
      <c r="D780" s="681"/>
      <c r="E780" s="682"/>
      <c r="F780" s="683"/>
      <c r="G780" s="682" t="e">
        <f>+VLOOKUP([1]Data_Validation!$A780,[1]BV_Data_An_Cour!$L:$Q,6,0)</f>
        <v>#N/A</v>
      </c>
      <c r="H780" s="3"/>
    </row>
    <row r="781" spans="1:8" ht="15" customHeight="1">
      <c r="A781" s="679"/>
      <c r="B781" s="690"/>
      <c r="C781" s="681"/>
      <c r="D781" s="681"/>
      <c r="E781" s="682"/>
      <c r="F781" s="683"/>
      <c r="G781" s="682" t="e">
        <f>+VLOOKUP([1]Data_Validation!$A781,[1]BV_Data_An_Cour!$L:$Q,6,0)</f>
        <v>#N/A</v>
      </c>
      <c r="H781" s="3"/>
    </row>
    <row r="782" spans="1:8" ht="15" customHeight="1">
      <c r="A782" s="679"/>
      <c r="B782" s="690"/>
      <c r="C782" s="681"/>
      <c r="D782" s="681"/>
      <c r="E782" s="682"/>
      <c r="F782" s="683"/>
      <c r="G782" s="682" t="e">
        <f>+VLOOKUP([1]Data_Validation!$A782,[1]BV_Data_An_Cour!$L:$Q,6,0)</f>
        <v>#N/A</v>
      </c>
      <c r="H782" s="3"/>
    </row>
    <row r="783" spans="1:8" ht="15" customHeight="1">
      <c r="A783" s="679"/>
      <c r="B783" s="690"/>
      <c r="C783" s="681"/>
      <c r="D783" s="681"/>
      <c r="E783" s="682"/>
      <c r="F783" s="683"/>
      <c r="G783" s="682" t="e">
        <f>+VLOOKUP([1]Data_Validation!$A783,[1]BV_Data_An_Cour!$L:$Q,6,0)</f>
        <v>#N/A</v>
      </c>
      <c r="H783" s="3"/>
    </row>
    <row r="784" spans="1:8" ht="15" customHeight="1">
      <c r="A784" s="679"/>
      <c r="B784" s="690"/>
      <c r="C784" s="681"/>
      <c r="D784" s="681"/>
      <c r="E784" s="682"/>
      <c r="F784" s="683"/>
      <c r="G784" s="682" t="e">
        <f>+VLOOKUP([1]Data_Validation!$A784,[1]BV_Data_An_Cour!$L:$Q,6,0)</f>
        <v>#N/A</v>
      </c>
      <c r="H784" s="3"/>
    </row>
    <row r="785" spans="1:8" ht="15" customHeight="1">
      <c r="A785" s="679"/>
      <c r="B785" s="690"/>
      <c r="C785" s="681"/>
      <c r="D785" s="681"/>
      <c r="E785" s="682"/>
      <c r="F785" s="683"/>
      <c r="G785" s="682" t="e">
        <f>+VLOOKUP([1]Data_Validation!$A785,[1]BV_Data_An_Cour!$L:$Q,6,0)</f>
        <v>#N/A</v>
      </c>
      <c r="H785" s="3"/>
    </row>
    <row r="786" spans="1:8" ht="15" customHeight="1">
      <c r="A786" s="679"/>
      <c r="B786" s="690"/>
      <c r="C786" s="681"/>
      <c r="D786" s="681"/>
      <c r="E786" s="682"/>
      <c r="F786" s="683"/>
      <c r="G786" s="682" t="e">
        <f>+VLOOKUP([1]Data_Validation!$A786,[1]BV_Data_An_Cour!$L:$Q,6,0)</f>
        <v>#N/A</v>
      </c>
      <c r="H786" s="3"/>
    </row>
    <row r="787" spans="1:8" ht="15" customHeight="1">
      <c r="A787" s="679"/>
      <c r="B787" s="690"/>
      <c r="C787" s="681"/>
      <c r="D787" s="681"/>
      <c r="E787" s="682"/>
      <c r="F787" s="683"/>
      <c r="G787" s="682" t="e">
        <f>+VLOOKUP([1]Data_Validation!$A787,[1]BV_Data_An_Cour!$L:$Q,6,0)</f>
        <v>#N/A</v>
      </c>
      <c r="H787" s="3"/>
    </row>
    <row r="788" spans="1:8" ht="15" customHeight="1">
      <c r="A788" s="679"/>
      <c r="B788" s="690"/>
      <c r="C788" s="681"/>
      <c r="D788" s="681"/>
      <c r="E788" s="682"/>
      <c r="F788" s="683"/>
      <c r="G788" s="682" t="e">
        <f>+VLOOKUP([1]Data_Validation!$A788,[1]BV_Data_An_Cour!$L:$Q,6,0)</f>
        <v>#N/A</v>
      </c>
      <c r="H788" s="3"/>
    </row>
    <row r="789" spans="1:8" ht="15" customHeight="1">
      <c r="A789" s="679"/>
      <c r="B789" s="690"/>
      <c r="C789" s="681"/>
      <c r="D789" s="681"/>
      <c r="E789" s="682"/>
      <c r="F789" s="683"/>
      <c r="G789" s="682" t="e">
        <f>+VLOOKUP([1]Data_Validation!$A789,[1]BV_Data_An_Cour!$L:$Q,6,0)</f>
        <v>#N/A</v>
      </c>
      <c r="H789" s="3"/>
    </row>
    <row r="790" spans="1:8" ht="15" customHeight="1">
      <c r="A790" s="690"/>
      <c r="B790" s="690"/>
      <c r="C790" s="681"/>
      <c r="D790" s="681"/>
      <c r="E790" s="682"/>
      <c r="F790" s="683"/>
      <c r="G790" s="682" t="e">
        <f>+VLOOKUP([1]Data_Validation!$A790,[1]BV_Data_An_Cour!$L:$Q,6,0)</f>
        <v>#N/A</v>
      </c>
      <c r="H790" s="3"/>
    </row>
    <row r="791" spans="1:8" ht="15" customHeight="1">
      <c r="A791" s="679"/>
      <c r="B791" s="690"/>
      <c r="C791" s="681"/>
      <c r="D791" s="681"/>
      <c r="E791" s="682"/>
      <c r="F791" s="683"/>
      <c r="G791" s="682" t="e">
        <f>+VLOOKUP([1]Data_Validation!$A791,[1]BV_Data_An_Cour!$L:$Q,6,0)</f>
        <v>#N/A</v>
      </c>
      <c r="H791" s="3"/>
    </row>
    <row r="792" spans="1:8" ht="15" customHeight="1">
      <c r="A792" s="679"/>
      <c r="B792" s="690"/>
      <c r="C792" s="681"/>
      <c r="D792" s="681"/>
      <c r="E792" s="682"/>
      <c r="F792" s="683"/>
      <c r="G792" s="682" t="e">
        <f>+VLOOKUP([1]Data_Validation!$A792,[1]BV_Data_An_Cour!$L:$Q,6,0)</f>
        <v>#N/A</v>
      </c>
      <c r="H792" s="3"/>
    </row>
    <row r="793" spans="1:8" ht="15" customHeight="1">
      <c r="A793" s="679"/>
      <c r="B793" s="690"/>
      <c r="C793" s="681"/>
      <c r="D793" s="681"/>
      <c r="E793" s="682"/>
      <c r="F793" s="683"/>
      <c r="G793" s="682" t="e">
        <f>+VLOOKUP([1]Data_Validation!$A793,[1]BV_Data_An_Cour!$L:$Q,6,0)</f>
        <v>#N/A</v>
      </c>
      <c r="H793" s="3"/>
    </row>
    <row r="794" spans="1:8" ht="15" customHeight="1">
      <c r="A794" s="679"/>
      <c r="B794" s="690"/>
      <c r="C794" s="681"/>
      <c r="D794" s="681"/>
      <c r="E794" s="682"/>
      <c r="F794" s="683"/>
      <c r="G794" s="682" t="e">
        <f>+VLOOKUP([1]Data_Validation!$A794,[1]BV_Data_An_Cour!$L:$Q,6,0)</f>
        <v>#N/A</v>
      </c>
      <c r="H794" s="3"/>
    </row>
    <row r="795" spans="1:8" ht="15" customHeight="1">
      <c r="A795" s="679"/>
      <c r="B795" s="690"/>
      <c r="C795" s="681"/>
      <c r="D795" s="681"/>
      <c r="E795" s="682"/>
      <c r="F795" s="683"/>
      <c r="G795" s="682" t="e">
        <f>+VLOOKUP([1]Data_Validation!$A795,[1]BV_Data_An_Cour!$L:$Q,6,0)</f>
        <v>#N/A</v>
      </c>
      <c r="H795" s="3"/>
    </row>
    <row r="796" spans="1:8" ht="15" customHeight="1">
      <c r="A796" s="679"/>
      <c r="B796" s="690"/>
      <c r="C796" s="681"/>
      <c r="D796" s="681"/>
      <c r="E796" s="682"/>
      <c r="F796" s="683"/>
      <c r="G796" s="682" t="e">
        <f>+VLOOKUP([1]Data_Validation!$A796,[1]BV_Data_An_Cour!$L:$Q,6,0)</f>
        <v>#N/A</v>
      </c>
      <c r="H796" s="3"/>
    </row>
    <row r="797" spans="1:8" ht="15" customHeight="1">
      <c r="A797" s="679"/>
      <c r="B797" s="690"/>
      <c r="C797" s="681"/>
      <c r="D797" s="681"/>
      <c r="E797" s="682"/>
      <c r="F797" s="683"/>
      <c r="G797" s="682" t="e">
        <f>+VLOOKUP([1]Data_Validation!$A797,[1]BV_Data_An_Cour!$L:$Q,6,0)</f>
        <v>#N/A</v>
      </c>
      <c r="H797" s="3"/>
    </row>
    <row r="798" spans="1:8" ht="15" customHeight="1">
      <c r="A798" s="679"/>
      <c r="B798" s="690"/>
      <c r="C798" s="681"/>
      <c r="D798" s="681"/>
      <c r="E798" s="682"/>
      <c r="F798" s="683"/>
      <c r="G798" s="682" t="e">
        <f>+VLOOKUP([1]Data_Validation!$A798,[1]BV_Data_An_Cour!$L:$Q,6,0)</f>
        <v>#N/A</v>
      </c>
      <c r="H798" s="3"/>
    </row>
    <row r="799" spans="1:8" ht="15" customHeight="1">
      <c r="A799" s="679"/>
      <c r="B799" s="690"/>
      <c r="C799" s="681"/>
      <c r="D799" s="681"/>
      <c r="E799" s="682"/>
      <c r="F799" s="683"/>
      <c r="G799" s="682" t="e">
        <f>+VLOOKUP([1]Data_Validation!$A799,[1]BV_Data_An_Cour!$L:$Q,6,0)</f>
        <v>#N/A</v>
      </c>
      <c r="H799" s="3"/>
    </row>
    <row r="800" spans="1:8" ht="15" customHeight="1">
      <c r="A800" s="679"/>
      <c r="B800" s="690"/>
      <c r="C800" s="681"/>
      <c r="D800" s="681"/>
      <c r="E800" s="682"/>
      <c r="F800" s="683"/>
      <c r="G800" s="682" t="e">
        <f>+VLOOKUP([1]Data_Validation!$A800,[1]BV_Data_An_Cour!$L:$Q,6,0)</f>
        <v>#N/A</v>
      </c>
      <c r="H800" s="3"/>
    </row>
    <row r="801" spans="1:29" ht="15" customHeight="1">
      <c r="A801" s="679"/>
      <c r="B801" s="690"/>
      <c r="C801" s="681"/>
      <c r="D801" s="681"/>
      <c r="E801" s="682"/>
      <c r="F801" s="683"/>
      <c r="G801" s="682"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9"/>
      <c r="B802" s="690"/>
      <c r="C802" s="681"/>
      <c r="D802" s="681"/>
      <c r="E802" s="682"/>
      <c r="F802" s="683"/>
      <c r="G802" s="682" t="e">
        <f>+VLOOKUP([1]Data_Validation!$A802,[1]BV_Data_An_Cour!$L:$Q,6,0)</f>
        <v>#N/A</v>
      </c>
      <c r="H802" s="3"/>
    </row>
    <row r="803" spans="1:29" ht="15" customHeight="1">
      <c r="A803" s="679"/>
      <c r="B803" s="690"/>
      <c r="C803" s="681"/>
      <c r="D803" s="681"/>
      <c r="E803" s="682"/>
      <c r="F803" s="683"/>
      <c r="G803" s="682" t="e">
        <f>+VLOOKUP([1]Data_Validation!$A803,[1]BV_Data_An_Cour!$L:$Q,6,0)</f>
        <v>#N/A</v>
      </c>
      <c r="H803" s="3"/>
    </row>
    <row r="804" spans="1:29" ht="15" customHeight="1">
      <c r="A804" s="679"/>
      <c r="B804" s="690"/>
      <c r="C804" s="681"/>
      <c r="D804" s="681"/>
      <c r="E804" s="682"/>
      <c r="F804" s="683"/>
      <c r="G804" s="682" t="e">
        <f>+VLOOKUP([1]Data_Validation!$A804,[1]BV_Data_An_Cour!$L:$Q,6,0)</f>
        <v>#N/A</v>
      </c>
      <c r="H804" s="3"/>
    </row>
    <row r="805" spans="1:29" ht="15" customHeight="1">
      <c r="A805" s="679"/>
      <c r="B805" s="690"/>
      <c r="C805" s="681"/>
      <c r="D805" s="681"/>
      <c r="E805" s="682"/>
      <c r="F805" s="683"/>
      <c r="G805" s="682" t="e">
        <f>+VLOOKUP([1]Data_Validation!$A805,[1]BV_Data_An_Cour!$L:$Q,6,0)</f>
        <v>#N/A</v>
      </c>
      <c r="H805" s="3"/>
    </row>
    <row r="806" spans="1:29" ht="15" customHeight="1">
      <c r="A806" s="679"/>
      <c r="B806" s="690"/>
      <c r="C806" s="681"/>
      <c r="D806" s="681"/>
      <c r="E806" s="682"/>
      <c r="F806" s="683"/>
      <c r="G806" s="682" t="e">
        <f>+VLOOKUP([1]Data_Validation!$A806,[1]BV_Data_An_Cour!$L:$Q,6,0)</f>
        <v>#N/A</v>
      </c>
      <c r="H806" s="3"/>
    </row>
    <row r="807" spans="1:29" ht="15" customHeight="1">
      <c r="A807" s="679"/>
      <c r="B807" s="690"/>
      <c r="C807" s="681"/>
      <c r="D807" s="681"/>
      <c r="E807" s="682"/>
      <c r="F807" s="683"/>
      <c r="G807" s="682" t="e">
        <f>+VLOOKUP([1]Data_Validation!$A807,[1]BV_Data_An_Cour!$L:$Q,6,0)</f>
        <v>#N/A</v>
      </c>
      <c r="H807" s="3"/>
    </row>
    <row r="808" spans="1:29" ht="15" customHeight="1">
      <c r="A808" s="679"/>
      <c r="B808" s="690"/>
      <c r="C808" s="681"/>
      <c r="D808" s="681"/>
      <c r="E808" s="682"/>
      <c r="F808" s="683"/>
      <c r="G808" s="682" t="e">
        <f>+VLOOKUP([1]Data_Validation!$A808,[1]BV_Data_An_Cour!$L:$Q,6,0)</f>
        <v>#N/A</v>
      </c>
      <c r="H808" s="3"/>
      <c r="K808" s="3"/>
    </row>
    <row r="809" spans="1:29" ht="15" customHeight="1">
      <c r="A809" s="679"/>
      <c r="B809" s="690"/>
      <c r="C809" s="681"/>
      <c r="D809" s="681"/>
      <c r="E809" s="682"/>
      <c r="F809" s="683"/>
      <c r="G809" s="682" t="e">
        <f>+VLOOKUP([1]Data_Validation!$A809,[1]BV_Data_An_Cour!$L:$Q,6,0)</f>
        <v>#N/A</v>
      </c>
      <c r="H809" s="3"/>
    </row>
    <row r="810" spans="1:29" ht="15" customHeight="1">
      <c r="A810" s="679"/>
      <c r="B810" s="690"/>
      <c r="C810" s="681"/>
      <c r="D810" s="681"/>
      <c r="E810" s="682"/>
      <c r="F810" s="683"/>
      <c r="G810" s="682" t="e">
        <f>+VLOOKUP([1]Data_Validation!$A810,[1]BV_Data_An_Cour!$L:$Q,6,0)</f>
        <v>#N/A</v>
      </c>
      <c r="H810" s="3"/>
    </row>
    <row r="811" spans="1:29" ht="15" customHeight="1">
      <c r="A811" s="679"/>
      <c r="B811" s="690"/>
      <c r="C811" s="681"/>
      <c r="D811" s="681"/>
      <c r="E811" s="682"/>
      <c r="F811" s="683"/>
      <c r="G811" s="682" t="e">
        <f>+VLOOKUP([1]Data_Validation!$A811,[1]BV_Data_An_Cour!$L:$Q,6,0)</f>
        <v>#N/A</v>
      </c>
      <c r="H811" s="3"/>
    </row>
    <row r="812" spans="1:29" ht="15" customHeight="1">
      <c r="A812" s="679"/>
      <c r="B812" s="705"/>
      <c r="C812" s="681"/>
      <c r="D812" s="681"/>
      <c r="E812" s="682"/>
      <c r="F812" s="683"/>
      <c r="G812" s="682" t="e">
        <f>+VLOOKUP([1]Data_Validation!$A812,[1]BV_Data_An_Cour!$L:$Q,6,0)</f>
        <v>#N/A</v>
      </c>
      <c r="H812" s="3"/>
    </row>
    <row r="813" spans="1:29" ht="15" customHeight="1">
      <c r="A813" s="679"/>
      <c r="B813" s="690"/>
      <c r="C813" s="681"/>
      <c r="D813" s="681"/>
      <c r="E813" s="682"/>
      <c r="F813" s="683"/>
      <c r="G813" s="682" t="e">
        <f>+VLOOKUP([1]Data_Validation!$A813,[1]BV_Data_An_Cour!$L:$Q,6,0)</f>
        <v>#N/A</v>
      </c>
      <c r="H813" s="4"/>
    </row>
    <row r="814" spans="1:29" ht="15" customHeight="1">
      <c r="A814" s="679"/>
      <c r="B814" s="690"/>
      <c r="C814" s="681"/>
      <c r="D814" s="681"/>
      <c r="E814" s="682"/>
      <c r="F814" s="683"/>
      <c r="G814" s="682" t="e">
        <f>+VLOOKUP([1]Data_Validation!$A814,[1]BV_Data_An_Cour!$L:$Q,6,0)</f>
        <v>#N/A</v>
      </c>
      <c r="H814" s="4"/>
    </row>
    <row r="815" spans="1:29" ht="15" customHeight="1">
      <c r="A815" s="679"/>
      <c r="B815" s="690"/>
      <c r="C815" s="681"/>
      <c r="D815" s="681"/>
      <c r="E815" s="682"/>
      <c r="F815" s="683"/>
      <c r="G815" s="682" t="e">
        <f>+VLOOKUP([1]Data_Validation!$A815,[1]BV_Data_An_Cour!$L:$Q,6,0)</f>
        <v>#N/A</v>
      </c>
      <c r="H815" s="3"/>
    </row>
    <row r="816" spans="1:29" ht="15" customHeight="1">
      <c r="A816" s="679"/>
      <c r="B816" s="690"/>
      <c r="C816" s="681"/>
      <c r="D816" s="681"/>
      <c r="E816" s="682"/>
      <c r="F816" s="683"/>
      <c r="G816" s="682" t="e">
        <f>+VLOOKUP([1]Data_Validation!$A816,[1]BV_Data_An_Cour!$L:$Q,6,0)</f>
        <v>#N/A</v>
      </c>
      <c r="H816" s="3"/>
    </row>
    <row r="817" spans="1:29" ht="15" customHeight="1">
      <c r="A817" s="679"/>
      <c r="B817" s="690"/>
      <c r="C817" s="681"/>
      <c r="D817" s="681"/>
      <c r="E817" s="682"/>
      <c r="F817" s="683"/>
      <c r="G817" s="682"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9"/>
      <c r="B818" s="690"/>
      <c r="C818" s="681"/>
      <c r="D818" s="681"/>
      <c r="E818" s="682"/>
      <c r="F818" s="683"/>
      <c r="G818" s="682"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9"/>
      <c r="B819" s="690"/>
      <c r="C819" s="681"/>
      <c r="D819" s="681"/>
      <c r="E819" s="682"/>
      <c r="F819" s="683"/>
      <c r="G819" s="682" t="e">
        <f>+VLOOKUP([1]Data_Validation!$A819,[1]BV_Data_An_Cour!$L:$Q,6,0)</f>
        <v>#N/A</v>
      </c>
      <c r="H819" s="3"/>
    </row>
    <row r="820" spans="1:29" ht="15" customHeight="1">
      <c r="A820" s="679"/>
      <c r="B820" s="690"/>
      <c r="C820" s="681"/>
      <c r="D820" s="681"/>
      <c r="E820" s="682"/>
      <c r="F820" s="683"/>
      <c r="G820" s="682" t="e">
        <f>+VLOOKUP([1]Data_Validation!$A820,[1]BV_Data_An_Cour!$L:$Q,6,0)</f>
        <v>#N/A</v>
      </c>
      <c r="H820" s="3"/>
    </row>
    <row r="821" spans="1:29" ht="15" customHeight="1">
      <c r="A821" s="679"/>
      <c r="B821" s="690"/>
      <c r="C821" s="681"/>
      <c r="D821" s="681"/>
      <c r="E821" s="682"/>
      <c r="F821" s="683"/>
      <c r="G821" s="682" t="e">
        <f>+VLOOKUP([1]Data_Validation!$A821,[1]BV_Data_An_Cour!$L:$Q,6,0)</f>
        <v>#N/A</v>
      </c>
      <c r="H821" s="3"/>
    </row>
    <row r="822" spans="1:29" ht="15" customHeight="1">
      <c r="A822" s="679"/>
      <c r="B822" s="690"/>
      <c r="C822" s="681"/>
      <c r="D822" s="681"/>
      <c r="E822" s="682"/>
      <c r="F822" s="683"/>
      <c r="G822" s="682" t="e">
        <f>+VLOOKUP([1]Data_Validation!$A822,[1]BV_Data_An_Cour!$L:$Q,6,0)</f>
        <v>#N/A</v>
      </c>
      <c r="H822" s="3"/>
    </row>
    <row r="823" spans="1:29" ht="15" customHeight="1">
      <c r="A823" s="690"/>
      <c r="B823" s="690"/>
      <c r="C823" s="681"/>
      <c r="D823" s="681"/>
      <c r="E823" s="682"/>
      <c r="F823" s="683"/>
      <c r="G823" s="682" t="e">
        <f>+VLOOKUP([1]Data_Validation!$A823,[1]BV_Data_An_Cour!$L:$Q,6,0)</f>
        <v>#N/A</v>
      </c>
      <c r="H823" s="33"/>
    </row>
    <row r="824" spans="1:29" ht="15" customHeight="1">
      <c r="A824" s="690"/>
      <c r="B824" s="690"/>
      <c r="C824" s="681"/>
      <c r="D824" s="681"/>
      <c r="E824" s="682"/>
      <c r="F824" s="683"/>
      <c r="G824" s="682"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9"/>
      <c r="B825" s="690"/>
      <c r="C825" s="681"/>
      <c r="D825" s="681"/>
      <c r="E825" s="682"/>
      <c r="F825" s="683"/>
      <c r="G825" s="682" t="e">
        <f>+VLOOKUP([1]Data_Validation!$A825,[1]BV_Data_An_Cour!$L:$Q,6,0)</f>
        <v>#N/A</v>
      </c>
      <c r="H825" s="33"/>
    </row>
    <row r="826" spans="1:29" ht="15" customHeight="1">
      <c r="A826" s="679"/>
      <c r="B826" s="690"/>
      <c r="C826" s="681"/>
      <c r="D826" s="681"/>
      <c r="E826" s="682"/>
      <c r="F826" s="683"/>
      <c r="G826" s="682" t="e">
        <f>+VLOOKUP([1]Data_Validation!$A826,[1]BV_Data_An_Cour!$L:$Q,6,0)</f>
        <v>#N/A</v>
      </c>
      <c r="H826" s="33"/>
    </row>
    <row r="827" spans="1:29" ht="15" customHeight="1">
      <c r="A827" s="679"/>
      <c r="B827" s="690"/>
      <c r="C827" s="681"/>
      <c r="D827" s="681"/>
      <c r="E827" s="682"/>
      <c r="F827" s="683"/>
      <c r="G827" s="682" t="e">
        <f>+VLOOKUP([1]Data_Validation!$A827,[1]BV_Data_An_Cour!$L:$Q,6,0)</f>
        <v>#N/A</v>
      </c>
      <c r="H827" s="33"/>
    </row>
    <row r="828" spans="1:29" ht="15" customHeight="1">
      <c r="A828" s="679"/>
      <c r="B828" s="690"/>
      <c r="C828" s="681"/>
      <c r="D828" s="681"/>
      <c r="E828" s="682"/>
      <c r="F828" s="683"/>
      <c r="G828" s="682" t="e">
        <f>+VLOOKUP([1]Data_Validation!$A828,[1]BV_Data_An_Cour!$L:$Q,6,0)</f>
        <v>#N/A</v>
      </c>
      <c r="H828" s="33"/>
    </row>
    <row r="829" spans="1:29" ht="15" customHeight="1">
      <c r="A829" s="679"/>
      <c r="B829" s="690"/>
      <c r="C829" s="681"/>
      <c r="D829" s="681"/>
      <c r="E829" s="682"/>
      <c r="F829" s="683"/>
      <c r="G829" s="682" t="e">
        <f>+VLOOKUP([1]Data_Validation!$A829,[1]BV_Data_An_Cour!$L:$Q,6,0)</f>
        <v>#N/A</v>
      </c>
      <c r="H829" s="33"/>
    </row>
    <row r="830" spans="1:29" ht="15" customHeight="1">
      <c r="A830" s="679"/>
      <c r="B830" s="690"/>
      <c r="C830" s="681"/>
      <c r="D830" s="681"/>
      <c r="E830" s="682"/>
      <c r="F830" s="683"/>
      <c r="G830" s="682" t="e">
        <f>+VLOOKUP([1]Data_Validation!$A830,[1]BV_Data_An_Cour!$L:$Q,6,0)</f>
        <v>#N/A</v>
      </c>
      <c r="H830" s="33"/>
    </row>
    <row r="831" spans="1:29" ht="15" customHeight="1">
      <c r="A831" s="679"/>
      <c r="B831" s="703"/>
      <c r="C831" s="695"/>
      <c r="D831" s="681"/>
      <c r="E831" s="682"/>
      <c r="F831" s="683"/>
      <c r="G831" s="682" t="e">
        <f>+VLOOKUP([1]Data_Validation!$A831,[1]BV_Data_An_Cour!$L:$Q,6,0)</f>
        <v>#N/A</v>
      </c>
      <c r="H831" s="33"/>
    </row>
    <row r="832" spans="1:29" ht="15" customHeight="1">
      <c r="A832" s="679"/>
      <c r="B832" s="690"/>
      <c r="C832" s="681"/>
      <c r="D832" s="681"/>
      <c r="E832" s="682"/>
      <c r="F832" s="683"/>
      <c r="G832" s="682" t="e">
        <f>+VLOOKUP([1]Data_Validation!$A832,[1]BV_Data_An_Cour!$L:$Q,6,0)</f>
        <v>#N/A</v>
      </c>
      <c r="H832" s="33"/>
    </row>
    <row r="833" spans="1:8" ht="15" customHeight="1">
      <c r="A833" s="679"/>
      <c r="B833" s="690"/>
      <c r="C833" s="681"/>
      <c r="D833" s="681"/>
      <c r="E833" s="682"/>
      <c r="F833" s="683"/>
      <c r="G833" s="682" t="e">
        <f>+VLOOKUP([1]Data_Validation!$A833,[1]BV_Data_An_Cour!$L:$Q,6,0)</f>
        <v>#N/A</v>
      </c>
      <c r="H833" s="33"/>
    </row>
    <row r="834" spans="1:8" ht="15" customHeight="1">
      <c r="A834" s="679"/>
      <c r="B834" s="690"/>
      <c r="C834" s="681"/>
      <c r="D834" s="681"/>
      <c r="E834" s="682"/>
      <c r="F834" s="683"/>
      <c r="G834" s="682" t="e">
        <f>+VLOOKUP([1]Data_Validation!$A834,[1]BV_Data_An_Cour!$L:$Q,6,0)</f>
        <v>#N/A</v>
      </c>
      <c r="H834" s="33"/>
    </row>
    <row r="835" spans="1:8" ht="15" customHeight="1">
      <c r="A835" s="679"/>
      <c r="B835" s="690"/>
      <c r="C835" s="681"/>
      <c r="D835" s="681"/>
      <c r="E835" s="682"/>
      <c r="F835" s="683"/>
      <c r="G835" s="682" t="e">
        <f>+VLOOKUP([1]Data_Validation!$A835,[1]BV_Data_An_Cour!$L:$Q,6,0)</f>
        <v>#N/A</v>
      </c>
      <c r="H835" s="33"/>
    </row>
    <row r="836" spans="1:8" ht="15" customHeight="1">
      <c r="A836" s="679"/>
      <c r="B836" s="690"/>
      <c r="C836" s="681"/>
      <c r="D836" s="681"/>
      <c r="E836" s="682"/>
      <c r="F836" s="683"/>
      <c r="G836" s="682" t="e">
        <f>+VLOOKUP([1]Data_Validation!$A836,[1]BV_Data_An_Cour!$L:$Q,6,0)</f>
        <v>#N/A</v>
      </c>
      <c r="H836" s="3"/>
    </row>
    <row r="837" spans="1:8" ht="15" customHeight="1">
      <c r="A837" s="679"/>
      <c r="B837" s="690"/>
      <c r="C837" s="681"/>
      <c r="D837" s="681"/>
      <c r="E837" s="682"/>
      <c r="F837" s="683"/>
      <c r="G837" s="682" t="e">
        <f>+VLOOKUP([1]Data_Validation!$A837,[1]BV_Data_An_Cour!$L:$Q,6,0)</f>
        <v>#N/A</v>
      </c>
      <c r="H837" s="3"/>
    </row>
    <row r="838" spans="1:8" ht="15" customHeight="1">
      <c r="A838" s="679"/>
      <c r="B838" s="690"/>
      <c r="C838" s="681"/>
      <c r="D838" s="681"/>
      <c r="E838" s="682"/>
      <c r="F838" s="683"/>
      <c r="G838" s="682" t="e">
        <f>+VLOOKUP([1]Data_Validation!$A838,[1]BV_Data_An_Cour!$L:$Q,6,0)</f>
        <v>#N/A</v>
      </c>
      <c r="H838" s="3"/>
    </row>
    <row r="839" spans="1:8" ht="15" customHeight="1">
      <c r="A839" s="679"/>
      <c r="B839" s="690"/>
      <c r="C839" s="681"/>
      <c r="D839" s="681"/>
      <c r="E839" s="682"/>
      <c r="F839" s="683"/>
      <c r="G839" s="682" t="e">
        <f>+VLOOKUP([1]Data_Validation!$A839,[1]BV_Data_An_Cour!$L:$Q,6,0)</f>
        <v>#N/A</v>
      </c>
      <c r="H839" s="3"/>
    </row>
    <row r="840" spans="1:8" ht="15" customHeight="1">
      <c r="A840" s="679"/>
      <c r="B840" s="690"/>
      <c r="C840" s="681"/>
      <c r="D840" s="681"/>
      <c r="E840" s="682"/>
      <c r="F840" s="683"/>
      <c r="G840" s="682" t="e">
        <f>+VLOOKUP([1]Data_Validation!$A840,[1]BV_Data_An_Cour!$L:$Q,6,0)</f>
        <v>#N/A</v>
      </c>
      <c r="H840" s="3"/>
    </row>
    <row r="841" spans="1:8" ht="15" customHeight="1">
      <c r="A841" s="679"/>
      <c r="B841" s="690"/>
      <c r="C841" s="681"/>
      <c r="D841" s="681"/>
      <c r="E841" s="682"/>
      <c r="F841" s="683"/>
      <c r="G841" s="682" t="e">
        <f>+VLOOKUP([1]Data_Validation!$A841,[1]BV_Data_An_Cour!$L:$Q,6,0)</f>
        <v>#N/A</v>
      </c>
      <c r="H841" s="3"/>
    </row>
    <row r="842" spans="1:8" ht="15" customHeight="1">
      <c r="A842" s="679"/>
      <c r="B842" s="690"/>
      <c r="C842" s="681"/>
      <c r="D842" s="681"/>
      <c r="E842" s="682"/>
      <c r="F842" s="683"/>
      <c r="G842" s="682" t="e">
        <f>+VLOOKUP([1]Data_Validation!$A842,[1]BV_Data_An_Cour!$L:$Q,6,0)</f>
        <v>#N/A</v>
      </c>
      <c r="H842" s="3"/>
    </row>
    <row r="843" spans="1:8" ht="15" customHeight="1">
      <c r="A843" s="679"/>
      <c r="B843" s="690"/>
      <c r="C843" s="681"/>
      <c r="D843" s="681"/>
      <c r="E843" s="682"/>
      <c r="F843" s="683"/>
      <c r="G843" s="682" t="e">
        <f>+VLOOKUP([1]Data_Validation!$A843,[1]BV_Data_An_Cour!$L:$Q,6,0)</f>
        <v>#N/A</v>
      </c>
      <c r="H843" s="3"/>
    </row>
    <row r="844" spans="1:8" ht="15" customHeight="1">
      <c r="A844" s="679"/>
      <c r="B844" s="690"/>
      <c r="C844" s="681"/>
      <c r="D844" s="681"/>
      <c r="E844" s="682"/>
      <c r="F844" s="683"/>
      <c r="G844" s="682" t="e">
        <f>+VLOOKUP([1]Data_Validation!$A844,[1]BV_Data_An_Cour!$L:$Q,6,0)</f>
        <v>#N/A</v>
      </c>
      <c r="H844" s="3"/>
    </row>
    <row r="845" spans="1:8" ht="15" customHeight="1">
      <c r="A845" s="679"/>
      <c r="B845" s="690"/>
      <c r="C845" s="681"/>
      <c r="D845" s="681"/>
      <c r="E845" s="682"/>
      <c r="F845" s="683"/>
      <c r="G845" s="682" t="e">
        <f>+VLOOKUP([1]Data_Validation!$A845,[1]BV_Data_An_Cour!$L:$Q,6,0)</f>
        <v>#N/A</v>
      </c>
      <c r="H845" s="3"/>
    </row>
    <row r="846" spans="1:8" ht="15" customHeight="1">
      <c r="A846" s="679"/>
      <c r="B846" s="690"/>
      <c r="C846" s="681"/>
      <c r="D846" s="681"/>
      <c r="E846" s="682"/>
      <c r="F846" s="683"/>
      <c r="G846" s="682" t="e">
        <f>+VLOOKUP([1]Data_Validation!$A846,[1]BV_Data_An_Cour!$L:$Q,6,0)</f>
        <v>#N/A</v>
      </c>
      <c r="H846" s="33"/>
    </row>
    <row r="847" spans="1:8" ht="15" customHeight="1">
      <c r="A847" s="679"/>
      <c r="B847" s="690"/>
      <c r="C847" s="681"/>
      <c r="D847" s="681"/>
      <c r="E847" s="682"/>
      <c r="F847" s="683"/>
      <c r="G847" s="682" t="e">
        <f>+VLOOKUP([1]Data_Validation!$A847,[1]BV_Data_An_Cour!$L:$Q,6,0)</f>
        <v>#N/A</v>
      </c>
      <c r="H847" s="33"/>
    </row>
    <row r="848" spans="1:8" ht="15" customHeight="1">
      <c r="A848" s="679"/>
      <c r="B848" s="690"/>
      <c r="C848" s="681"/>
      <c r="D848" s="681"/>
      <c r="E848" s="682"/>
      <c r="F848" s="683"/>
      <c r="G848" s="682" t="e">
        <f>+VLOOKUP([1]Data_Validation!$A848,[1]BV_Data_An_Cour!$L:$Q,6,0)</f>
        <v>#N/A</v>
      </c>
      <c r="H848" s="33"/>
    </row>
    <row r="849" spans="1:8" ht="15" customHeight="1">
      <c r="A849" s="679"/>
      <c r="B849" s="690"/>
      <c r="C849" s="681"/>
      <c r="D849" s="681"/>
      <c r="E849" s="682"/>
      <c r="F849" s="683"/>
      <c r="G849" s="682" t="e">
        <f>+VLOOKUP([1]Data_Validation!$A849,[1]BV_Data_An_Cour!$L:$Q,6,0)</f>
        <v>#N/A</v>
      </c>
      <c r="H849" s="33"/>
    </row>
    <row r="850" spans="1:8" ht="15" customHeight="1">
      <c r="A850" s="679"/>
      <c r="B850" s="690"/>
      <c r="C850" s="681"/>
      <c r="D850" s="681"/>
      <c r="E850" s="682"/>
      <c r="F850" s="683"/>
      <c r="G850" s="682" t="e">
        <f>+VLOOKUP([1]Data_Validation!$A850,[1]BV_Data_An_Cour!$L:$Q,6,0)</f>
        <v>#N/A</v>
      </c>
      <c r="H850" s="33"/>
    </row>
    <row r="851" spans="1:8" ht="15" customHeight="1">
      <c r="A851" s="679"/>
      <c r="B851" s="690"/>
      <c r="C851" s="681"/>
      <c r="D851" s="681"/>
      <c r="E851" s="682"/>
      <c r="F851" s="683"/>
      <c r="G851" s="682" t="e">
        <f>+VLOOKUP([1]Data_Validation!$A851,[1]BV_Data_An_Cour!$L:$Q,6,0)</f>
        <v>#N/A</v>
      </c>
      <c r="H851" s="33"/>
    </row>
    <row r="852" spans="1:8" ht="15" customHeight="1">
      <c r="A852" s="679"/>
      <c r="B852" s="690"/>
      <c r="C852" s="681"/>
      <c r="D852" s="681"/>
      <c r="E852" s="682"/>
      <c r="F852" s="683"/>
      <c r="G852" s="682" t="e">
        <f>+VLOOKUP([1]Data_Validation!$A852,[1]BV_Data_An_Cour!$L:$Q,6,0)</f>
        <v>#N/A</v>
      </c>
      <c r="H852" s="33"/>
    </row>
    <row r="853" spans="1:8" ht="15" customHeight="1">
      <c r="A853" s="704"/>
      <c r="B853" s="702"/>
      <c r="C853" s="681"/>
      <c r="D853" s="681"/>
      <c r="E853" s="682"/>
      <c r="F853" s="683"/>
      <c r="G853" s="682" t="e">
        <f>+VLOOKUP([1]Data_Validation!$A853,[1]BV_Data_An_Cour!$L:$Q,6,0)</f>
        <v>#N/A</v>
      </c>
      <c r="H853" s="33"/>
    </row>
    <row r="854" spans="1:8" ht="15" customHeight="1">
      <c r="A854" s="679"/>
      <c r="B854" s="690"/>
      <c r="C854" s="681"/>
      <c r="D854" s="681"/>
      <c r="E854" s="682"/>
      <c r="F854" s="683"/>
      <c r="G854" s="682" t="e">
        <f>+VLOOKUP([1]Data_Validation!$A854,[1]BV_Data_An_Cour!$L:$Q,6,0)</f>
        <v>#N/A</v>
      </c>
      <c r="H854" s="33"/>
    </row>
    <row r="855" spans="1:8" ht="15" customHeight="1">
      <c r="A855" s="679"/>
      <c r="B855" s="690"/>
      <c r="C855" s="681"/>
      <c r="D855" s="681"/>
      <c r="E855" s="682"/>
      <c r="F855" s="683"/>
      <c r="G855" s="682" t="e">
        <f>+VLOOKUP([1]Data_Validation!$A855,[1]BV_Data_An_Cour!$L:$Q,6,0)</f>
        <v>#N/A</v>
      </c>
      <c r="H855" s="33"/>
    </row>
    <row r="856" spans="1:8" ht="15" customHeight="1">
      <c r="A856" s="679"/>
      <c r="B856" s="690"/>
      <c r="C856" s="681"/>
      <c r="D856" s="681"/>
      <c r="E856" s="682"/>
      <c r="F856" s="683"/>
      <c r="G856" s="682" t="e">
        <f>+VLOOKUP([1]Data_Validation!$A856,[1]BV_Data_An_Cour!$L:$Q,6,0)</f>
        <v>#N/A</v>
      </c>
      <c r="H856" s="33"/>
    </row>
    <row r="857" spans="1:8" ht="15" customHeight="1">
      <c r="A857" s="679"/>
      <c r="B857" s="690"/>
      <c r="C857" s="681"/>
      <c r="D857" s="681"/>
      <c r="E857" s="682"/>
      <c r="F857" s="683"/>
      <c r="G857" s="682" t="e">
        <f>+VLOOKUP([1]Data_Validation!$A857,[1]BV_Data_An_Cour!$L:$Q,6,0)</f>
        <v>#N/A</v>
      </c>
      <c r="H857" s="33"/>
    </row>
    <row r="858" spans="1:8" ht="15" customHeight="1">
      <c r="A858" s="690"/>
      <c r="B858" s="690"/>
      <c r="C858" s="681"/>
      <c r="D858" s="681"/>
      <c r="E858" s="682"/>
      <c r="F858" s="683"/>
      <c r="G858" s="682" t="e">
        <f>+VLOOKUP([1]Data_Validation!$A858,[1]BV_Data_An_Cour!$L:$Q,6,0)</f>
        <v>#N/A</v>
      </c>
      <c r="H858" s="33"/>
    </row>
    <row r="859" spans="1:8" ht="15" customHeight="1">
      <c r="A859" s="679"/>
      <c r="B859" s="690"/>
      <c r="C859" s="681"/>
      <c r="D859" s="681"/>
      <c r="E859" s="682"/>
      <c r="F859" s="683"/>
      <c r="G859" s="682" t="e">
        <f>+VLOOKUP([1]Data_Validation!$A859,[1]BV_Data_An_Cour!$L:$Q,6,0)</f>
        <v>#N/A</v>
      </c>
      <c r="H859" s="33"/>
    </row>
    <row r="860" spans="1:8" ht="15" customHeight="1">
      <c r="A860" s="679"/>
      <c r="B860" s="690"/>
      <c r="C860" s="681"/>
      <c r="D860" s="681"/>
      <c r="E860" s="682"/>
      <c r="F860" s="683"/>
      <c r="G860" s="682" t="e">
        <f>+VLOOKUP([1]Data_Validation!$A860,[1]BV_Data_An_Cour!$L:$Q,6,0)</f>
        <v>#N/A</v>
      </c>
      <c r="H860" s="33"/>
    </row>
    <row r="861" spans="1:8" ht="15" customHeight="1">
      <c r="A861" s="679"/>
      <c r="B861" s="690"/>
      <c r="C861" s="681"/>
      <c r="D861" s="681"/>
      <c r="E861" s="682"/>
      <c r="F861" s="683"/>
      <c r="G861" s="682" t="e">
        <f>+VLOOKUP([1]Data_Validation!$A861,[1]BV_Data_An_Cour!$L:$Q,6,0)</f>
        <v>#N/A</v>
      </c>
      <c r="H861" s="33"/>
    </row>
    <row r="862" spans="1:8" ht="15" customHeight="1">
      <c r="A862" s="679"/>
      <c r="B862" s="690"/>
      <c r="C862" s="681"/>
      <c r="D862" s="681"/>
      <c r="E862" s="682"/>
      <c r="F862" s="683"/>
      <c r="G862" s="682" t="e">
        <f>+VLOOKUP([1]Data_Validation!$A862,[1]BV_Data_An_Cour!$L:$Q,6,0)</f>
        <v>#N/A</v>
      </c>
      <c r="H862" s="33"/>
    </row>
    <row r="863" spans="1:8" ht="15" customHeight="1">
      <c r="A863" s="679"/>
      <c r="B863" s="690"/>
      <c r="C863" s="681"/>
      <c r="D863" s="681"/>
      <c r="E863" s="682"/>
      <c r="F863" s="683"/>
      <c r="G863" s="682" t="e">
        <f>+VLOOKUP([1]Data_Validation!$A863,[1]BV_Data_An_Cour!$L:$Q,6,0)</f>
        <v>#N/A</v>
      </c>
      <c r="H863" s="33"/>
    </row>
    <row r="864" spans="1:8" ht="15" customHeight="1">
      <c r="A864" s="679"/>
      <c r="B864" s="690"/>
      <c r="C864" s="681"/>
      <c r="D864" s="681"/>
      <c r="E864" s="682"/>
      <c r="F864" s="683"/>
      <c r="G864" s="682" t="e">
        <f>+VLOOKUP([1]Data_Validation!$A864,[1]BV_Data_An_Cour!$L:$Q,6,0)</f>
        <v>#N/A</v>
      </c>
      <c r="H864" s="33"/>
    </row>
    <row r="865" spans="1:29" ht="15" customHeight="1">
      <c r="A865" s="679"/>
      <c r="B865" s="690"/>
      <c r="C865" s="681"/>
      <c r="D865" s="681"/>
      <c r="E865" s="682"/>
      <c r="F865" s="683"/>
      <c r="G865" s="682" t="e">
        <f>+VLOOKUP([1]Data_Validation!$A865,[1]BV_Data_An_Cour!$L:$Q,6,0)</f>
        <v>#N/A</v>
      </c>
      <c r="H865" s="33"/>
    </row>
    <row r="866" spans="1:29" ht="15" customHeight="1">
      <c r="A866" s="679"/>
      <c r="B866" s="690"/>
      <c r="C866" s="681"/>
      <c r="D866" s="681"/>
      <c r="E866" s="682"/>
      <c r="F866" s="683"/>
      <c r="G866" s="682" t="e">
        <f>+VLOOKUP([1]Data_Validation!$A866,[1]BV_Data_An_Cour!$L:$Q,6,0)</f>
        <v>#N/A</v>
      </c>
      <c r="H866" s="33"/>
    </row>
    <row r="867" spans="1:29" ht="15" customHeight="1">
      <c r="A867" s="679"/>
      <c r="B867" s="690"/>
      <c r="C867" s="681"/>
      <c r="D867" s="681"/>
      <c r="E867" s="682"/>
      <c r="F867" s="683"/>
      <c r="G867" s="682" t="e">
        <f>+VLOOKUP([1]Data_Validation!$A867,[1]BV_Data_An_Cour!$L:$Q,6,0)</f>
        <v>#N/A</v>
      </c>
      <c r="H867" s="33"/>
    </row>
    <row r="868" spans="1:29" ht="15" customHeight="1">
      <c r="A868" s="679"/>
      <c r="B868" s="690"/>
      <c r="C868" s="681"/>
      <c r="D868" s="681"/>
      <c r="E868" s="682"/>
      <c r="F868" s="683"/>
      <c r="G868" s="682" t="e">
        <f>+VLOOKUP([1]Data_Validation!$A868,[1]BV_Data_An_Cour!$L:$Q,6,0)</f>
        <v>#N/A</v>
      </c>
      <c r="H868" s="33"/>
      <c r="K868" s="3"/>
    </row>
    <row r="869" spans="1:29" ht="15" customHeight="1">
      <c r="A869" s="679"/>
      <c r="B869" s="690"/>
      <c r="C869" s="681"/>
      <c r="D869" s="681"/>
      <c r="E869" s="682"/>
      <c r="F869" s="683"/>
      <c r="G869" s="682" t="e">
        <f>+VLOOKUP([1]Data_Validation!$A869,[1]BV_Data_An_Cour!$L:$Q,6,0)</f>
        <v>#N/A</v>
      </c>
      <c r="H869" s="33"/>
      <c r="K869" s="3"/>
    </row>
    <row r="870" spans="1:29" ht="15" customHeight="1">
      <c r="A870" s="679"/>
      <c r="B870" s="690"/>
      <c r="C870" s="681"/>
      <c r="D870" s="681"/>
      <c r="E870" s="682"/>
      <c r="F870" s="683"/>
      <c r="G870" s="682" t="e">
        <f>+VLOOKUP([1]Data_Validation!$A870,[1]BV_Data_An_Cour!$L:$Q,6,0)</f>
        <v>#N/A</v>
      </c>
      <c r="H870" s="33"/>
    </row>
    <row r="871" spans="1:29" ht="15" customHeight="1">
      <c r="A871" s="679"/>
      <c r="B871" s="690"/>
      <c r="C871" s="681"/>
      <c r="D871" s="681"/>
      <c r="E871" s="682"/>
      <c r="F871" s="683"/>
      <c r="G871" s="682" t="e">
        <f>+VLOOKUP([1]Data_Validation!$A871,[1]BV_Data_An_Cour!$L:$Q,6,0)</f>
        <v>#N/A</v>
      </c>
      <c r="H871" s="33"/>
    </row>
    <row r="872" spans="1:29" ht="15" customHeight="1">
      <c r="A872" s="679"/>
      <c r="B872" s="690"/>
      <c r="C872" s="681"/>
      <c r="D872" s="681"/>
      <c r="E872" s="682"/>
      <c r="F872" s="683"/>
      <c r="G872" s="682" t="e">
        <f>+VLOOKUP([1]Data_Validation!$A872,[1]BV_Data_An_Cour!$L:$Q,6,0)</f>
        <v>#N/A</v>
      </c>
      <c r="H872" s="33"/>
    </row>
    <row r="873" spans="1:29" ht="15" customHeight="1">
      <c r="A873" s="679"/>
      <c r="B873" s="690"/>
      <c r="C873" s="681"/>
      <c r="D873" s="681"/>
      <c r="E873" s="682"/>
      <c r="F873" s="683"/>
      <c r="G873" s="682"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9"/>
      <c r="B874" s="690"/>
      <c r="C874" s="681"/>
      <c r="D874" s="681"/>
      <c r="E874" s="682"/>
      <c r="F874" s="683"/>
      <c r="G874" s="682" t="e">
        <f>+VLOOKUP([1]Data_Validation!$A874,[1]BV_Data_An_Cour!$L:$Q,6,0)</f>
        <v>#N/A</v>
      </c>
      <c r="H874" s="33"/>
    </row>
    <row r="875" spans="1:29" ht="15" customHeight="1">
      <c r="A875" s="679"/>
      <c r="B875" s="690"/>
      <c r="C875" s="681"/>
      <c r="D875" s="681"/>
      <c r="E875" s="682"/>
      <c r="F875" s="683"/>
      <c r="G875" s="682" t="e">
        <f>+VLOOKUP([1]Data_Validation!$A875,[1]BV_Data_An_Cour!$L:$Q,6,0)</f>
        <v>#N/A</v>
      </c>
      <c r="H875" s="33"/>
      <c r="K875" s="3"/>
    </row>
    <row r="876" spans="1:29" ht="15" customHeight="1">
      <c r="A876" s="679"/>
      <c r="B876" s="690"/>
      <c r="C876" s="681"/>
      <c r="D876" s="681"/>
      <c r="E876" s="682"/>
      <c r="F876" s="683"/>
      <c r="G876" s="682" t="e">
        <f>+VLOOKUP([1]Data_Validation!$A876,[1]BV_Data_An_Cour!$L:$Q,6,0)</f>
        <v>#N/A</v>
      </c>
      <c r="H876" s="33"/>
    </row>
    <row r="877" spans="1:29" ht="15" customHeight="1">
      <c r="A877" s="679"/>
      <c r="B877" s="690"/>
      <c r="C877" s="681"/>
      <c r="D877" s="681"/>
      <c r="E877" s="682"/>
      <c r="F877" s="683"/>
      <c r="G877" s="682" t="e">
        <f>+VLOOKUP([1]Data_Validation!$A877,[1]BV_Data_An_Cour!$L:$Q,6,0)</f>
        <v>#N/A</v>
      </c>
      <c r="H877" s="33"/>
    </row>
    <row r="878" spans="1:29" ht="15" customHeight="1">
      <c r="A878" s="679"/>
      <c r="B878" s="690"/>
      <c r="C878" s="681"/>
      <c r="D878" s="681"/>
      <c r="E878" s="682"/>
      <c r="F878" s="683"/>
      <c r="G878" s="682" t="e">
        <f>+VLOOKUP([1]Data_Validation!$A878,[1]BV_Data_An_Cour!$L:$Q,6,0)</f>
        <v>#N/A</v>
      </c>
      <c r="H878" s="33"/>
    </row>
    <row r="879" spans="1:29" ht="15" customHeight="1">
      <c r="A879" s="690"/>
      <c r="B879" s="690"/>
      <c r="C879" s="681"/>
      <c r="D879" s="681"/>
      <c r="E879" s="682"/>
      <c r="F879" s="683"/>
      <c r="G879" s="682" t="e">
        <f>+VLOOKUP([1]Data_Validation!$A879,[1]BV_Data_An_Cour!$L:$Q,6,0)</f>
        <v>#N/A</v>
      </c>
      <c r="H879" s="33"/>
    </row>
    <row r="880" spans="1:29" ht="15" customHeight="1">
      <c r="A880" s="679"/>
      <c r="B880" s="690"/>
      <c r="C880" s="681"/>
      <c r="D880" s="681"/>
      <c r="E880" s="682"/>
      <c r="F880" s="683"/>
      <c r="G880" s="682" t="e">
        <f>+VLOOKUP([1]Data_Validation!$A880,[1]BV_Data_An_Cour!$L:$Q,6,0)</f>
        <v>#N/A</v>
      </c>
      <c r="H880" s="33"/>
      <c r="K880" s="3"/>
    </row>
    <row r="881" spans="1:8" ht="15" customHeight="1">
      <c r="A881" s="679"/>
      <c r="B881" s="690"/>
      <c r="C881" s="681"/>
      <c r="D881" s="681"/>
      <c r="E881" s="682"/>
      <c r="F881" s="683"/>
      <c r="G881" s="682" t="e">
        <f>+VLOOKUP([1]Data_Validation!$A881,[1]BV_Data_An_Cour!$L:$Q,6,0)</f>
        <v>#N/A</v>
      </c>
      <c r="H881" s="33"/>
    </row>
    <row r="882" spans="1:8" ht="15" customHeight="1">
      <c r="A882" s="679"/>
      <c r="B882" s="690"/>
      <c r="C882" s="681"/>
      <c r="D882" s="681"/>
      <c r="E882" s="682"/>
      <c r="F882" s="683"/>
      <c r="G882" s="682" t="e">
        <f>+VLOOKUP([1]Data_Validation!$A882,[1]BV_Data_An_Cour!$L:$Q,6,0)</f>
        <v>#N/A</v>
      </c>
      <c r="H882" s="33"/>
    </row>
    <row r="883" spans="1:8" ht="15" customHeight="1">
      <c r="A883" s="679"/>
      <c r="B883" s="690"/>
      <c r="C883" s="681"/>
      <c r="D883" s="681"/>
      <c r="E883" s="682"/>
      <c r="F883" s="683"/>
      <c r="G883" s="682" t="e">
        <f>+VLOOKUP([1]Data_Validation!$A883,[1]BV_Data_An_Cour!$L:$Q,6,0)</f>
        <v>#N/A</v>
      </c>
      <c r="H883" s="33"/>
    </row>
    <row r="884" spans="1:8" ht="15" customHeight="1">
      <c r="A884" s="679"/>
      <c r="B884" s="690"/>
      <c r="C884" s="681"/>
      <c r="D884" s="681"/>
      <c r="E884" s="682"/>
      <c r="F884" s="683"/>
      <c r="G884" s="682" t="e">
        <f>+VLOOKUP([1]Data_Validation!$A884,[1]BV_Data_An_Cour!$L:$Q,6,0)</f>
        <v>#N/A</v>
      </c>
      <c r="H884" s="33"/>
    </row>
    <row r="885" spans="1:8" ht="15" customHeight="1">
      <c r="A885" s="679"/>
      <c r="B885" s="690"/>
      <c r="C885" s="681"/>
      <c r="D885" s="681"/>
      <c r="E885" s="682"/>
      <c r="F885" s="683"/>
      <c r="G885" s="682" t="e">
        <f>+VLOOKUP([1]Data_Validation!$A885,[1]BV_Data_An_Cour!$L:$Q,6,0)</f>
        <v>#N/A</v>
      </c>
      <c r="H885" s="33"/>
    </row>
    <row r="886" spans="1:8" ht="15" customHeight="1">
      <c r="A886" s="679"/>
      <c r="B886" s="690"/>
      <c r="C886" s="681"/>
      <c r="D886" s="681"/>
      <c r="E886" s="682"/>
      <c r="F886" s="683"/>
      <c r="G886" s="682" t="e">
        <f>+VLOOKUP([1]Data_Validation!$A886,[1]BV_Data_An_Cour!$L:$Q,6,0)</f>
        <v>#N/A</v>
      </c>
      <c r="H886" s="33"/>
    </row>
    <row r="887" spans="1:8" ht="15" customHeight="1">
      <c r="A887" s="679"/>
      <c r="B887" s="690"/>
      <c r="C887" s="681"/>
      <c r="D887" s="681"/>
      <c r="E887" s="682"/>
      <c r="F887" s="683"/>
      <c r="G887" s="682" t="e">
        <f>+VLOOKUP([1]Data_Validation!$A887,[1]BV_Data_An_Cour!$L:$Q,6,0)</f>
        <v>#N/A</v>
      </c>
      <c r="H887" s="33"/>
    </row>
    <row r="888" spans="1:8" ht="15" customHeight="1">
      <c r="A888" s="679"/>
      <c r="B888" s="690"/>
      <c r="C888" s="681"/>
      <c r="D888" s="681"/>
      <c r="E888" s="682"/>
      <c r="F888" s="683"/>
      <c r="G888" s="682" t="e">
        <f>+VLOOKUP([1]Data_Validation!$A888,[1]BV_Data_An_Cour!$L:$Q,6,0)</f>
        <v>#N/A</v>
      </c>
      <c r="H888" s="33"/>
    </row>
    <row r="889" spans="1:8" ht="15" customHeight="1">
      <c r="A889" s="679"/>
      <c r="B889" s="690"/>
      <c r="C889" s="681"/>
      <c r="D889" s="681"/>
      <c r="E889" s="682"/>
      <c r="F889" s="683"/>
      <c r="G889" s="682" t="e">
        <f>+VLOOKUP([1]Data_Validation!$A889,[1]BV_Data_An_Cour!$L:$Q,6,0)</f>
        <v>#N/A</v>
      </c>
      <c r="H889" s="33"/>
    </row>
    <row r="890" spans="1:8" ht="15" customHeight="1">
      <c r="A890" s="690"/>
      <c r="B890" s="690"/>
      <c r="C890" s="681"/>
      <c r="D890" s="681"/>
      <c r="E890" s="682"/>
      <c r="F890" s="683"/>
      <c r="G890" s="682" t="e">
        <f>+VLOOKUP([1]Data_Validation!$A890,[1]BV_Data_An_Cour!$L:$Q,6,0)</f>
        <v>#N/A</v>
      </c>
      <c r="H890" s="33"/>
    </row>
    <row r="891" spans="1:8" ht="15" customHeight="1">
      <c r="A891" s="690"/>
      <c r="B891" s="690"/>
      <c r="C891" s="681"/>
      <c r="D891" s="681"/>
      <c r="E891" s="682"/>
      <c r="F891" s="683"/>
      <c r="G891" s="682" t="e">
        <f>+VLOOKUP([1]Data_Validation!$A891,[1]BV_Data_An_Cour!$L:$Q,6,0)</f>
        <v>#N/A</v>
      </c>
      <c r="H891" s="33"/>
    </row>
    <row r="892" spans="1:8" ht="15" customHeight="1">
      <c r="A892" s="679"/>
      <c r="B892" s="690"/>
      <c r="C892" s="681"/>
      <c r="D892" s="681"/>
      <c r="E892" s="682"/>
      <c r="F892" s="683"/>
      <c r="G892" s="682" t="e">
        <f>+VLOOKUP([1]Data_Validation!$A892,[1]BV_Data_An_Cour!$L:$Q,6,0)</f>
        <v>#N/A</v>
      </c>
      <c r="H892" s="33"/>
    </row>
    <row r="893" spans="1:8" ht="15" customHeight="1">
      <c r="A893" s="679"/>
      <c r="B893" s="690"/>
      <c r="C893" s="681"/>
      <c r="D893" s="681"/>
      <c r="E893" s="682"/>
      <c r="F893" s="683"/>
      <c r="G893" s="682" t="e">
        <f>+VLOOKUP([1]Data_Validation!$A893,[1]BV_Data_An_Cour!$L:$Q,6,0)</f>
        <v>#N/A</v>
      </c>
      <c r="H893" s="33"/>
    </row>
    <row r="894" spans="1:8" ht="15" customHeight="1">
      <c r="A894" s="679"/>
      <c r="B894" s="690"/>
      <c r="C894" s="681"/>
      <c r="D894" s="681"/>
      <c r="E894" s="682"/>
      <c r="F894" s="683"/>
      <c r="G894" s="682" t="e">
        <f>+VLOOKUP([1]Data_Validation!$A894,[1]BV_Data_An_Cour!$L:$Q,6,0)</f>
        <v>#N/A</v>
      </c>
      <c r="H894" s="33"/>
    </row>
    <row r="895" spans="1:8" ht="15" customHeight="1">
      <c r="A895" s="679"/>
      <c r="B895" s="690"/>
      <c r="C895" s="681"/>
      <c r="D895" s="681"/>
      <c r="E895" s="682"/>
      <c r="F895" s="683"/>
      <c r="G895" s="682" t="e">
        <f>+VLOOKUP([1]Data_Validation!$A895,[1]BV_Data_An_Cour!$L:$Q,6,0)</f>
        <v>#N/A</v>
      </c>
      <c r="H895" s="33"/>
    </row>
    <row r="896" spans="1:8" ht="15" customHeight="1">
      <c r="A896" s="679"/>
      <c r="B896" s="690"/>
      <c r="C896" s="681"/>
      <c r="D896" s="681"/>
      <c r="E896" s="682"/>
      <c r="F896" s="683"/>
      <c r="G896" s="682" t="e">
        <f>+VLOOKUP([1]Data_Validation!$A896,[1]BV_Data_An_Cour!$L:$Q,6,0)</f>
        <v>#N/A</v>
      </c>
      <c r="H896" s="33"/>
    </row>
    <row r="897" spans="1:8" ht="15" customHeight="1">
      <c r="A897" s="679"/>
      <c r="B897" s="690"/>
      <c r="C897" s="681"/>
      <c r="D897" s="681"/>
      <c r="E897" s="682"/>
      <c r="F897" s="683"/>
      <c r="G897" s="682" t="e">
        <f>+VLOOKUP([1]Data_Validation!$A897,[1]BV_Data_An_Cour!$L:$Q,6,0)</f>
        <v>#N/A</v>
      </c>
      <c r="H897" s="33"/>
    </row>
    <row r="898" spans="1:8" ht="15" customHeight="1">
      <c r="A898" s="679"/>
      <c r="B898" s="690"/>
      <c r="C898" s="681"/>
      <c r="D898" s="681"/>
      <c r="E898" s="682"/>
      <c r="F898" s="683"/>
      <c r="G898" s="682" t="e">
        <f>+VLOOKUP([1]Data_Validation!$A898,[1]BV_Data_An_Cour!$L:$Q,6,0)</f>
        <v>#N/A</v>
      </c>
      <c r="H898" s="33"/>
    </row>
    <row r="899" spans="1:8" ht="15" customHeight="1">
      <c r="A899" s="679"/>
      <c r="B899" s="690"/>
      <c r="C899" s="681"/>
      <c r="D899" s="681"/>
      <c r="E899" s="682"/>
      <c r="F899" s="683"/>
      <c r="G899" s="682" t="e">
        <f>+VLOOKUP([1]Data_Validation!$A899,[1]BV_Data_An_Cour!$L:$Q,6,0)</f>
        <v>#N/A</v>
      </c>
      <c r="H899" s="33"/>
    </row>
    <row r="900" spans="1:8" ht="15" customHeight="1">
      <c r="A900" s="679"/>
      <c r="B900" s="690"/>
      <c r="C900" s="681"/>
      <c r="D900" s="681"/>
      <c r="E900" s="682"/>
      <c r="F900" s="683"/>
      <c r="G900" s="682" t="e">
        <f>+VLOOKUP([1]Data_Validation!$A900,[1]BV_Data_An_Cour!$L:$Q,6,0)</f>
        <v>#N/A</v>
      </c>
      <c r="H900" s="33"/>
    </row>
    <row r="901" spans="1:8" ht="15" customHeight="1">
      <c r="A901" s="679"/>
      <c r="B901" s="690"/>
      <c r="C901" s="681"/>
      <c r="D901" s="681"/>
      <c r="E901" s="682"/>
      <c r="F901" s="683"/>
      <c r="G901" s="682" t="e">
        <f>+VLOOKUP([1]Data_Validation!$A901,[1]BV_Data_An_Cour!$L:$Q,6,0)</f>
        <v>#N/A</v>
      </c>
      <c r="H901" s="33"/>
    </row>
    <row r="902" spans="1:8" ht="15" customHeight="1">
      <c r="A902" s="679"/>
      <c r="B902" s="690"/>
      <c r="C902" s="681"/>
      <c r="D902" s="681"/>
      <c r="E902" s="682"/>
      <c r="F902" s="683"/>
      <c r="G902" s="682" t="e">
        <f>+VLOOKUP([1]Data_Validation!$A902,[1]BV_Data_An_Cour!$L:$Q,6,0)</f>
        <v>#N/A</v>
      </c>
      <c r="H902" s="33"/>
    </row>
    <row r="903" spans="1:8" ht="15" customHeight="1">
      <c r="A903" s="679"/>
      <c r="B903" s="690"/>
      <c r="C903" s="681"/>
      <c r="D903" s="681"/>
      <c r="E903" s="682"/>
      <c r="F903" s="683"/>
      <c r="G903" s="682" t="e">
        <f>+VLOOKUP([1]Data_Validation!$A903,[1]BV_Data_An_Cour!$L:$Q,6,0)</f>
        <v>#N/A</v>
      </c>
      <c r="H903" s="33"/>
    </row>
    <row r="904" spans="1:8" ht="15" customHeight="1">
      <c r="A904" s="679"/>
      <c r="B904" s="690"/>
      <c r="C904" s="681"/>
      <c r="D904" s="681"/>
      <c r="E904" s="682"/>
      <c r="F904" s="683"/>
      <c r="G904" s="682" t="e">
        <f>+VLOOKUP([1]Data_Validation!$A904,[1]BV_Data_An_Cour!$L:$Q,6,0)</f>
        <v>#N/A</v>
      </c>
      <c r="H904" s="33"/>
    </row>
    <row r="905" spans="1:8" ht="15" customHeight="1">
      <c r="A905" s="679"/>
      <c r="B905" s="690"/>
      <c r="C905" s="681"/>
      <c r="D905" s="681"/>
      <c r="E905" s="682"/>
      <c r="F905" s="683"/>
      <c r="G905" s="682" t="e">
        <f>+VLOOKUP(Data_Validation!$A905,BV_Data_An_Cour!$L:$Q,6,0)</f>
        <v>#N/A</v>
      </c>
      <c r="H905" s="33"/>
    </row>
    <row r="906" spans="1:8" ht="15" customHeight="1">
      <c r="A906" s="679"/>
      <c r="B906" s="690"/>
      <c r="C906" s="681"/>
      <c r="D906" s="681"/>
      <c r="E906" s="682"/>
      <c r="F906" s="683"/>
      <c r="G906" s="682" t="e">
        <f>+VLOOKUP(Data_Validation!$A906,BV_Data_An_Cour!$L:$Q,6,0)</f>
        <v>#N/A</v>
      </c>
      <c r="H906" s="33"/>
    </row>
    <row r="907" spans="1:8" ht="15" customHeight="1">
      <c r="A907" s="679"/>
      <c r="B907" s="690"/>
      <c r="C907" s="681"/>
      <c r="D907" s="681"/>
      <c r="E907" s="682"/>
      <c r="F907" s="683"/>
      <c r="G907" s="682" t="e">
        <f>+VLOOKUP(Data_Validation!$A907,BV_Data_An_Cour!$L:$Q,6,0)</f>
        <v>#N/A</v>
      </c>
      <c r="H907" s="33"/>
    </row>
    <row r="908" spans="1:8" ht="15" customHeight="1">
      <c r="A908" s="679"/>
      <c r="B908" s="690"/>
      <c r="C908" s="681"/>
      <c r="D908" s="681"/>
      <c r="E908" s="682"/>
      <c r="F908" s="683"/>
      <c r="G908" s="682" t="e">
        <f>+VLOOKUP(Data_Validation!$A908,BV_Data_An_Cour!$L:$Q,6,0)</f>
        <v>#N/A</v>
      </c>
      <c r="H908" s="33"/>
    </row>
    <row r="909" spans="1:8" ht="15" customHeight="1">
      <c r="A909" s="679"/>
      <c r="B909" s="690"/>
      <c r="C909" s="681"/>
      <c r="D909" s="681"/>
      <c r="E909" s="682"/>
      <c r="F909" s="683"/>
      <c r="G909" s="682" t="e">
        <f>+VLOOKUP(Data_Validation!$A909,BV_Data_An_Cour!$L:$Q,6,0)</f>
        <v>#N/A</v>
      </c>
      <c r="H909" s="33"/>
    </row>
    <row r="910" spans="1:8" ht="15" customHeight="1">
      <c r="A910" s="679"/>
      <c r="B910" s="690"/>
      <c r="C910" s="681"/>
      <c r="D910" s="681"/>
      <c r="E910" s="682"/>
      <c r="F910" s="683"/>
      <c r="G910" s="682" t="e">
        <f>+VLOOKUP(Data_Validation!$A910,BV_Data_An_Cour!$L:$Q,6,0)</f>
        <v>#N/A</v>
      </c>
      <c r="H910" s="33"/>
    </row>
    <row r="911" spans="1:8" ht="15" customHeight="1">
      <c r="A911" s="679"/>
      <c r="B911" s="690"/>
      <c r="C911" s="681"/>
      <c r="D911" s="681"/>
      <c r="E911" s="682"/>
      <c r="F911" s="683"/>
      <c r="G911" s="682" t="e">
        <f>+VLOOKUP(Data_Validation!$A911,BV_Data_An_Cour!$L:$Q,6,0)</f>
        <v>#N/A</v>
      </c>
      <c r="H911" s="33"/>
    </row>
    <row r="912" spans="1:8" ht="15" customHeight="1">
      <c r="A912" s="679"/>
      <c r="B912" s="690"/>
      <c r="C912" s="681"/>
      <c r="D912" s="681"/>
      <c r="E912" s="682"/>
      <c r="F912" s="683"/>
      <c r="G912" s="682" t="e">
        <f>+VLOOKUP(Data_Validation!$A912,BV_Data_An_Cour!$L:$Q,6,0)</f>
        <v>#N/A</v>
      </c>
      <c r="H912" s="33"/>
    </row>
    <row r="913" spans="1:29" ht="15" customHeight="1">
      <c r="A913" s="679"/>
      <c r="B913" s="690"/>
      <c r="C913" s="681"/>
      <c r="D913" s="681"/>
      <c r="E913" s="682"/>
      <c r="F913" s="683"/>
      <c r="G913" s="682" t="e">
        <f>+VLOOKUP(Data_Validation!$A913,BV_Data_An_Cour!$L:$Q,6,0)</f>
        <v>#N/A</v>
      </c>
      <c r="H913" s="4"/>
    </row>
    <row r="914" spans="1:29" ht="15" customHeight="1">
      <c r="A914" s="691"/>
      <c r="B914" s="680"/>
      <c r="C914" s="681"/>
      <c r="D914" s="681"/>
      <c r="E914" s="682"/>
      <c r="F914" s="683"/>
      <c r="G914" s="682" t="e">
        <f>+VLOOKUP(Data_Validation!$A914,BV_Data_An_Cour!$L:$Q,6,0)</f>
        <v>#N/A</v>
      </c>
      <c r="H914" s="4"/>
    </row>
    <row r="915" spans="1:29" ht="15" customHeight="1">
      <c r="A915" s="690"/>
      <c r="B915" s="690"/>
      <c r="C915" s="681"/>
      <c r="D915" s="681"/>
      <c r="E915" s="682"/>
      <c r="F915" s="683"/>
      <c r="G915" s="682" t="e">
        <f>+VLOOKUP(Data_Validation!$A915,BV_Data_An_Cour!$L:$Q,6,0)</f>
        <v>#N/A</v>
      </c>
      <c r="H915" s="4"/>
    </row>
    <row r="916" spans="1:29" ht="15" customHeight="1">
      <c r="A916" s="690"/>
      <c r="B916" s="690"/>
      <c r="C916" s="681"/>
      <c r="D916" s="681"/>
      <c r="E916" s="682"/>
      <c r="F916" s="683"/>
      <c r="G916" s="682" t="e">
        <f>+VLOOKUP(Data_Validation!$A916,BV_Data_An_Cour!$L:$Q,6,0)</f>
        <v>#N/A</v>
      </c>
      <c r="H916" s="4"/>
    </row>
    <row r="917" spans="1:29" ht="15" customHeight="1">
      <c r="A917" s="679"/>
      <c r="B917" s="690"/>
      <c r="C917" s="681"/>
      <c r="D917" s="681"/>
      <c r="E917" s="682"/>
      <c r="F917" s="683"/>
      <c r="G917" s="682" t="e">
        <f>+VLOOKUP(Data_Validation!$A917,BV_Data_An_Cour!$L:$Q,6,0)</f>
        <v>#N/A</v>
      </c>
      <c r="H917" s="4"/>
    </row>
    <row r="918" spans="1:29" ht="15" customHeight="1">
      <c r="A918" s="679"/>
      <c r="B918" s="690"/>
      <c r="C918" s="681"/>
      <c r="D918" s="681"/>
      <c r="E918" s="682"/>
      <c r="F918" s="683"/>
      <c r="G918" s="682" t="e">
        <f>+VLOOKUP(Data_Validation!$A918,BV_Data_An_Cour!$L:$Q,6,0)</f>
        <v>#N/A</v>
      </c>
      <c r="H918" s="4"/>
    </row>
    <row r="919" spans="1:29" ht="15" customHeight="1">
      <c r="A919" s="679"/>
      <c r="B919" s="690"/>
      <c r="C919" s="681"/>
      <c r="D919" s="681"/>
      <c r="E919" s="682"/>
      <c r="F919" s="683"/>
      <c r="G919" s="682" t="e">
        <f>+VLOOKUP(Data_Validation!$A919,BV_Data_An_Cour!$L:$Q,6,0)</f>
        <v>#N/A</v>
      </c>
      <c r="H919" s="4"/>
    </row>
    <row r="920" spans="1:29" ht="15" customHeight="1">
      <c r="A920" s="679"/>
      <c r="B920" s="690"/>
      <c r="C920" s="681"/>
      <c r="D920" s="681"/>
      <c r="E920" s="682"/>
      <c r="F920" s="683"/>
      <c r="G920" s="682" t="e">
        <f>+VLOOKUP(Data_Validation!$A920,BV_Data_An_Cour!$L:$Q,6,0)</f>
        <v>#N/A</v>
      </c>
      <c r="H920" s="4"/>
    </row>
    <row r="921" spans="1:29" ht="15" customHeight="1">
      <c r="A921" s="679"/>
      <c r="B921" s="690"/>
      <c r="C921" s="681"/>
      <c r="D921" s="681"/>
      <c r="E921" s="682"/>
      <c r="F921" s="683"/>
      <c r="G921" s="682"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91"/>
      <c r="B922" s="680"/>
      <c r="C922" s="681"/>
      <c r="D922" s="681"/>
      <c r="E922" s="688"/>
      <c r="F922" s="688"/>
      <c r="G922" s="682" t="e">
        <f>+VLOOKUP(Data_Validation!$A922,BV_Data_An_Cour!$L:$Q,6,0)</f>
        <v>#N/A</v>
      </c>
      <c r="H922" s="4"/>
    </row>
    <row r="923" spans="1:29" ht="15" customHeight="1">
      <c r="A923" s="679"/>
      <c r="B923" s="690"/>
      <c r="C923" s="681"/>
      <c r="D923" s="681"/>
      <c r="E923" s="682"/>
      <c r="F923" s="683"/>
      <c r="G923" s="682" t="e">
        <f>+VLOOKUP(Data_Validation!$A923,BV_Data_An_Cour!$L:$Q,6,0)</f>
        <v>#N/A</v>
      </c>
      <c r="H923" s="4"/>
    </row>
    <row r="924" spans="1:29" ht="15" customHeight="1">
      <c r="A924" s="691"/>
      <c r="B924" s="680"/>
      <c r="C924" s="681"/>
      <c r="D924" s="681"/>
      <c r="E924" s="688"/>
      <c r="F924" s="688"/>
      <c r="G924" s="682" t="e">
        <f>+VLOOKUP(Data_Validation!$A924,BV_Data_An_Cour!$L:$Q,6,0)</f>
        <v>#N/A</v>
      </c>
      <c r="H924" s="4"/>
    </row>
    <row r="925" spans="1:29" ht="15" customHeight="1">
      <c r="A925" s="679"/>
      <c r="B925" s="690"/>
      <c r="C925" s="681"/>
      <c r="D925" s="681"/>
      <c r="E925" s="682"/>
      <c r="F925" s="683"/>
      <c r="G925" s="682" t="e">
        <f>+VLOOKUP(Data_Validation!$A925,BV_Data_An_Cour!$L:$Q,6,0)</f>
        <v>#N/A</v>
      </c>
      <c r="H925" s="4"/>
    </row>
    <row r="926" spans="1:29" ht="15" customHeight="1">
      <c r="A926" s="679"/>
      <c r="B926" s="690"/>
      <c r="C926" s="681"/>
      <c r="D926" s="681"/>
      <c r="E926" s="682"/>
      <c r="F926" s="683"/>
      <c r="G926" s="682" t="e">
        <f>+VLOOKUP(Data_Validation!$A926,BV_Data_An_Cour!$L:$Q,6,0)</f>
        <v>#N/A</v>
      </c>
      <c r="H926" s="4"/>
    </row>
    <row r="927" spans="1:29" ht="15" customHeight="1">
      <c r="A927" s="691"/>
      <c r="B927" s="680"/>
      <c r="C927" s="681"/>
      <c r="D927" s="681"/>
      <c r="E927" s="688"/>
      <c r="F927" s="688"/>
      <c r="G927" s="682" t="e">
        <f>+VLOOKUP(Data_Validation!$A927,BV_Data_An_Cour!$L:$Q,6,0)</f>
        <v>#N/A</v>
      </c>
      <c r="H927" s="3"/>
    </row>
    <row r="928" spans="1:29" ht="15" customHeight="1">
      <c r="A928" s="690"/>
      <c r="B928" s="690"/>
      <c r="C928" s="681"/>
      <c r="D928" s="681"/>
      <c r="E928" s="682"/>
      <c r="F928" s="683"/>
      <c r="G928" s="682" t="e">
        <f>+VLOOKUP(Data_Validation!$A928,BV_Data_An_Cour!$L:$Q,6,0)</f>
        <v>#N/A</v>
      </c>
      <c r="H928" s="3"/>
    </row>
    <row r="929" spans="1:29" ht="15" customHeight="1">
      <c r="A929" s="691"/>
      <c r="B929" s="680"/>
      <c r="C929" s="681"/>
      <c r="D929" s="681"/>
      <c r="E929" s="688"/>
      <c r="F929" s="688"/>
      <c r="G929" s="682" t="e">
        <f>+VLOOKUP(Data_Validation!$A929,BV_Data_An_Cour!$L:$Q,6,0)</f>
        <v>#N/A</v>
      </c>
      <c r="H929" s="3"/>
    </row>
    <row r="930" spans="1:29" ht="15" customHeight="1">
      <c r="A930" s="679"/>
      <c r="B930" s="690"/>
      <c r="C930" s="681"/>
      <c r="D930" s="681"/>
      <c r="E930" s="682"/>
      <c r="F930" s="683"/>
      <c r="G930" s="682" t="e">
        <f>+VLOOKUP(Data_Validation!$A930,BV_Data_An_Cour!$L:$Q,6,0)</f>
        <v>#N/A</v>
      </c>
      <c r="H930" s="3"/>
    </row>
    <row r="931" spans="1:29" ht="15" customHeight="1">
      <c r="A931" s="691"/>
      <c r="B931" s="680"/>
      <c r="C931" s="681"/>
      <c r="D931" s="681"/>
      <c r="E931" s="688"/>
      <c r="F931" s="688"/>
      <c r="G931" s="682" t="e">
        <f>+VLOOKUP(Data_Validation!$A931,BV_Data_An_Cour!$L:$Q,6,0)</f>
        <v>#N/A</v>
      </c>
      <c r="H931" s="3"/>
    </row>
    <row r="932" spans="1:29" ht="15" customHeight="1">
      <c r="A932" s="679"/>
      <c r="B932" s="690"/>
      <c r="C932" s="681"/>
      <c r="D932" s="681"/>
      <c r="E932" s="682"/>
      <c r="F932" s="683"/>
      <c r="G932" s="682"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1"/>
      <c r="B933" s="680"/>
      <c r="C933" s="681"/>
      <c r="D933" s="681"/>
      <c r="E933" s="688"/>
      <c r="F933" s="688"/>
      <c r="G933" s="682" t="e">
        <f>+VLOOKUP(Data_Validation!$A933,BV_Data_An_Cour!$L:$Q,6,0)</f>
        <v>#N/A</v>
      </c>
      <c r="H933" s="3"/>
    </row>
    <row r="934" spans="1:29" ht="15" customHeight="1">
      <c r="A934" s="679"/>
      <c r="B934" s="690"/>
      <c r="C934" s="681"/>
      <c r="D934" s="681"/>
      <c r="E934" s="682"/>
      <c r="F934" s="683"/>
      <c r="G934" s="682" t="e">
        <f>+VLOOKUP(Data_Validation!$A934,BV_Data_An_Cour!$L:$Q,6,0)</f>
        <v>#N/A</v>
      </c>
      <c r="H934" s="3"/>
    </row>
    <row r="935" spans="1:29" ht="15" customHeight="1">
      <c r="A935" s="691"/>
      <c r="B935" s="680"/>
      <c r="C935" s="681"/>
      <c r="D935" s="681"/>
      <c r="E935" s="688"/>
      <c r="F935" s="688"/>
      <c r="G935" s="682" t="e">
        <f>+VLOOKUP(Data_Validation!$A935,BV_Data_An_Cour!$L:$Q,6,0)</f>
        <v>#N/A</v>
      </c>
      <c r="H935" s="3"/>
    </row>
    <row r="936" spans="1:29" ht="15" customHeight="1">
      <c r="A936" s="679"/>
      <c r="B936" s="690"/>
      <c r="C936" s="681"/>
      <c r="D936" s="681"/>
      <c r="E936" s="682"/>
      <c r="F936" s="683"/>
      <c r="G936" s="682" t="e">
        <f>+VLOOKUP(Data_Validation!$A936,BV_Data_An_Cour!$L:$Q,6,0)</f>
        <v>#N/A</v>
      </c>
      <c r="H936" s="3"/>
    </row>
    <row r="937" spans="1:29" ht="15" customHeight="1">
      <c r="A937" s="691"/>
      <c r="B937" s="680"/>
      <c r="C937" s="681"/>
      <c r="D937" s="681"/>
      <c r="E937" s="688"/>
      <c r="F937" s="688"/>
      <c r="G937" s="682" t="e">
        <f>+VLOOKUP(Data_Validation!$A937,BV_Data_An_Cour!$L:$Q,6,0)</f>
        <v>#N/A</v>
      </c>
      <c r="H937" s="3"/>
    </row>
    <row r="938" spans="1:29" ht="15" customHeight="1">
      <c r="A938" s="690"/>
      <c r="B938" s="690"/>
      <c r="C938" s="681"/>
      <c r="D938" s="681"/>
      <c r="E938" s="682"/>
      <c r="F938" s="683"/>
      <c r="G938" s="682"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90"/>
      <c r="B939" s="690"/>
      <c r="C939" s="681"/>
      <c r="D939" s="681"/>
      <c r="E939" s="682"/>
      <c r="F939" s="683"/>
      <c r="G939" s="682" t="e">
        <f>+VLOOKUP(Data_Validation!$A939,BV_Data_An_Cour!$L:$Q,6,0)</f>
        <v>#N/A</v>
      </c>
      <c r="H939" s="3"/>
    </row>
    <row r="940" spans="1:29" ht="15" customHeight="1">
      <c r="A940" s="690"/>
      <c r="B940" s="690"/>
      <c r="C940" s="681"/>
      <c r="D940" s="681"/>
      <c r="E940" s="682"/>
      <c r="F940" s="683"/>
      <c r="G940" s="682" t="e">
        <f>+VLOOKUP(Data_Validation!$A940,BV_Data_An_Cour!$L:$Q,6,0)</f>
        <v>#N/A</v>
      </c>
      <c r="H940" s="3"/>
    </row>
    <row r="941" spans="1:29" ht="15" customHeight="1">
      <c r="A941" s="690"/>
      <c r="B941" s="690"/>
      <c r="C941" s="681"/>
      <c r="D941" s="681"/>
      <c r="E941" s="682"/>
      <c r="F941" s="683"/>
      <c r="G941" s="682"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90"/>
      <c r="B942" s="690"/>
      <c r="C942" s="681"/>
      <c r="D942" s="681"/>
      <c r="E942" s="682"/>
      <c r="F942" s="683"/>
      <c r="G942" s="682" t="e">
        <f>+VLOOKUP(Data_Validation!$A942,BV_Data_An_Cour!$L:$Q,6,0)</f>
        <v>#N/A</v>
      </c>
      <c r="H942" s="3"/>
    </row>
    <row r="943" spans="1:29" ht="15" customHeight="1">
      <c r="A943" s="690"/>
      <c r="B943" s="690"/>
      <c r="C943" s="681"/>
      <c r="D943" s="681"/>
      <c r="E943" s="682"/>
      <c r="F943" s="683"/>
      <c r="G943" s="682" t="e">
        <f>+VLOOKUP(Data_Validation!$A943,BV_Data_An_Cour!$L:$Q,6,0)</f>
        <v>#N/A</v>
      </c>
      <c r="H943" s="3"/>
    </row>
    <row r="944" spans="1:29" ht="15" customHeight="1">
      <c r="A944" s="679"/>
      <c r="B944" s="687"/>
      <c r="C944" s="681"/>
      <c r="D944" s="681"/>
      <c r="E944" s="682"/>
      <c r="F944" s="683"/>
      <c r="G944" s="682"/>
      <c r="H944" s="3"/>
    </row>
    <row r="945" spans="1:8" ht="15" customHeight="1">
      <c r="A945" s="679"/>
      <c r="B945" s="687"/>
      <c r="C945" s="681"/>
      <c r="D945" s="681"/>
      <c r="E945" s="682"/>
      <c r="F945" s="683"/>
      <c r="G945" s="682"/>
      <c r="H945" s="3"/>
    </row>
    <row r="946" spans="1:8" ht="15" customHeight="1">
      <c r="A946" s="679"/>
      <c r="B946" s="687"/>
      <c r="C946" s="681"/>
      <c r="D946" s="681"/>
      <c r="E946" s="682"/>
      <c r="F946" s="683"/>
      <c r="G946" s="682"/>
      <c r="H946" s="3"/>
    </row>
    <row r="947" spans="1:8" ht="15" customHeight="1">
      <c r="A947" s="679"/>
      <c r="B947" s="687"/>
      <c r="C947" s="681"/>
      <c r="D947" s="681"/>
      <c r="E947" s="682"/>
      <c r="F947" s="683"/>
      <c r="G947" s="682"/>
      <c r="H947" s="3"/>
    </row>
    <row r="948" spans="1:8" ht="15" customHeight="1">
      <c r="A948" s="679"/>
      <c r="B948" s="687"/>
      <c r="C948" s="681"/>
      <c r="D948" s="681"/>
      <c r="E948" s="682"/>
      <c r="F948" s="683"/>
      <c r="G948" s="682"/>
      <c r="H948" s="3"/>
    </row>
    <row r="949" spans="1:8" ht="15" customHeight="1">
      <c r="A949" s="679"/>
      <c r="B949" s="687"/>
      <c r="C949" s="681"/>
      <c r="D949" s="681"/>
      <c r="E949" s="682"/>
      <c r="F949" s="683"/>
      <c r="G949" s="682"/>
      <c r="H949" s="3"/>
    </row>
    <row r="950" spans="1:8" ht="15" customHeight="1">
      <c r="A950" s="679"/>
      <c r="B950" s="687"/>
      <c r="C950" s="681"/>
      <c r="D950" s="681"/>
      <c r="E950" s="682"/>
      <c r="F950" s="683"/>
      <c r="G950" s="682"/>
      <c r="H950" s="3"/>
    </row>
    <row r="951" spans="1:8" ht="15" customHeight="1">
      <c r="A951" s="693"/>
      <c r="B951" s="697"/>
      <c r="C951" s="695"/>
      <c r="D951" s="681"/>
      <c r="E951" s="682"/>
      <c r="F951" s="683"/>
      <c r="G951" s="682"/>
      <c r="H951" s="3"/>
    </row>
    <row r="952" spans="1:8" ht="15" customHeight="1">
      <c r="A952" s="679"/>
      <c r="B952" s="687"/>
      <c r="C952" s="681"/>
      <c r="D952" s="681"/>
      <c r="E952" s="682"/>
      <c r="F952" s="683"/>
      <c r="G952" s="682"/>
      <c r="H952" s="3"/>
    </row>
    <row r="953" spans="1:8" ht="15" customHeight="1">
      <c r="A953" s="679"/>
      <c r="B953" s="687"/>
      <c r="C953" s="681"/>
      <c r="D953" s="681"/>
      <c r="E953" s="682"/>
      <c r="F953" s="683"/>
      <c r="G953" s="682"/>
      <c r="H953" s="3"/>
    </row>
    <row r="954" spans="1:8" ht="15" customHeight="1">
      <c r="A954" s="679"/>
      <c r="B954" s="687"/>
      <c r="C954" s="681"/>
      <c r="D954" s="681"/>
      <c r="E954" s="682"/>
      <c r="F954" s="683"/>
      <c r="G954" s="682"/>
      <c r="H954" s="3"/>
    </row>
    <row r="955" spans="1:8" ht="15" customHeight="1">
      <c r="A955" s="679"/>
      <c r="B955" s="687"/>
      <c r="C955" s="681"/>
      <c r="D955" s="681"/>
      <c r="E955" s="682"/>
      <c r="F955" s="683"/>
      <c r="G955" s="682"/>
      <c r="H955" s="3"/>
    </row>
    <row r="956" spans="1:8" ht="15" customHeight="1">
      <c r="A956" s="679"/>
      <c r="B956" s="687"/>
      <c r="C956" s="681"/>
      <c r="D956" s="681"/>
      <c r="E956" s="682"/>
      <c r="F956" s="683"/>
      <c r="G956" s="682"/>
      <c r="H956" s="3"/>
    </row>
    <row r="957" spans="1:8" ht="15" customHeight="1">
      <c r="A957" s="679"/>
      <c r="B957" s="687"/>
      <c r="C957" s="681"/>
      <c r="D957" s="681"/>
      <c r="E957" s="682"/>
      <c r="F957" s="683"/>
      <c r="G957" s="682"/>
      <c r="H957" s="3"/>
    </row>
    <row r="958" spans="1:8" ht="15" customHeight="1">
      <c r="A958" s="679"/>
      <c r="B958" s="687"/>
      <c r="C958" s="681"/>
      <c r="D958" s="681"/>
      <c r="E958" s="682"/>
      <c r="F958" s="683"/>
      <c r="G958" s="682"/>
      <c r="H958" s="3"/>
    </row>
    <row r="959" spans="1:8" ht="15" customHeight="1">
      <c r="A959" s="679"/>
      <c r="B959" s="687"/>
      <c r="C959" s="681"/>
      <c r="D959" s="681"/>
      <c r="E959" s="682"/>
      <c r="F959" s="683"/>
      <c r="G959" s="682"/>
      <c r="H959" s="3"/>
    </row>
    <row r="960" spans="1:8" ht="15" customHeight="1">
      <c r="A960" s="679"/>
      <c r="B960" s="687"/>
      <c r="C960" s="681"/>
      <c r="D960" s="681"/>
      <c r="E960" s="682"/>
      <c r="F960" s="683"/>
      <c r="G960" s="682"/>
      <c r="H960" s="3"/>
    </row>
    <row r="961" spans="1:11" ht="15" customHeight="1">
      <c r="A961" s="679"/>
      <c r="B961" s="687"/>
      <c r="C961" s="681"/>
      <c r="D961" s="681"/>
      <c r="E961" s="682"/>
      <c r="F961" s="683"/>
      <c r="G961" s="682"/>
      <c r="H961" s="3"/>
    </row>
    <row r="962" spans="1:11" ht="15" customHeight="1">
      <c r="A962" s="679"/>
      <c r="B962" s="687"/>
      <c r="C962" s="681"/>
      <c r="D962" s="681"/>
      <c r="E962" s="682"/>
      <c r="F962" s="683"/>
      <c r="G962" s="682"/>
      <c r="H962" s="3"/>
    </row>
    <row r="963" spans="1:11" ht="15" customHeight="1">
      <c r="A963" s="706"/>
      <c r="B963" s="687"/>
      <c r="C963" s="681"/>
      <c r="D963" s="681"/>
      <c r="E963" s="682"/>
      <c r="F963" s="683"/>
      <c r="G963" s="682"/>
      <c r="H963" s="3"/>
    </row>
    <row r="964" spans="1:11" ht="15" customHeight="1">
      <c r="A964" s="706"/>
      <c r="B964" s="687"/>
      <c r="C964" s="681"/>
      <c r="D964" s="681"/>
      <c r="E964" s="682"/>
      <c r="F964" s="683"/>
      <c r="G964" s="682"/>
      <c r="H964" s="3"/>
    </row>
    <row r="965" spans="1:11" ht="15" customHeight="1">
      <c r="A965" s="679"/>
      <c r="B965" s="687"/>
      <c r="C965" s="681"/>
      <c r="D965" s="681"/>
      <c r="E965" s="682"/>
      <c r="F965" s="683"/>
      <c r="G965" s="682"/>
      <c r="H965" s="3"/>
    </row>
    <row r="966" spans="1:11" ht="15" customHeight="1">
      <c r="A966" s="679"/>
      <c r="B966" s="687"/>
      <c r="C966" s="681"/>
      <c r="D966" s="681"/>
      <c r="E966" s="682"/>
      <c r="F966" s="683"/>
      <c r="G966" s="682"/>
      <c r="H966" s="3"/>
    </row>
    <row r="967" spans="1:11" ht="15" customHeight="1">
      <c r="A967" s="679"/>
      <c r="B967" s="687"/>
      <c r="C967" s="681"/>
      <c r="D967" s="681"/>
      <c r="E967" s="682"/>
      <c r="F967" s="683"/>
      <c r="G967" s="682"/>
      <c r="H967" s="3"/>
    </row>
    <row r="968" spans="1:11" ht="15" customHeight="1">
      <c r="A968" s="704"/>
      <c r="B968" s="707"/>
      <c r="C968" s="681"/>
      <c r="D968" s="681"/>
      <c r="E968" s="682"/>
      <c r="F968" s="683"/>
      <c r="G968" s="682"/>
      <c r="H968" s="3"/>
    </row>
    <row r="969" spans="1:11" ht="15" customHeight="1">
      <c r="A969" s="679"/>
      <c r="B969" s="687"/>
      <c r="C969" s="681"/>
      <c r="D969" s="681"/>
      <c r="E969" s="682"/>
      <c r="F969" s="683"/>
      <c r="G969" s="682"/>
      <c r="H969" s="3"/>
    </row>
    <row r="970" spans="1:11" ht="15" customHeight="1">
      <c r="A970" s="679"/>
      <c r="B970" s="687"/>
      <c r="C970" s="681"/>
      <c r="D970" s="681"/>
      <c r="E970" s="682"/>
      <c r="F970" s="683"/>
      <c r="G970" s="682"/>
      <c r="H970" s="3"/>
    </row>
    <row r="971" spans="1:11" ht="15" customHeight="1">
      <c r="A971" s="679"/>
      <c r="B971" s="687"/>
      <c r="C971" s="681"/>
      <c r="D971" s="681"/>
      <c r="E971" s="682"/>
      <c r="F971" s="683"/>
      <c r="G971" s="682"/>
      <c r="H971" s="3"/>
    </row>
    <row r="972" spans="1:11" ht="15" customHeight="1">
      <c r="A972" s="679"/>
      <c r="B972" s="687"/>
      <c r="C972" s="681"/>
      <c r="D972" s="681"/>
      <c r="E972" s="682"/>
      <c r="F972" s="683"/>
      <c r="G972" s="682"/>
      <c r="H972" s="3"/>
      <c r="K972" s="3"/>
    </row>
    <row r="973" spans="1:11" ht="15" customHeight="1">
      <c r="A973" s="679"/>
      <c r="B973" s="687"/>
      <c r="C973" s="681"/>
      <c r="D973" s="681"/>
      <c r="E973" s="682"/>
      <c r="F973" s="683"/>
      <c r="G973" s="682"/>
      <c r="H973" s="3"/>
    </row>
    <row r="974" spans="1:11" ht="15" customHeight="1">
      <c r="A974" s="679"/>
      <c r="B974" s="687"/>
      <c r="C974" s="681"/>
      <c r="D974" s="681"/>
      <c r="E974" s="682"/>
      <c r="F974" s="683"/>
      <c r="G974" s="682"/>
      <c r="H974" s="3"/>
    </row>
    <row r="975" spans="1:11" ht="15" customHeight="1">
      <c r="A975" s="679"/>
      <c r="B975" s="687"/>
      <c r="C975" s="681"/>
      <c r="D975" s="681"/>
      <c r="E975" s="682"/>
      <c r="F975" s="683"/>
      <c r="G975" s="682"/>
      <c r="H975" s="3"/>
    </row>
    <row r="976" spans="1:11" ht="15" customHeight="1">
      <c r="A976" s="679"/>
      <c r="B976" s="687"/>
      <c r="C976" s="681"/>
      <c r="D976" s="681"/>
      <c r="E976" s="682"/>
      <c r="F976" s="683"/>
      <c r="G976" s="682"/>
      <c r="H976" s="3"/>
    </row>
    <row r="977" spans="1:11" ht="15" customHeight="1">
      <c r="A977" s="679"/>
      <c r="B977" s="687"/>
      <c r="C977" s="681"/>
      <c r="D977" s="681"/>
      <c r="E977" s="682"/>
      <c r="F977" s="683"/>
      <c r="G977" s="682"/>
      <c r="H977" s="3"/>
    </row>
    <row r="978" spans="1:11" ht="15" customHeight="1">
      <c r="A978" s="679"/>
      <c r="B978" s="681"/>
      <c r="C978" s="681"/>
      <c r="D978" s="681"/>
      <c r="E978" s="682"/>
      <c r="F978" s="683"/>
      <c r="G978" s="682"/>
      <c r="H978" s="3"/>
    </row>
    <row r="979" spans="1:11" ht="15" customHeight="1">
      <c r="A979" s="679"/>
      <c r="B979" s="687"/>
      <c r="C979" s="681"/>
      <c r="D979" s="681"/>
      <c r="E979" s="682"/>
      <c r="F979" s="683"/>
      <c r="G979" s="682"/>
      <c r="H979" s="3"/>
    </row>
    <row r="980" spans="1:11" ht="15" customHeight="1">
      <c r="A980" s="679"/>
      <c r="B980" s="687"/>
      <c r="C980" s="681"/>
      <c r="D980" s="681"/>
      <c r="E980" s="682"/>
      <c r="F980" s="683"/>
      <c r="G980" s="682"/>
      <c r="H980" s="3"/>
    </row>
    <row r="981" spans="1:11" ht="15" customHeight="1">
      <c r="A981" s="679"/>
      <c r="B981" s="687"/>
      <c r="C981" s="681"/>
      <c r="D981" s="681"/>
      <c r="E981" s="682"/>
      <c r="F981" s="683"/>
      <c r="G981" s="682"/>
      <c r="H981" s="3"/>
    </row>
    <row r="982" spans="1:11" ht="15" customHeight="1">
      <c r="A982" s="679"/>
      <c r="B982" s="687"/>
      <c r="C982" s="681"/>
      <c r="D982" s="681"/>
      <c r="E982" s="682"/>
      <c r="F982" s="683"/>
      <c r="G982" s="682"/>
      <c r="H982" s="3"/>
    </row>
    <row r="983" spans="1:11" ht="15" customHeight="1">
      <c r="A983" s="679"/>
      <c r="B983" s="687"/>
      <c r="C983" s="681"/>
      <c r="D983" s="681"/>
      <c r="E983" s="682"/>
      <c r="F983" s="683"/>
      <c r="G983" s="682"/>
      <c r="H983" s="3"/>
      <c r="K983" s="3"/>
    </row>
    <row r="984" spans="1:11" ht="15" customHeight="1">
      <c r="A984" s="679"/>
      <c r="B984" s="687"/>
      <c r="C984" s="681"/>
      <c r="D984" s="681"/>
      <c r="E984" s="682"/>
      <c r="F984" s="683"/>
      <c r="G984" s="682"/>
      <c r="H984" s="3"/>
    </row>
    <row r="985" spans="1:11" ht="15" customHeight="1">
      <c r="A985" s="679"/>
      <c r="B985" s="687"/>
      <c r="C985" s="681"/>
      <c r="D985" s="681"/>
      <c r="E985" s="682"/>
      <c r="F985" s="683"/>
      <c r="G985" s="682"/>
      <c r="H985" s="3"/>
    </row>
    <row r="986" spans="1:11" ht="15" customHeight="1">
      <c r="A986" s="679"/>
      <c r="B986" s="687"/>
      <c r="C986" s="681"/>
      <c r="D986" s="681"/>
      <c r="E986" s="682"/>
      <c r="F986" s="683"/>
      <c r="G986" s="682"/>
      <c r="H986" s="3"/>
    </row>
    <row r="987" spans="1:11" ht="15" customHeight="1">
      <c r="A987" s="679"/>
      <c r="B987" s="687"/>
      <c r="C987" s="681"/>
      <c r="D987" s="681"/>
      <c r="E987" s="682"/>
      <c r="F987" s="683"/>
      <c r="G987" s="682"/>
      <c r="H987" s="3"/>
    </row>
    <row r="988" spans="1:11" ht="15" customHeight="1">
      <c r="A988" s="679"/>
      <c r="B988" s="687"/>
      <c r="C988" s="681"/>
      <c r="D988" s="681"/>
      <c r="E988" s="682"/>
      <c r="F988" s="683"/>
      <c r="G988" s="682"/>
      <c r="H988" s="3"/>
    </row>
    <row r="989" spans="1:11" ht="15" customHeight="1">
      <c r="A989" s="679"/>
      <c r="B989" s="687"/>
      <c r="C989" s="681"/>
      <c r="D989" s="681"/>
      <c r="E989" s="682"/>
      <c r="F989" s="683"/>
      <c r="G989" s="682"/>
      <c r="H989" s="3"/>
      <c r="K989" s="3"/>
    </row>
    <row r="990" spans="1:11" ht="15" customHeight="1">
      <c r="A990" s="679"/>
      <c r="B990" s="687"/>
      <c r="C990" s="681"/>
      <c r="D990" s="681"/>
      <c r="E990" s="682"/>
      <c r="F990" s="683"/>
      <c r="G990" s="682"/>
      <c r="H990" s="3"/>
    </row>
    <row r="991" spans="1:11" ht="15" customHeight="1">
      <c r="A991" s="679"/>
      <c r="B991" s="687"/>
      <c r="C991" s="681"/>
      <c r="D991" s="681"/>
      <c r="E991" s="682"/>
      <c r="F991" s="683"/>
      <c r="G991" s="682"/>
      <c r="H991" s="3"/>
    </row>
    <row r="992" spans="1:11" ht="15" customHeight="1">
      <c r="A992" s="679"/>
      <c r="B992" s="687"/>
      <c r="C992" s="681"/>
      <c r="D992" s="681"/>
      <c r="E992" s="682"/>
      <c r="F992" s="683"/>
      <c r="G992" s="682"/>
      <c r="H992" s="3"/>
      <c r="K992" s="3"/>
    </row>
    <row r="993" spans="1:29" ht="15" customHeight="1">
      <c r="A993" s="679"/>
      <c r="B993" s="687"/>
      <c r="C993" s="681"/>
      <c r="D993" s="681"/>
      <c r="E993" s="682"/>
      <c r="F993" s="683"/>
      <c r="G993" s="682"/>
      <c r="H993" s="3"/>
    </row>
    <row r="994" spans="1:29" ht="15" customHeight="1">
      <c r="A994" s="679"/>
      <c r="B994" s="687"/>
      <c r="C994" s="681"/>
      <c r="D994" s="681"/>
      <c r="E994" s="682"/>
      <c r="F994" s="683"/>
      <c r="G994" s="682"/>
      <c r="H994" s="3"/>
    </row>
    <row r="995" spans="1:29" ht="15" customHeight="1">
      <c r="A995" s="679"/>
      <c r="B995" s="687"/>
      <c r="C995" s="681"/>
      <c r="D995" s="681"/>
      <c r="E995" s="682"/>
      <c r="F995" s="683"/>
      <c r="G995" s="682"/>
      <c r="H995" s="3"/>
    </row>
    <row r="996" spans="1:29" ht="15" customHeight="1">
      <c r="A996" s="679"/>
      <c r="B996" s="687"/>
      <c r="C996" s="681"/>
      <c r="D996" s="681"/>
      <c r="E996" s="682"/>
      <c r="F996" s="683"/>
      <c r="G996" s="682"/>
      <c r="H996" s="3"/>
    </row>
    <row r="997" spans="1:29" ht="15" customHeight="1">
      <c r="A997" s="679"/>
      <c r="B997" s="687"/>
      <c r="C997" s="681"/>
      <c r="D997" s="681"/>
      <c r="E997" s="682"/>
      <c r="F997" s="683"/>
      <c r="G997" s="682"/>
      <c r="H997" s="3"/>
    </row>
    <row r="998" spans="1:29" ht="15" customHeight="1">
      <c r="A998" s="679"/>
      <c r="B998" s="687"/>
      <c r="C998" s="681"/>
      <c r="D998" s="681"/>
      <c r="E998" s="682"/>
      <c r="F998" s="683"/>
      <c r="G998" s="682"/>
      <c r="H998" s="3"/>
    </row>
    <row r="999" spans="1:29" ht="15" customHeight="1">
      <c r="A999" s="679"/>
      <c r="B999" s="687"/>
      <c r="C999" s="681"/>
      <c r="D999" s="681"/>
      <c r="E999" s="682"/>
      <c r="F999" s="683"/>
      <c r="G999" s="682"/>
      <c r="H999" s="3"/>
    </row>
    <row r="1000" spans="1:29" ht="15" customHeight="1">
      <c r="A1000" s="679"/>
      <c r="B1000" s="687"/>
      <c r="C1000" s="681"/>
      <c r="D1000" s="681"/>
      <c r="E1000" s="682"/>
      <c r="F1000" s="683"/>
      <c r="G1000" s="682"/>
      <c r="H1000" s="3"/>
    </row>
    <row r="1001" spans="1:29" ht="15" customHeight="1">
      <c r="A1001" s="679"/>
      <c r="B1001" s="687"/>
      <c r="C1001" s="681"/>
      <c r="D1001" s="681"/>
      <c r="E1001" s="682"/>
      <c r="F1001" s="683"/>
      <c r="G1001" s="682"/>
      <c r="H1001" s="3"/>
    </row>
    <row r="1002" spans="1:29" ht="15" customHeight="1">
      <c r="A1002" s="679"/>
      <c r="B1002" s="687"/>
      <c r="C1002" s="681"/>
      <c r="D1002" s="681"/>
      <c r="E1002" s="682"/>
      <c r="F1002" s="683"/>
      <c r="G1002" s="682"/>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9"/>
      <c r="B1003" s="687"/>
      <c r="C1003" s="681"/>
      <c r="D1003" s="681"/>
      <c r="E1003" s="682"/>
      <c r="F1003" s="683"/>
      <c r="G1003" s="682"/>
      <c r="H1003" s="3"/>
    </row>
    <row r="1004" spans="1:29" ht="15" customHeight="1">
      <c r="A1004" s="679"/>
      <c r="B1004" s="687"/>
      <c r="C1004" s="681"/>
      <c r="D1004" s="681"/>
      <c r="E1004" s="682"/>
      <c r="F1004" s="683"/>
      <c r="G1004" s="682"/>
      <c r="H1004" s="3"/>
    </row>
    <row r="1005" spans="1:29" ht="15" customHeight="1">
      <c r="A1005" s="708"/>
      <c r="B1005" s="709"/>
      <c r="C1005" s="681"/>
      <c r="D1005" s="681"/>
      <c r="E1005" s="682"/>
      <c r="F1005" s="683"/>
      <c r="G1005" s="682"/>
      <c r="H1005" s="3"/>
    </row>
    <row r="1006" spans="1:29" ht="15" customHeight="1">
      <c r="A1006" s="679"/>
      <c r="B1006" s="687"/>
      <c r="C1006" s="681"/>
      <c r="D1006" s="681"/>
      <c r="E1006" s="682"/>
      <c r="F1006" s="683"/>
      <c r="G1006" s="682"/>
      <c r="H1006" s="3"/>
    </row>
    <row r="1007" spans="1:29" ht="15" customHeight="1">
      <c r="A1007" s="679"/>
      <c r="B1007" s="687"/>
      <c r="C1007" s="681"/>
      <c r="D1007" s="681"/>
      <c r="E1007" s="682"/>
      <c r="F1007" s="683"/>
      <c r="G1007" s="682"/>
      <c r="H1007" s="3"/>
    </row>
    <row r="1008" spans="1:29" ht="15" customHeight="1">
      <c r="A1008" s="679"/>
      <c r="B1008" s="687"/>
      <c r="C1008" s="681"/>
      <c r="D1008" s="681"/>
      <c r="E1008" s="682"/>
      <c r="F1008" s="683"/>
      <c r="G1008" s="682"/>
      <c r="H1008" s="3"/>
    </row>
    <row r="1009" spans="1:15" ht="15" customHeight="1">
      <c r="A1009" s="679"/>
      <c r="B1009" s="687"/>
      <c r="C1009" s="681"/>
      <c r="D1009" s="681"/>
      <c r="E1009" s="682"/>
      <c r="F1009" s="683"/>
      <c r="G1009" s="682"/>
      <c r="H1009" s="3"/>
    </row>
    <row r="1010" spans="1:15" ht="15" customHeight="1">
      <c r="A1010" s="679"/>
      <c r="B1010" s="687"/>
      <c r="C1010" s="681"/>
      <c r="D1010" s="681"/>
      <c r="E1010" s="682"/>
      <c r="F1010" s="683"/>
      <c r="G1010" s="682"/>
      <c r="H1010" s="3"/>
    </row>
    <row r="1011" spans="1:15" ht="15" customHeight="1">
      <c r="A1011" s="679"/>
      <c r="B1011" s="687"/>
      <c r="C1011" s="681"/>
      <c r="D1011" s="681"/>
      <c r="E1011" s="682"/>
      <c r="F1011" s="683"/>
      <c r="G1011" s="682"/>
      <c r="H1011" s="3"/>
    </row>
    <row r="1012" spans="1:15" ht="15" customHeight="1">
      <c r="A1012" s="679"/>
      <c r="B1012" s="687"/>
      <c r="C1012" s="681"/>
      <c r="D1012" s="681"/>
      <c r="E1012" s="682"/>
      <c r="F1012" s="683"/>
      <c r="G1012" s="682"/>
      <c r="H1012" s="3"/>
    </row>
    <row r="1013" spans="1:15" ht="15" customHeight="1">
      <c r="A1013" s="679"/>
      <c r="B1013" s="687"/>
      <c r="C1013" s="681"/>
      <c r="D1013" s="681"/>
      <c r="E1013" s="682"/>
      <c r="F1013" s="683"/>
      <c r="G1013" s="682"/>
      <c r="H1013" s="3"/>
      <c r="M1013" s="3"/>
      <c r="N1013" s="3"/>
      <c r="O1013" s="3"/>
    </row>
    <row r="1014" spans="1:15" ht="15" customHeight="1">
      <c r="A1014" s="679"/>
      <c r="B1014" s="687"/>
      <c r="C1014" s="681"/>
      <c r="D1014" s="681"/>
      <c r="E1014" s="682"/>
      <c r="F1014" s="683"/>
      <c r="G1014" s="682"/>
      <c r="H1014" s="3"/>
    </row>
    <row r="1015" spans="1:15" ht="15" customHeight="1">
      <c r="A1015" s="679"/>
      <c r="B1015" s="687"/>
      <c r="C1015" s="681"/>
      <c r="D1015" s="681"/>
      <c r="E1015" s="682"/>
      <c r="F1015" s="683"/>
      <c r="G1015" s="682"/>
      <c r="H1015" s="3"/>
    </row>
    <row r="1016" spans="1:15" ht="15" customHeight="1">
      <c r="A1016" s="679"/>
      <c r="B1016" s="687"/>
      <c r="C1016" s="681"/>
      <c r="D1016" s="681"/>
      <c r="E1016" s="682"/>
      <c r="F1016" s="683"/>
      <c r="G1016" s="682"/>
      <c r="H1016" s="3"/>
    </row>
    <row r="1017" spans="1:15" ht="15" customHeight="1">
      <c r="A1017" s="679"/>
      <c r="B1017" s="687"/>
      <c r="C1017" s="681"/>
      <c r="D1017" s="681"/>
      <c r="E1017" s="682"/>
      <c r="F1017" s="683"/>
      <c r="G1017" s="682"/>
      <c r="H1017" s="3"/>
    </row>
    <row r="1018" spans="1:15" ht="15" customHeight="1">
      <c r="A1018" s="679"/>
      <c r="B1018" s="687"/>
      <c r="C1018" s="681"/>
      <c r="D1018" s="681"/>
      <c r="E1018" s="682"/>
      <c r="F1018" s="683"/>
      <c r="G1018" s="682"/>
      <c r="H1018" s="3"/>
    </row>
    <row r="1019" spans="1:15" ht="15" customHeight="1">
      <c r="A1019" s="679"/>
      <c r="B1019" s="687"/>
      <c r="C1019" s="681"/>
      <c r="D1019" s="681"/>
      <c r="E1019" s="682"/>
      <c r="F1019" s="683"/>
      <c r="G1019" s="682"/>
      <c r="H1019" s="3"/>
    </row>
    <row r="1020" spans="1:15" ht="15" customHeight="1">
      <c r="A1020" s="679"/>
      <c r="B1020" s="687"/>
      <c r="C1020" s="681"/>
      <c r="D1020" s="681"/>
      <c r="E1020" s="682"/>
      <c r="F1020" s="683"/>
      <c r="G1020" s="682"/>
      <c r="H1020" s="3"/>
    </row>
    <row r="1021" spans="1:15" ht="15" customHeight="1">
      <c r="A1021" s="679"/>
      <c r="B1021" s="687"/>
      <c r="C1021" s="681"/>
      <c r="D1021" s="681"/>
      <c r="E1021" s="682"/>
      <c r="F1021" s="683"/>
      <c r="G1021" s="682"/>
      <c r="H1021" s="3"/>
    </row>
    <row r="1022" spans="1:15" ht="15" customHeight="1">
      <c r="A1022" s="708"/>
      <c r="B1022" s="709"/>
      <c r="C1022" s="681"/>
      <c r="D1022" s="681"/>
      <c r="E1022" s="682"/>
      <c r="F1022" s="683"/>
      <c r="G1022" s="682"/>
      <c r="H1022" s="3"/>
    </row>
    <row r="1023" spans="1:15" ht="15" customHeight="1">
      <c r="A1023" s="679"/>
      <c r="B1023" s="687"/>
      <c r="C1023" s="681"/>
      <c r="D1023" s="681"/>
      <c r="E1023" s="682"/>
      <c r="F1023" s="683"/>
      <c r="G1023" s="682"/>
      <c r="H1023" s="3"/>
    </row>
    <row r="1024" spans="1:15" ht="15" customHeight="1">
      <c r="A1024" s="679"/>
      <c r="B1024" s="687"/>
      <c r="C1024" s="681"/>
      <c r="D1024" s="681"/>
      <c r="E1024" s="682"/>
      <c r="F1024" s="683"/>
      <c r="G1024" s="682"/>
      <c r="H1024" s="3"/>
    </row>
    <row r="1025" spans="1:29" ht="15" customHeight="1">
      <c r="A1025" s="679"/>
      <c r="B1025" s="687"/>
      <c r="C1025" s="681"/>
      <c r="D1025" s="681"/>
      <c r="E1025" s="682"/>
      <c r="F1025" s="683"/>
      <c r="G1025" s="682"/>
      <c r="H1025" s="3"/>
    </row>
    <row r="1026" spans="1:29" ht="15" customHeight="1">
      <c r="A1026" s="679"/>
      <c r="B1026" s="687"/>
      <c r="C1026" s="681"/>
      <c r="D1026" s="681"/>
      <c r="E1026" s="682"/>
      <c r="F1026" s="683"/>
      <c r="G1026" s="682"/>
      <c r="H1026" s="3"/>
    </row>
    <row r="1027" spans="1:29" ht="15" customHeight="1">
      <c r="A1027" s="679"/>
      <c r="B1027" s="687"/>
      <c r="C1027" s="681"/>
      <c r="D1027" s="681"/>
      <c r="E1027" s="682"/>
      <c r="F1027" s="683"/>
      <c r="G1027" s="682"/>
      <c r="H1027" s="3"/>
    </row>
    <row r="1028" spans="1:29" ht="15" customHeight="1">
      <c r="A1028" s="679"/>
      <c r="B1028" s="687"/>
      <c r="C1028" s="681"/>
      <c r="D1028" s="681"/>
      <c r="E1028" s="682"/>
      <c r="F1028" s="683"/>
      <c r="G1028" s="682"/>
      <c r="H1028" s="3"/>
    </row>
    <row r="1029" spans="1:29" ht="15" customHeight="1">
      <c r="A1029" s="679"/>
      <c r="B1029" s="687"/>
      <c r="C1029" s="681"/>
      <c r="D1029" s="681"/>
      <c r="E1029" s="682"/>
      <c r="F1029" s="683"/>
      <c r="G1029" s="682"/>
      <c r="H1029" s="3"/>
    </row>
    <row r="1030" spans="1:29" ht="15" customHeight="1">
      <c r="A1030" s="679"/>
      <c r="B1030" s="687"/>
      <c r="C1030" s="681"/>
      <c r="D1030" s="681"/>
      <c r="E1030" s="682"/>
      <c r="F1030" s="683"/>
      <c r="G1030" s="682"/>
      <c r="H1030" s="3"/>
    </row>
    <row r="1031" spans="1:29" ht="15" customHeight="1">
      <c r="A1031" s="679"/>
      <c r="B1031" s="687"/>
      <c r="C1031" s="681"/>
      <c r="D1031" s="681"/>
      <c r="E1031" s="682"/>
      <c r="F1031" s="683"/>
      <c r="G1031" s="682"/>
      <c r="H1031" s="3"/>
    </row>
    <row r="1032" spans="1:29" ht="15" customHeight="1">
      <c r="A1032" s="679"/>
      <c r="B1032" s="687"/>
      <c r="C1032" s="681"/>
      <c r="D1032" s="681"/>
      <c r="E1032" s="682"/>
      <c r="F1032" s="683"/>
      <c r="G1032" s="682"/>
      <c r="H1032" s="3"/>
    </row>
    <row r="1033" spans="1:29" ht="15" customHeight="1">
      <c r="A1033" s="679"/>
      <c r="B1033" s="687"/>
      <c r="C1033" s="681"/>
      <c r="D1033" s="681"/>
      <c r="E1033" s="682"/>
      <c r="F1033" s="683"/>
      <c r="G1033" s="682"/>
      <c r="H1033" s="3"/>
    </row>
    <row r="1034" spans="1:29" ht="15" customHeight="1">
      <c r="A1034" s="679"/>
      <c r="B1034" s="687"/>
      <c r="C1034" s="681"/>
      <c r="D1034" s="681"/>
      <c r="E1034" s="682"/>
      <c r="F1034" s="683"/>
      <c r="G1034" s="682"/>
      <c r="H1034" s="3"/>
    </row>
    <row r="1035" spans="1:29" ht="15" customHeight="1">
      <c r="A1035" s="679"/>
      <c r="B1035" s="687"/>
      <c r="C1035" s="681"/>
      <c r="D1035" s="681"/>
      <c r="E1035" s="682"/>
      <c r="F1035" s="683"/>
      <c r="G1035" s="682"/>
      <c r="H1035" s="3"/>
    </row>
    <row r="1036" spans="1:29" ht="15" customHeight="1">
      <c r="A1036" s="679"/>
      <c r="B1036" s="687"/>
      <c r="C1036" s="681"/>
      <c r="D1036" s="681"/>
      <c r="E1036" s="682"/>
      <c r="F1036" s="683"/>
      <c r="G1036" s="682"/>
      <c r="H1036" s="3"/>
    </row>
    <row r="1037" spans="1:29" ht="15" customHeight="1">
      <c r="A1037" s="679"/>
      <c r="B1037" s="687"/>
      <c r="C1037" s="681"/>
      <c r="D1037" s="681"/>
      <c r="E1037" s="682"/>
      <c r="F1037" s="683"/>
      <c r="G1037" s="682"/>
      <c r="H1037" s="3"/>
    </row>
    <row r="1038" spans="1:29" ht="15" customHeight="1">
      <c r="A1038" s="679"/>
      <c r="B1038" s="687"/>
      <c r="C1038" s="681"/>
      <c r="D1038" s="681"/>
      <c r="E1038" s="682"/>
      <c r="F1038" s="683"/>
      <c r="G1038" s="682"/>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9"/>
      <c r="B1039" s="687"/>
      <c r="C1039" s="681"/>
      <c r="D1039" s="681"/>
      <c r="E1039" s="682"/>
      <c r="F1039" s="683"/>
      <c r="G1039" s="682"/>
      <c r="H1039" s="3"/>
    </row>
    <row r="1040" spans="1:29" ht="15" customHeight="1">
      <c r="A1040" s="679"/>
      <c r="B1040" s="681"/>
      <c r="C1040" s="681"/>
      <c r="D1040" s="681"/>
      <c r="E1040" s="682"/>
      <c r="F1040" s="683"/>
      <c r="G1040" s="682"/>
      <c r="H1040" s="3"/>
    </row>
    <row r="1041" spans="1:29" ht="15" customHeight="1">
      <c r="A1041" s="679"/>
      <c r="B1041" s="687"/>
      <c r="C1041" s="681"/>
      <c r="D1041" s="681"/>
      <c r="E1041" s="682"/>
      <c r="F1041" s="683"/>
      <c r="G1041" s="682"/>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9"/>
      <c r="B1042" s="687"/>
      <c r="C1042" s="681"/>
      <c r="D1042" s="681"/>
      <c r="E1042" s="682"/>
      <c r="F1042" s="683"/>
      <c r="G1042" s="682"/>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10"/>
      <c r="B1043" s="711"/>
      <c r="C1043" s="712"/>
      <c r="D1043" s="712"/>
      <c r="E1043" s="682"/>
      <c r="F1043" s="683"/>
      <c r="G1043" s="682"/>
      <c r="H1043" s="3"/>
    </row>
    <row r="1044" spans="1:29" ht="15" customHeight="1">
      <c r="A1044" s="679"/>
      <c r="B1044" s="687"/>
      <c r="C1044" s="681"/>
      <c r="D1044" s="681"/>
      <c r="E1044" s="682"/>
      <c r="F1044" s="683"/>
      <c r="G1044" s="682"/>
      <c r="H1044" s="3"/>
    </row>
    <row r="1045" spans="1:29" ht="15" customHeight="1">
      <c r="A1045" s="679"/>
      <c r="B1045" s="687"/>
      <c r="C1045" s="681"/>
      <c r="D1045" s="681"/>
      <c r="E1045" s="682"/>
      <c r="F1045" s="683"/>
      <c r="G1045" s="682"/>
      <c r="H1045" s="3"/>
      <c r="K1045" s="3"/>
    </row>
    <row r="1046" spans="1:29" ht="15" customHeight="1">
      <c r="A1046" s="679"/>
      <c r="B1046" s="687"/>
      <c r="C1046" s="681"/>
      <c r="D1046" s="681"/>
      <c r="E1046" s="682"/>
      <c r="F1046" s="683"/>
      <c r="G1046" s="682"/>
      <c r="H1046" s="3"/>
    </row>
    <row r="1047" spans="1:29" ht="15" customHeight="1">
      <c r="A1047" s="679"/>
      <c r="B1047" s="687"/>
      <c r="C1047" s="681"/>
      <c r="D1047" s="681"/>
      <c r="E1047" s="682"/>
      <c r="F1047" s="683"/>
      <c r="G1047" s="682"/>
      <c r="H1047" s="3"/>
    </row>
    <row r="1048" spans="1:29" ht="15" customHeight="1">
      <c r="A1048" s="679"/>
      <c r="B1048" s="687"/>
      <c r="C1048" s="681"/>
      <c r="D1048" s="681"/>
      <c r="E1048" s="682"/>
      <c r="F1048" s="683"/>
      <c r="G1048" s="682"/>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9"/>
      <c r="B1049" s="687"/>
      <c r="C1049" s="681"/>
      <c r="D1049" s="681"/>
      <c r="E1049" s="682"/>
      <c r="F1049" s="683"/>
      <c r="G1049" s="682"/>
      <c r="H1049" s="3"/>
    </row>
    <row r="1050" spans="1:29" ht="15" customHeight="1">
      <c r="A1050" s="679"/>
      <c r="B1050" s="687"/>
      <c r="C1050" s="681"/>
      <c r="D1050" s="681"/>
      <c r="E1050" s="682"/>
      <c r="F1050" s="683"/>
      <c r="G1050" s="682"/>
      <c r="H1050" s="3"/>
    </row>
    <row r="1051" spans="1:29" ht="15" customHeight="1">
      <c r="A1051" s="679"/>
      <c r="B1051" s="687"/>
      <c r="C1051" s="681"/>
      <c r="D1051" s="681"/>
      <c r="E1051" s="682"/>
      <c r="F1051" s="683"/>
      <c r="G1051" s="682"/>
      <c r="H1051" s="3"/>
    </row>
    <row r="1052" spans="1:29" ht="15" customHeight="1">
      <c r="A1052" s="679"/>
      <c r="B1052" s="687"/>
      <c r="C1052" s="681"/>
      <c r="D1052" s="681"/>
      <c r="E1052" s="682"/>
      <c r="F1052" s="683"/>
      <c r="G1052" s="682"/>
      <c r="H1052" s="3"/>
    </row>
    <row r="1053" spans="1:29" ht="15" customHeight="1">
      <c r="A1053" s="679"/>
      <c r="B1053" s="687"/>
      <c r="C1053" s="681"/>
      <c r="D1053" s="681"/>
      <c r="E1053" s="682"/>
      <c r="F1053" s="683"/>
      <c r="G1053" s="682"/>
      <c r="H1053" s="3"/>
      <c r="K1053" s="3"/>
    </row>
    <row r="1054" spans="1:29" ht="15" customHeight="1">
      <c r="A1054" s="679"/>
      <c r="B1054" s="687"/>
      <c r="C1054" s="681"/>
      <c r="D1054" s="681"/>
      <c r="E1054" s="682"/>
      <c r="F1054" s="683"/>
      <c r="G1054" s="682"/>
      <c r="H1054" s="3"/>
    </row>
    <row r="1055" spans="1:29" ht="15" customHeight="1">
      <c r="A1055" s="679"/>
      <c r="B1055" s="687"/>
      <c r="C1055" s="681"/>
      <c r="D1055" s="681"/>
      <c r="E1055" s="682"/>
      <c r="F1055" s="683"/>
      <c r="G1055" s="682"/>
      <c r="H1055" s="3"/>
    </row>
    <row r="1056" spans="1:29" ht="15" customHeight="1">
      <c r="A1056" s="679"/>
      <c r="B1056" s="687"/>
      <c r="C1056" s="681"/>
      <c r="D1056" s="681"/>
      <c r="E1056" s="682"/>
      <c r="F1056" s="683"/>
      <c r="G1056" s="682"/>
      <c r="H1056" s="3"/>
    </row>
    <row r="1057" spans="1:8" ht="15" customHeight="1">
      <c r="A1057" s="679"/>
      <c r="B1057" s="687"/>
      <c r="C1057" s="681"/>
      <c r="D1057" s="681"/>
      <c r="E1057" s="682"/>
      <c r="F1057" s="683"/>
      <c r="G1057" s="682"/>
      <c r="H1057" s="3"/>
    </row>
    <row r="1058" spans="1:8" ht="15" customHeight="1">
      <c r="A1058" s="679"/>
      <c r="B1058" s="687"/>
      <c r="C1058" s="681"/>
      <c r="D1058" s="681"/>
      <c r="E1058" s="682"/>
      <c r="F1058" s="683"/>
      <c r="G1058" s="682"/>
      <c r="H1058" s="3"/>
    </row>
    <row r="1059" spans="1:8" ht="15" customHeight="1">
      <c r="A1059" s="679"/>
      <c r="B1059" s="687"/>
      <c r="C1059" s="681"/>
      <c r="D1059" s="681"/>
      <c r="E1059" s="682"/>
      <c r="F1059" s="683"/>
      <c r="G1059" s="682"/>
      <c r="H1059" s="3"/>
    </row>
    <row r="1060" spans="1:8" ht="15" customHeight="1">
      <c r="A1060" s="679"/>
      <c r="B1060" s="687"/>
      <c r="C1060" s="681"/>
      <c r="D1060" s="681"/>
      <c r="E1060" s="682"/>
      <c r="F1060" s="683"/>
      <c r="G1060" s="682"/>
      <c r="H1060" s="3"/>
    </row>
    <row r="1061" spans="1:8" ht="15" customHeight="1">
      <c r="A1061" s="679"/>
      <c r="B1061" s="687"/>
      <c r="C1061" s="681"/>
      <c r="D1061" s="681"/>
      <c r="E1061" s="682"/>
      <c r="F1061" s="683"/>
      <c r="G1061" s="682"/>
      <c r="H1061" s="3"/>
    </row>
    <row r="1062" spans="1:8" ht="15" customHeight="1">
      <c r="A1062" s="679"/>
      <c r="B1062" s="687"/>
      <c r="C1062" s="681"/>
      <c r="D1062" s="681"/>
      <c r="E1062" s="682"/>
      <c r="F1062" s="683"/>
      <c r="G1062" s="682"/>
      <c r="H1062" s="3"/>
    </row>
    <row r="1063" spans="1:8" ht="15" customHeight="1">
      <c r="A1063" s="679"/>
      <c r="B1063" s="687"/>
      <c r="C1063" s="681"/>
      <c r="D1063" s="681"/>
      <c r="E1063" s="682"/>
      <c r="F1063" s="683"/>
      <c r="G1063" s="682"/>
      <c r="H1063" s="3"/>
    </row>
    <row r="1064" spans="1:8" ht="15" customHeight="1">
      <c r="A1064" s="679"/>
      <c r="B1064" s="687"/>
      <c r="C1064" s="681"/>
      <c r="D1064" s="681"/>
      <c r="E1064" s="682"/>
      <c r="F1064" s="683"/>
      <c r="G1064" s="682"/>
      <c r="H1064" s="3"/>
    </row>
    <row r="1065" spans="1:8" ht="15" customHeight="1">
      <c r="A1065" s="679"/>
      <c r="B1065" s="687"/>
      <c r="C1065" s="681"/>
      <c r="D1065" s="681"/>
      <c r="E1065" s="682"/>
      <c r="F1065" s="683"/>
      <c r="G1065" s="682"/>
      <c r="H1065" s="3"/>
    </row>
    <row r="1066" spans="1:8" ht="15" customHeight="1">
      <c r="A1066" s="679"/>
      <c r="B1066" s="687"/>
      <c r="C1066" s="681"/>
      <c r="D1066" s="681"/>
      <c r="E1066" s="682"/>
      <c r="F1066" s="683"/>
      <c r="G1066" s="682"/>
      <c r="H1066" s="3"/>
    </row>
    <row r="1067" spans="1:8" ht="15" customHeight="1">
      <c r="A1067" s="679"/>
      <c r="B1067" s="687"/>
      <c r="C1067" s="681"/>
      <c r="D1067" s="681"/>
      <c r="E1067" s="682"/>
      <c r="F1067" s="683"/>
      <c r="G1067" s="682"/>
      <c r="H1067" s="3"/>
    </row>
    <row r="1068" spans="1:8" ht="15" customHeight="1">
      <c r="A1068" s="679"/>
      <c r="B1068" s="687"/>
      <c r="C1068" s="681"/>
      <c r="D1068" s="681"/>
      <c r="E1068" s="682"/>
      <c r="F1068" s="683"/>
      <c r="G1068" s="682"/>
      <c r="H1068" s="3"/>
    </row>
    <row r="1069" spans="1:8" ht="15" customHeight="1">
      <c r="A1069" s="679"/>
      <c r="B1069" s="687"/>
      <c r="C1069" s="681"/>
      <c r="D1069" s="681"/>
      <c r="E1069" s="682"/>
      <c r="F1069" s="683"/>
      <c r="G1069" s="682"/>
      <c r="H1069" s="3"/>
    </row>
    <row r="1070" spans="1:8" ht="15" customHeight="1">
      <c r="A1070" s="679"/>
      <c r="B1070" s="687"/>
      <c r="C1070" s="681"/>
      <c r="D1070" s="681"/>
      <c r="E1070" s="682"/>
      <c r="F1070" s="683"/>
      <c r="G1070" s="682"/>
      <c r="H1070" s="3"/>
    </row>
    <row r="1071" spans="1:8" ht="15" customHeight="1">
      <c r="A1071" s="679"/>
      <c r="B1071" s="687"/>
      <c r="C1071" s="681"/>
      <c r="D1071" s="681"/>
      <c r="E1071" s="682"/>
      <c r="F1071" s="683"/>
      <c r="G1071" s="682"/>
      <c r="H1071" s="3"/>
    </row>
    <row r="1072" spans="1:8" ht="15" customHeight="1">
      <c r="A1072" s="679"/>
      <c r="B1072" s="687"/>
      <c r="C1072" s="681"/>
      <c r="D1072" s="681"/>
      <c r="E1072" s="682"/>
      <c r="F1072" s="683"/>
      <c r="G1072" s="682"/>
      <c r="H1072" s="3"/>
    </row>
    <row r="1073" spans="1:8" ht="15" customHeight="1">
      <c r="A1073" s="679"/>
      <c r="B1073" s="687"/>
      <c r="C1073" s="681"/>
      <c r="D1073" s="681"/>
      <c r="E1073" s="682"/>
      <c r="F1073" s="683"/>
      <c r="G1073" s="682"/>
      <c r="H1073" s="3"/>
    </row>
    <row r="1074" spans="1:8" ht="15" customHeight="1">
      <c r="A1074" s="679"/>
      <c r="B1074" s="687"/>
      <c r="C1074" s="681"/>
      <c r="D1074" s="681"/>
      <c r="E1074" s="682"/>
      <c r="F1074" s="683"/>
      <c r="G1074" s="682"/>
      <c r="H1074" s="3"/>
    </row>
    <row r="1075" spans="1:8" ht="15" customHeight="1">
      <c r="A1075" s="679"/>
      <c r="B1075" s="687"/>
      <c r="C1075" s="681"/>
      <c r="D1075" s="681"/>
      <c r="E1075" s="682"/>
      <c r="F1075" s="683"/>
      <c r="G1075" s="682"/>
      <c r="H1075" s="3"/>
    </row>
    <row r="1076" spans="1:8" ht="15" customHeight="1">
      <c r="A1076" s="704"/>
      <c r="B1076" s="697"/>
      <c r="C1076" s="695"/>
      <c r="D1076" s="681"/>
      <c r="E1076" s="682"/>
      <c r="F1076" s="683"/>
      <c r="G1076" s="682"/>
      <c r="H1076" s="3"/>
    </row>
    <row r="1077" spans="1:8" ht="15" customHeight="1">
      <c r="A1077" s="679"/>
      <c r="B1077" s="687"/>
      <c r="C1077" s="681"/>
      <c r="D1077" s="681"/>
      <c r="E1077" s="682"/>
      <c r="F1077" s="683"/>
      <c r="G1077" s="682"/>
      <c r="H1077" s="3"/>
    </row>
    <row r="1078" spans="1:8" ht="15" customHeight="1">
      <c r="A1078" s="679"/>
      <c r="B1078" s="687"/>
      <c r="C1078" s="681"/>
      <c r="D1078" s="681"/>
      <c r="E1078" s="682"/>
      <c r="F1078" s="683"/>
      <c r="G1078" s="682"/>
      <c r="H1078" s="3"/>
    </row>
    <row r="1079" spans="1:8" ht="15" customHeight="1">
      <c r="A1079" s="679"/>
      <c r="B1079" s="687"/>
      <c r="C1079" s="681"/>
      <c r="D1079" s="681"/>
      <c r="E1079" s="682"/>
      <c r="F1079" s="683"/>
      <c r="G1079" s="682"/>
      <c r="H1079" s="3"/>
    </row>
    <row r="1080" spans="1:8" ht="15" customHeight="1">
      <c r="A1080" s="679"/>
      <c r="B1080" s="687"/>
      <c r="C1080" s="681"/>
      <c r="D1080" s="681"/>
      <c r="E1080" s="682"/>
      <c r="F1080" s="683"/>
      <c r="G1080" s="682"/>
      <c r="H1080" s="3"/>
    </row>
    <row r="1081" spans="1:8" ht="15" customHeight="1">
      <c r="A1081" s="679"/>
      <c r="B1081" s="687"/>
      <c r="C1081" s="681"/>
      <c r="D1081" s="681"/>
      <c r="E1081" s="682"/>
      <c r="F1081" s="683"/>
      <c r="G1081" s="682"/>
      <c r="H1081" s="3"/>
    </row>
    <row r="1082" spans="1:8" ht="15" customHeight="1">
      <c r="A1082" s="679"/>
      <c r="B1082" s="687"/>
      <c r="C1082" s="681"/>
      <c r="D1082" s="681"/>
      <c r="E1082" s="682"/>
      <c r="F1082" s="683"/>
      <c r="G1082" s="682"/>
      <c r="H1082" s="3"/>
    </row>
    <row r="1083" spans="1:8" ht="15" customHeight="1">
      <c r="A1083" s="679"/>
      <c r="B1083" s="687"/>
      <c r="C1083" s="681"/>
      <c r="D1083" s="681"/>
      <c r="E1083" s="682"/>
      <c r="F1083" s="683"/>
      <c r="G1083" s="682"/>
      <c r="H1083" s="3"/>
    </row>
    <row r="1084" spans="1:8" ht="15" customHeight="1">
      <c r="A1084" s="679"/>
      <c r="B1084" s="687"/>
      <c r="C1084" s="681"/>
      <c r="D1084" s="681"/>
      <c r="E1084" s="682"/>
      <c r="F1084" s="683"/>
      <c r="G1084" s="682"/>
      <c r="H1084" s="3"/>
    </row>
    <row r="1085" spans="1:8" ht="15" customHeight="1">
      <c r="A1085" s="679"/>
      <c r="B1085" s="687"/>
      <c r="C1085" s="681"/>
      <c r="D1085" s="681"/>
      <c r="E1085" s="682"/>
      <c r="F1085" s="683"/>
      <c r="G1085" s="682"/>
      <c r="H1085" s="3"/>
    </row>
    <row r="1086" spans="1:8" ht="15" customHeight="1">
      <c r="A1086" s="679"/>
      <c r="B1086" s="687"/>
      <c r="C1086" s="681"/>
      <c r="D1086" s="681"/>
      <c r="E1086" s="682"/>
      <c r="F1086" s="683"/>
      <c r="G1086" s="682"/>
      <c r="H1086" s="3"/>
    </row>
    <row r="1087" spans="1:8" ht="15" customHeight="1">
      <c r="A1087" s="679"/>
      <c r="B1087" s="687"/>
      <c r="C1087" s="681"/>
      <c r="D1087" s="681"/>
      <c r="E1087" s="682"/>
      <c r="F1087" s="683"/>
      <c r="G1087" s="682"/>
      <c r="H1087" s="3"/>
    </row>
    <row r="1088" spans="1:8" ht="15" customHeight="1">
      <c r="A1088" s="679"/>
      <c r="B1088" s="687"/>
      <c r="C1088" s="681"/>
      <c r="D1088" s="681"/>
      <c r="E1088" s="682"/>
      <c r="F1088" s="683"/>
      <c r="G1088" s="682"/>
      <c r="H1088" s="3"/>
    </row>
    <row r="1089" spans="1:11" ht="15" customHeight="1">
      <c r="A1089" s="679"/>
      <c r="B1089" s="687"/>
      <c r="C1089" s="681"/>
      <c r="D1089" s="681"/>
      <c r="E1089" s="682"/>
      <c r="F1089" s="683"/>
      <c r="G1089" s="682"/>
      <c r="H1089" s="3"/>
    </row>
    <row r="1090" spans="1:11" ht="15" customHeight="1">
      <c r="A1090" s="679"/>
      <c r="B1090" s="687"/>
      <c r="C1090" s="681"/>
      <c r="D1090" s="681"/>
      <c r="E1090" s="682"/>
      <c r="F1090" s="683"/>
      <c r="G1090" s="682"/>
      <c r="H1090" s="3"/>
    </row>
    <row r="1091" spans="1:11" ht="15" customHeight="1">
      <c r="A1091" s="679"/>
      <c r="B1091" s="687"/>
      <c r="C1091" s="681"/>
      <c r="D1091" s="681"/>
      <c r="E1091" s="682"/>
      <c r="F1091" s="683"/>
      <c r="G1091" s="682"/>
      <c r="H1091" s="3"/>
    </row>
    <row r="1092" spans="1:11" ht="15" customHeight="1">
      <c r="A1092" s="679"/>
      <c r="B1092" s="687"/>
      <c r="C1092" s="681"/>
      <c r="D1092" s="681"/>
      <c r="E1092" s="682"/>
      <c r="F1092" s="683"/>
      <c r="G1092" s="682"/>
      <c r="H1092" s="3"/>
      <c r="K1092" s="3"/>
    </row>
    <row r="1093" spans="1:11" ht="15" customHeight="1">
      <c r="A1093" s="679"/>
      <c r="B1093" s="687"/>
      <c r="C1093" s="681"/>
      <c r="D1093" s="681"/>
      <c r="E1093" s="682"/>
      <c r="F1093" s="683"/>
      <c r="G1093" s="682"/>
      <c r="H1093" s="3"/>
      <c r="K1093" s="3"/>
    </row>
    <row r="1094" spans="1:11" ht="15" customHeight="1">
      <c r="A1094" s="679"/>
      <c r="B1094" s="687"/>
      <c r="C1094" s="681"/>
      <c r="D1094" s="681"/>
      <c r="E1094" s="682"/>
      <c r="F1094" s="683"/>
      <c r="G1094" s="682"/>
      <c r="H1094" s="3"/>
    </row>
    <row r="1095" spans="1:11" ht="15" customHeight="1">
      <c r="A1095" s="679"/>
      <c r="B1095" s="687"/>
      <c r="C1095" s="681"/>
      <c r="D1095" s="681"/>
      <c r="E1095" s="682"/>
      <c r="F1095" s="683"/>
      <c r="G1095" s="682"/>
      <c r="H1095" s="3"/>
    </row>
    <row r="1096" spans="1:11" ht="15" customHeight="1">
      <c r="A1096" s="679"/>
      <c r="B1096" s="687"/>
      <c r="C1096" s="681"/>
      <c r="D1096" s="681"/>
      <c r="E1096" s="682"/>
      <c r="F1096" s="683"/>
      <c r="G1096" s="682"/>
      <c r="H1096" s="3"/>
    </row>
    <row r="1097" spans="1:11" ht="15" customHeight="1">
      <c r="A1097" s="679"/>
      <c r="B1097" s="687"/>
      <c r="C1097" s="681"/>
      <c r="D1097" s="681"/>
      <c r="E1097" s="682"/>
      <c r="F1097" s="683"/>
      <c r="G1097" s="682"/>
      <c r="H1097" s="3"/>
    </row>
    <row r="1098" spans="1:11" ht="15.75" customHeight="1">
      <c r="A1098" s="679"/>
      <c r="B1098" s="687"/>
      <c r="C1098" s="681"/>
      <c r="D1098" s="681"/>
      <c r="E1098" s="682"/>
      <c r="F1098" s="683"/>
      <c r="G1098" s="682"/>
      <c r="H1098" s="3"/>
    </row>
    <row r="1099" spans="1:11" ht="15.75" customHeight="1">
      <c r="A1099" s="679"/>
      <c r="B1099" s="709"/>
      <c r="C1099" s="681"/>
      <c r="D1099" s="681"/>
      <c r="E1099" s="682"/>
      <c r="F1099" s="683"/>
      <c r="G1099" s="682"/>
      <c r="H1099" s="3"/>
      <c r="K1099" s="3"/>
    </row>
    <row r="1100" spans="1:11" ht="15.75" customHeight="1">
      <c r="A1100" s="679"/>
      <c r="B1100" s="687"/>
      <c r="C1100" s="681"/>
      <c r="D1100" s="681"/>
      <c r="E1100" s="682"/>
      <c r="F1100" s="683"/>
      <c r="G1100" s="682"/>
      <c r="H1100" s="3"/>
    </row>
    <row r="1101" spans="1:11" ht="15.75" customHeight="1">
      <c r="A1101" s="679"/>
      <c r="B1101" s="687"/>
      <c r="C1101" s="681"/>
      <c r="D1101" s="681"/>
      <c r="E1101" s="682"/>
      <c r="F1101" s="683"/>
      <c r="G1101" s="682"/>
      <c r="H1101" s="3"/>
    </row>
    <row r="1102" spans="1:11" ht="15.75" customHeight="1">
      <c r="A1102" s="679"/>
      <c r="B1102" s="687"/>
      <c r="C1102" s="681"/>
      <c r="D1102" s="681"/>
      <c r="E1102" s="682"/>
      <c r="F1102" s="683"/>
      <c r="G1102" s="682"/>
      <c r="H1102" s="3"/>
    </row>
    <row r="1103" spans="1:11" ht="15.75" customHeight="1">
      <c r="A1103" s="679"/>
      <c r="B1103" s="687"/>
      <c r="C1103" s="681"/>
      <c r="D1103" s="681"/>
      <c r="E1103" s="682"/>
      <c r="F1103" s="683"/>
      <c r="G1103" s="682"/>
      <c r="H1103" s="3"/>
    </row>
    <row r="1104" spans="1:11" ht="15.75" customHeight="1">
      <c r="A1104" s="679"/>
      <c r="B1104" s="687"/>
      <c r="C1104" s="681"/>
      <c r="D1104" s="681"/>
      <c r="E1104" s="682"/>
      <c r="F1104" s="683"/>
      <c r="G1104" s="682"/>
      <c r="H1104" s="3"/>
    </row>
    <row r="1105" spans="1:29" ht="15.75" customHeight="1">
      <c r="A1105" s="679"/>
      <c r="B1105" s="687"/>
      <c r="C1105" s="681"/>
      <c r="D1105" s="681"/>
      <c r="E1105" s="682"/>
      <c r="F1105" s="683"/>
      <c r="G1105" s="682"/>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9"/>
      <c r="B1106" s="687"/>
      <c r="C1106" s="681"/>
      <c r="D1106" s="681"/>
      <c r="E1106" s="682"/>
      <c r="F1106" s="683"/>
      <c r="G1106" s="682"/>
      <c r="H1106" s="3"/>
    </row>
    <row r="1107" spans="1:29" ht="15.75" customHeight="1">
      <c r="A1107" s="679"/>
      <c r="B1107" s="687"/>
      <c r="C1107" s="681"/>
      <c r="D1107" s="681"/>
      <c r="E1107" s="682"/>
      <c r="F1107" s="683"/>
      <c r="G1107" s="682"/>
      <c r="H1107" s="3"/>
    </row>
    <row r="1108" spans="1:29" ht="15.75" customHeight="1">
      <c r="A1108" s="679"/>
      <c r="B1108" s="687"/>
      <c r="C1108" s="681"/>
      <c r="D1108" s="681"/>
      <c r="E1108" s="682"/>
      <c r="F1108" s="683"/>
      <c r="G1108" s="682"/>
      <c r="H1108" s="3"/>
    </row>
    <row r="1109" spans="1:29" ht="15.75" customHeight="1">
      <c r="A1109" s="679"/>
      <c r="B1109" s="687"/>
      <c r="C1109" s="681"/>
      <c r="D1109" s="681"/>
      <c r="E1109" s="682"/>
      <c r="F1109" s="683"/>
      <c r="G1109" s="682"/>
      <c r="H1109" s="3"/>
    </row>
    <row r="1110" spans="1:29" ht="15.75" customHeight="1">
      <c r="A1110" s="679"/>
      <c r="B1110" s="687"/>
      <c r="C1110" s="681"/>
      <c r="D1110" s="681"/>
      <c r="E1110" s="682"/>
      <c r="F1110" s="683"/>
      <c r="G1110" s="682"/>
      <c r="H1110" s="3"/>
    </row>
    <row r="1111" spans="1:29" ht="15.75" customHeight="1">
      <c r="A1111" s="679"/>
      <c r="B1111" s="687"/>
      <c r="C1111" s="681"/>
      <c r="D1111" s="681"/>
      <c r="E1111" s="682"/>
      <c r="F1111" s="683"/>
      <c r="G1111" s="682"/>
      <c r="H1111" s="3"/>
    </row>
    <row r="1112" spans="1:29" ht="15.75" customHeight="1">
      <c r="A1112" s="679"/>
      <c r="B1112" s="687"/>
      <c r="C1112" s="681"/>
      <c r="D1112" s="681"/>
      <c r="E1112" s="682"/>
      <c r="F1112" s="683"/>
      <c r="G1112" s="682"/>
      <c r="H1112" s="3"/>
      <c r="K1112" s="3"/>
    </row>
    <row r="1113" spans="1:29" ht="15.75" customHeight="1">
      <c r="A1113" s="679"/>
      <c r="B1113" s="687"/>
      <c r="C1113" s="681"/>
      <c r="D1113" s="681"/>
      <c r="E1113" s="682"/>
      <c r="F1113" s="683"/>
      <c r="G1113" s="682"/>
      <c r="H1113" s="3"/>
    </row>
    <row r="1114" spans="1:29" ht="15.75" customHeight="1">
      <c r="A1114" s="679"/>
      <c r="B1114" s="687"/>
      <c r="C1114" s="681"/>
      <c r="D1114" s="681"/>
      <c r="E1114" s="682"/>
      <c r="F1114" s="683"/>
      <c r="G1114" s="682"/>
      <c r="H1114" s="3"/>
    </row>
    <row r="1115" spans="1:29" ht="15.75" customHeight="1">
      <c r="A1115" s="679"/>
      <c r="B1115" s="687"/>
      <c r="C1115" s="681"/>
      <c r="D1115" s="681"/>
      <c r="E1115" s="682"/>
      <c r="F1115" s="683"/>
      <c r="G1115" s="682"/>
      <c r="H1115" s="3"/>
    </row>
    <row r="1116" spans="1:29" ht="15.75" customHeight="1">
      <c r="A1116" s="679"/>
      <c r="B1116" s="687"/>
      <c r="C1116" s="681"/>
      <c r="D1116" s="681"/>
      <c r="E1116" s="682"/>
      <c r="F1116" s="683"/>
      <c r="G1116" s="682"/>
      <c r="H1116" s="3"/>
    </row>
    <row r="1117" spans="1:29" ht="15.75" customHeight="1">
      <c r="A1117" s="679"/>
      <c r="B1117" s="687"/>
      <c r="C1117" s="681"/>
      <c r="D1117" s="681"/>
      <c r="E1117" s="682"/>
      <c r="F1117" s="683"/>
      <c r="G1117" s="682"/>
      <c r="H1117" s="3"/>
    </row>
    <row r="1118" spans="1:29" ht="15.75" customHeight="1">
      <c r="A1118" s="679"/>
      <c r="B1118" s="687"/>
      <c r="C1118" s="681"/>
      <c r="D1118" s="681"/>
      <c r="E1118" s="682"/>
      <c r="F1118" s="683"/>
      <c r="G1118" s="682"/>
      <c r="H1118" s="3"/>
    </row>
    <row r="1119" spans="1:29" ht="15.75" customHeight="1">
      <c r="A1119" s="679"/>
      <c r="B1119" s="687"/>
      <c r="C1119" s="681"/>
      <c r="D1119" s="681"/>
      <c r="E1119" s="682"/>
      <c r="F1119" s="683"/>
      <c r="G1119" s="682"/>
      <c r="H1119" s="3"/>
    </row>
    <row r="1120" spans="1:29" ht="15.75" customHeight="1">
      <c r="A1120" s="679"/>
      <c r="B1120" s="687"/>
      <c r="C1120" s="681"/>
      <c r="D1120" s="681"/>
      <c r="E1120" s="682"/>
      <c r="F1120" s="683"/>
      <c r="G1120" s="682"/>
      <c r="H1120" s="3"/>
    </row>
    <row r="1121" spans="1:8" ht="15.75" customHeight="1">
      <c r="A1121" s="679"/>
      <c r="B1121" s="687"/>
      <c r="C1121" s="681"/>
      <c r="D1121" s="681"/>
      <c r="E1121" s="682"/>
      <c r="F1121" s="683"/>
      <c r="G1121" s="682"/>
      <c r="H1121" s="3"/>
    </row>
    <row r="1122" spans="1:8" ht="15.75" customHeight="1">
      <c r="A1122" s="679"/>
      <c r="B1122" s="687"/>
      <c r="C1122" s="681"/>
      <c r="D1122" s="681"/>
      <c r="E1122" s="682"/>
      <c r="F1122" s="683"/>
      <c r="G1122" s="682"/>
      <c r="H1122" s="3"/>
    </row>
    <row r="1123" spans="1:8" ht="15.75" customHeight="1">
      <c r="A1123" s="679"/>
      <c r="B1123" s="687"/>
      <c r="C1123" s="681"/>
      <c r="D1123" s="681"/>
      <c r="E1123" s="682"/>
      <c r="F1123" s="683"/>
      <c r="G1123" s="682"/>
      <c r="H1123" s="3"/>
    </row>
    <row r="1124" spans="1:8" ht="15.75" customHeight="1">
      <c r="A1124" s="679"/>
      <c r="B1124" s="687"/>
      <c r="C1124" s="681"/>
      <c r="D1124" s="681"/>
      <c r="E1124" s="682"/>
      <c r="F1124" s="683"/>
      <c r="G1124" s="682"/>
      <c r="H1124" s="3"/>
    </row>
    <row r="1125" spans="1:8" ht="15.75" customHeight="1">
      <c r="A1125" s="679"/>
      <c r="B1125" s="687"/>
      <c r="C1125" s="681"/>
      <c r="D1125" s="681"/>
      <c r="E1125" s="682"/>
      <c r="F1125" s="683"/>
      <c r="G1125" s="682"/>
      <c r="H1125" s="3"/>
    </row>
    <row r="1126" spans="1:8" ht="15" customHeight="1">
      <c r="A1126" s="679"/>
      <c r="B1126" s="687"/>
      <c r="C1126" s="681"/>
      <c r="D1126" s="681"/>
      <c r="E1126" s="682"/>
      <c r="F1126" s="683"/>
      <c r="G1126" s="682"/>
      <c r="H1126" s="4"/>
    </row>
    <row r="1127" spans="1:8" ht="15" customHeight="1">
      <c r="A1127" s="679"/>
      <c r="B1127" s="687"/>
      <c r="C1127" s="681"/>
      <c r="D1127" s="681"/>
      <c r="E1127" s="682"/>
      <c r="F1127" s="683"/>
      <c r="G1127" s="682"/>
      <c r="H1127" s="4"/>
    </row>
    <row r="1128" spans="1:8" ht="15" customHeight="1">
      <c r="A1128" s="679"/>
      <c r="B1128" s="687"/>
      <c r="C1128" s="681"/>
      <c r="D1128" s="681"/>
      <c r="E1128" s="682"/>
      <c r="F1128" s="683"/>
      <c r="G1128" s="682"/>
      <c r="H1128" s="4"/>
    </row>
    <row r="1129" spans="1:8" ht="15" customHeight="1">
      <c r="A1129" s="679"/>
      <c r="B1129" s="687"/>
      <c r="C1129" s="681"/>
      <c r="D1129" s="681"/>
      <c r="E1129" s="682"/>
      <c r="F1129" s="683"/>
      <c r="G1129" s="682"/>
      <c r="H1129" s="4"/>
    </row>
    <row r="1130" spans="1:8" ht="15" customHeight="1">
      <c r="A1130" s="704"/>
      <c r="B1130" s="681"/>
      <c r="C1130" s="681"/>
      <c r="D1130" s="681"/>
      <c r="E1130" s="682"/>
      <c r="F1130" s="683"/>
      <c r="G1130" s="682"/>
      <c r="H1130" s="4"/>
    </row>
    <row r="1131" spans="1:8" ht="15" customHeight="1">
      <c r="A1131" s="679"/>
      <c r="B1131" s="687"/>
      <c r="C1131" s="681"/>
      <c r="D1131" s="681"/>
      <c r="E1131" s="682"/>
      <c r="F1131" s="683"/>
      <c r="G1131" s="682"/>
      <c r="H1131" s="4"/>
    </row>
    <row r="1132" spans="1:8" ht="15" customHeight="1">
      <c r="A1132" s="679"/>
      <c r="B1132" s="687"/>
      <c r="C1132" s="681"/>
      <c r="D1132" s="681"/>
      <c r="E1132" s="682"/>
      <c r="F1132" s="683"/>
      <c r="G1132" s="682"/>
      <c r="H1132" s="4"/>
    </row>
    <row r="1133" spans="1:8" ht="15" customHeight="1">
      <c r="A1133" s="679"/>
      <c r="B1133" s="687"/>
      <c r="C1133" s="681"/>
      <c r="D1133" s="681"/>
      <c r="E1133" s="682"/>
      <c r="F1133" s="683"/>
      <c r="G1133" s="682"/>
      <c r="H1133" s="4"/>
    </row>
    <row r="1134" spans="1:8" ht="15" customHeight="1">
      <c r="A1134" s="679"/>
      <c r="B1134" s="687"/>
      <c r="C1134" s="681"/>
      <c r="D1134" s="681"/>
      <c r="E1134" s="682"/>
      <c r="F1134" s="683"/>
      <c r="G1134" s="682"/>
      <c r="H1134" s="4"/>
    </row>
    <row r="1135" spans="1:8" ht="15" customHeight="1">
      <c r="A1135" s="679"/>
      <c r="B1135" s="687"/>
      <c r="C1135" s="681"/>
      <c r="D1135" s="681"/>
      <c r="E1135" s="682"/>
      <c r="F1135" s="683"/>
      <c r="G1135" s="682"/>
      <c r="H1135" s="4"/>
    </row>
    <row r="1136" spans="1:8" ht="15" customHeight="1">
      <c r="A1136" s="679"/>
      <c r="B1136" s="687"/>
      <c r="C1136" s="681"/>
      <c r="D1136" s="681"/>
      <c r="E1136" s="682"/>
      <c r="F1136" s="683"/>
      <c r="G1136" s="682"/>
      <c r="H1136" s="4"/>
    </row>
    <row r="1137" spans="1:8" ht="15" customHeight="1">
      <c r="A1137" s="679"/>
      <c r="B1137" s="687"/>
      <c r="C1137" s="681"/>
      <c r="D1137" s="681"/>
      <c r="E1137" s="682"/>
      <c r="F1137" s="683"/>
      <c r="G1137" s="682"/>
      <c r="H1137" s="4"/>
    </row>
    <row r="1138" spans="1:8" ht="15" customHeight="1">
      <c r="A1138" s="679"/>
      <c r="B1138" s="687"/>
      <c r="C1138" s="681"/>
      <c r="D1138" s="681"/>
      <c r="E1138" s="682"/>
      <c r="F1138" s="683"/>
      <c r="G1138" s="682"/>
      <c r="H1138" s="4"/>
    </row>
    <row r="1139" spans="1:8" ht="15" customHeight="1">
      <c r="A1139" s="679"/>
      <c r="B1139" s="687"/>
      <c r="C1139" s="681"/>
      <c r="D1139" s="681"/>
      <c r="E1139" s="682"/>
      <c r="F1139" s="683"/>
      <c r="G1139" s="682"/>
      <c r="H1139" s="4"/>
    </row>
    <row r="1140" spans="1:8" ht="15" customHeight="1">
      <c r="A1140" s="706"/>
      <c r="B1140" s="687"/>
      <c r="C1140" s="681"/>
      <c r="D1140" s="681"/>
      <c r="E1140" s="682"/>
      <c r="F1140" s="683"/>
      <c r="G1140" s="682"/>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3" t="s">
        <v>251</v>
      </c>
      <c r="B1" s="1053" t="s">
        <v>711</v>
      </c>
      <c r="C1" s="1054" t="s">
        <v>715</v>
      </c>
      <c r="D1" s="1054" t="s">
        <v>716</v>
      </c>
      <c r="E1" s="1054" t="s">
        <v>717</v>
      </c>
      <c r="F1" s="1053" t="s">
        <v>712</v>
      </c>
      <c r="G1" s="1053" t="s">
        <v>713</v>
      </c>
      <c r="H1" s="1053" t="s">
        <v>714</v>
      </c>
      <c r="I1" s="1054" t="s">
        <v>3416</v>
      </c>
      <c r="J1" s="1054" t="s">
        <v>3417</v>
      </c>
      <c r="K1" s="1054" t="s">
        <v>3418</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row>
    <row r="2" spans="1:24" ht="15" customHeight="1">
      <c r="A2" s="1055" t="s">
        <v>722</v>
      </c>
      <c r="B2" s="1055" t="s">
        <v>1440</v>
      </c>
      <c r="C2" s="1056"/>
      <c r="D2" s="1056"/>
      <c r="E2" s="1056"/>
      <c r="F2" s="1055" t="s">
        <v>2</v>
      </c>
      <c r="G2" s="1055" t="s">
        <v>3325</v>
      </c>
      <c r="H2" s="1056"/>
      <c r="I2" s="1057">
        <v>116061</v>
      </c>
      <c r="J2" s="1057">
        <v>0</v>
      </c>
      <c r="K2" s="1057">
        <v>116061</v>
      </c>
      <c r="L2" s="655" t="str">
        <f>TEXT(B2,0)</f>
        <v>10</v>
      </c>
      <c r="M2" s="656" t="str">
        <f t="shared" ref="M2:M256" si="0">+A2</f>
        <v>PROFIT/PERTES JANVIER</v>
      </c>
      <c r="N2" s="657">
        <f>+IF(OR($Q2=Parametres!$G$2,$Q2=Parametres!$G$3),I2,C2)</f>
        <v>116061</v>
      </c>
      <c r="O2" s="657">
        <f>+IF(OR($Q2=Parametres!$G$2,$Q2=Parametres!$G$3),J2,D2)</f>
        <v>0</v>
      </c>
      <c r="P2" s="657">
        <f>+IF(OR($Q2=Parametres!$G$2,$Q2=Parametres!$G$3),K2,E2)</f>
        <v>116061</v>
      </c>
      <c r="Q2" s="656" t="str">
        <f t="shared" ref="Q2:S2" si="1">+F2</f>
        <v>1-Mémo</v>
      </c>
      <c r="R2" s="655" t="str">
        <f t="shared" si="1"/>
        <v>1</v>
      </c>
      <c r="S2" s="656">
        <f t="shared" si="1"/>
        <v>0</v>
      </c>
      <c r="T2" s="658" t="str">
        <f>+VLOOKUP($L2,Data_Validation!$A:$E,1,0)</f>
        <v>10</v>
      </c>
      <c r="U2" s="658">
        <f>+VLOOKUP($L2,Data_Validation!$A:$E,3,0)</f>
        <v>0</v>
      </c>
      <c r="V2" s="658">
        <f>+VLOOKUP($L2,Data_Validation!$A:$E,4,0)</f>
        <v>0</v>
      </c>
      <c r="W2" s="658">
        <f>VLOOKUP($L2,Data_Validation!$A:$E,5,FALSE)</f>
        <v>0</v>
      </c>
      <c r="X2" s="658">
        <f>+VLOOKUP($L2,Data_Validation!$A:$F,6,0)</f>
        <v>0</v>
      </c>
    </row>
    <row r="3" spans="1:24" ht="15" customHeight="1">
      <c r="A3" s="1055" t="s">
        <v>723</v>
      </c>
      <c r="B3" s="1055" t="s">
        <v>1640</v>
      </c>
      <c r="C3" s="1056"/>
      <c r="D3" s="1056"/>
      <c r="E3" s="1056"/>
      <c r="F3" s="1055" t="s">
        <v>2</v>
      </c>
      <c r="G3" s="1055" t="s">
        <v>3325</v>
      </c>
      <c r="H3" s="1056"/>
      <c r="I3" s="1057">
        <v>81087.95</v>
      </c>
      <c r="J3" s="1057">
        <v>0</v>
      </c>
      <c r="K3" s="1057">
        <v>81087.95</v>
      </c>
      <c r="L3" s="655" t="str">
        <f t="shared" ref="L3:L66" si="2">TEXT(B3,0)</f>
        <v>20</v>
      </c>
      <c r="M3" s="656" t="str">
        <f t="shared" si="0"/>
        <v>PROFIT/PERTES FEVRIER</v>
      </c>
      <c r="N3" s="657">
        <f>+IF(OR($Q3=Parametres!$G$2,$Q3=Parametres!$G$3),I3,C3)</f>
        <v>81087.95</v>
      </c>
      <c r="O3" s="661">
        <f>+IF(OR($Q3=Parametres!$G$2,$Q3=Parametres!$G$3),J3,D3)</f>
        <v>0</v>
      </c>
      <c r="P3" s="657">
        <f>+IF(OR($Q3=Parametres!$G$2,$Q3=Parametres!$G$3),K3,E3)</f>
        <v>81087.95</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row>
    <row r="4" spans="1:24" ht="15" customHeight="1">
      <c r="A4" s="1055" t="s">
        <v>724</v>
      </c>
      <c r="B4" s="1055" t="s">
        <v>750</v>
      </c>
      <c r="C4" s="1056"/>
      <c r="D4" s="1056"/>
      <c r="E4" s="1056"/>
      <c r="F4" s="1055" t="s">
        <v>2</v>
      </c>
      <c r="G4" s="1055" t="s">
        <v>3325</v>
      </c>
      <c r="H4" s="1056"/>
      <c r="I4" s="1057">
        <v>198702.43</v>
      </c>
      <c r="J4" s="1057">
        <v>0</v>
      </c>
      <c r="K4" s="1057">
        <v>198702.43</v>
      </c>
      <c r="L4" s="655" t="str">
        <f t="shared" si="2"/>
        <v>30</v>
      </c>
      <c r="M4" s="656" t="str">
        <f t="shared" si="0"/>
        <v>PROFIT/PERTES MARS</v>
      </c>
      <c r="N4" s="657">
        <f>+IF(OR($Q4=Parametres!$G$2,$Q4=Parametres!$G$3),I4,C4)</f>
        <v>198702.43</v>
      </c>
      <c r="O4" s="661">
        <f>+IF(OR($Q4=Parametres!$G$2,$Q4=Parametres!$G$3),J4,D4)</f>
        <v>0</v>
      </c>
      <c r="P4" s="657">
        <f>+IF(OR($Q4=Parametres!$G$2,$Q4=Parametres!$G$3),K4,E4)</f>
        <v>198702.43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row>
    <row r="5" spans="1:24" ht="15.75" customHeight="1">
      <c r="A5" s="1055" t="s">
        <v>725</v>
      </c>
      <c r="B5" s="1055" t="s">
        <v>763</v>
      </c>
      <c r="C5" s="1056"/>
      <c r="D5" s="1056"/>
      <c r="E5" s="1056"/>
      <c r="F5" s="1055" t="s">
        <v>2</v>
      </c>
      <c r="G5" s="1055" t="s">
        <v>3325</v>
      </c>
      <c r="H5" s="1056"/>
      <c r="I5" s="1057">
        <v>148007</v>
      </c>
      <c r="J5" s="1057">
        <v>0</v>
      </c>
      <c r="K5" s="1057">
        <v>148007</v>
      </c>
      <c r="L5" s="655" t="str">
        <f t="shared" si="2"/>
        <v>40</v>
      </c>
      <c r="M5" s="656" t="str">
        <f t="shared" si="0"/>
        <v>PROFIT/PERTES AVRIL</v>
      </c>
      <c r="N5" s="657">
        <f>+IF(OR($Q5=Parametres!$G$2,$Q5=Parametres!$G$3),I5,C5)</f>
        <v>148007</v>
      </c>
      <c r="O5" s="661">
        <f>+IF(OR($Q5=Parametres!$G$2,$Q5=Parametres!$G$3),J5,D5)</f>
        <v>0</v>
      </c>
      <c r="P5" s="657">
        <f>+IF(OR($Q5=Parametres!$G$2,$Q5=Parametres!$G$3),K5,E5)</f>
        <v>148007</v>
      </c>
      <c r="Q5" s="656" t="str">
        <f t="shared" ref="Q5:S5" si="5">+F5</f>
        <v>1-Mémo</v>
      </c>
      <c r="R5" s="655" t="str">
        <f t="shared" si="5"/>
        <v>1</v>
      </c>
      <c r="S5" s="656">
        <f t="shared" si="5"/>
        <v>0</v>
      </c>
      <c r="T5" s="658" t="str">
        <f>+VLOOKUP($L5,Data_Validation!$A:$D,1,0)</f>
        <v>40</v>
      </c>
      <c r="U5" s="658">
        <f>+VLOOKUP($L5,Data_Validation!$A:$D,3,0)</f>
        <v>0</v>
      </c>
      <c r="V5" s="658">
        <f>+VLOOKUP($L5,Data_Validation!$A:$D,4,0)</f>
        <v>0</v>
      </c>
      <c r="W5" s="658">
        <f>+VLOOKUP($L5,Data_Validation!$A:$E,5,0)</f>
        <v>0</v>
      </c>
      <c r="X5" s="658">
        <f>+VLOOKUP($L5,Data_Validation!$A:$F,6,0)</f>
        <v>0</v>
      </c>
    </row>
    <row r="6" spans="1:24" ht="15.75" customHeight="1">
      <c r="A6" s="1055" t="s">
        <v>726</v>
      </c>
      <c r="B6" s="1055" t="s">
        <v>787</v>
      </c>
      <c r="C6" s="1056"/>
      <c r="D6" s="1056"/>
      <c r="E6" s="1056"/>
      <c r="F6" s="1055" t="s">
        <v>2</v>
      </c>
      <c r="G6" s="1055" t="s">
        <v>3325</v>
      </c>
      <c r="H6" s="1056"/>
      <c r="I6" s="1057">
        <v>213696.9</v>
      </c>
      <c r="J6" s="1057">
        <v>0</v>
      </c>
      <c r="K6" s="1057">
        <v>213696.9</v>
      </c>
      <c r="L6" s="655" t="str">
        <f t="shared" si="2"/>
        <v>50</v>
      </c>
      <c r="M6" s="656" t="str">
        <f t="shared" si="0"/>
        <v>PROFIT/PERTES MAI</v>
      </c>
      <c r="N6" s="657">
        <f>+IF(OR($Q6=Parametres!$G$2,$Q6=Parametres!$G$3),I6,C6)</f>
        <v>213696.9</v>
      </c>
      <c r="O6" s="657">
        <f>+IF(OR($Q6=Parametres!$G$2,$Q6=Parametres!$G$3),J6,D6)</f>
        <v>0</v>
      </c>
      <c r="P6" s="657">
        <f>+IF(OR($Q6=Parametres!$G$2,$Q6=Parametres!$G$3),K6,E6)</f>
        <v>213696.9</v>
      </c>
      <c r="Q6" s="656" t="str">
        <f t="shared" ref="Q6:S6" si="6">+F6</f>
        <v>1-Mémo</v>
      </c>
      <c r="R6" s="655" t="str">
        <f t="shared" si="6"/>
        <v>1</v>
      </c>
      <c r="S6" s="656">
        <f t="shared" si="6"/>
        <v>0</v>
      </c>
      <c r="T6" s="658" t="str">
        <f>+VLOOKUP($L6,Data_Validation!$A:$D,1,0)</f>
        <v>50</v>
      </c>
      <c r="U6" s="658">
        <f>+VLOOKUP($L6,Data_Validation!$A:$D,3,0)</f>
        <v>0</v>
      </c>
      <c r="V6" s="658">
        <f>+VLOOKUP($L6,Data_Validation!$A:$D,4,0)</f>
        <v>0</v>
      </c>
      <c r="W6" s="658">
        <f>+VLOOKUP($L6,Data_Validation!$A:$E,5,0)</f>
        <v>0</v>
      </c>
      <c r="X6" s="658">
        <f>+VLOOKUP($L6,Data_Validation!$A:$F,6,0)</f>
        <v>0</v>
      </c>
    </row>
    <row r="7" spans="1:24" ht="15" customHeight="1">
      <c r="A7" s="1055" t="s">
        <v>727</v>
      </c>
      <c r="B7" s="1055" t="s">
        <v>2242</v>
      </c>
      <c r="C7" s="1056"/>
      <c r="D7" s="1056"/>
      <c r="E7" s="1056"/>
      <c r="F7" s="1055" t="s">
        <v>2</v>
      </c>
      <c r="G7" s="1055" t="s">
        <v>3325</v>
      </c>
      <c r="H7" s="1056"/>
      <c r="I7" s="1057">
        <v>260095.67</v>
      </c>
      <c r="J7" s="1057">
        <v>0</v>
      </c>
      <c r="K7" s="1057">
        <v>260095.67</v>
      </c>
      <c r="L7" s="655" t="str">
        <f t="shared" si="2"/>
        <v>60</v>
      </c>
      <c r="M7" s="656" t="str">
        <f t="shared" si="0"/>
        <v>PROFIT/PERTES JUIN</v>
      </c>
      <c r="N7" s="657">
        <f>+IF(OR($Q7=Parametres!$G$2,$Q7=Parametres!$G$3),I7,C7)</f>
        <v>260095.67</v>
      </c>
      <c r="O7" s="661">
        <f>+IF(OR($Q7=Parametres!$G$2,$Q7=Parametres!$G$3),J7,D7)</f>
        <v>0</v>
      </c>
      <c r="P7" s="657">
        <f>+IF(OR($Q7=Parametres!$G$2,$Q7=Parametres!$G$3),K7,E7)</f>
        <v>260095.67</v>
      </c>
      <c r="Q7" s="656" t="str">
        <f t="shared" ref="Q7:S7" si="7">+F7</f>
        <v>1-Mémo</v>
      </c>
      <c r="R7" s="655" t="str">
        <f t="shared" si="7"/>
        <v>1</v>
      </c>
      <c r="S7" s="656">
        <f t="shared" si="7"/>
        <v>0</v>
      </c>
      <c r="T7" s="658" t="str">
        <f>+VLOOKUP($L7,Data_Validation!$A:$D,1,0)</f>
        <v>60</v>
      </c>
      <c r="U7" s="658">
        <f>+VLOOKUP($L7,Data_Validation!$A:$D,3,0)</f>
        <v>0</v>
      </c>
      <c r="V7" s="658">
        <f>+VLOOKUP($L7,Data_Validation!$A:$D,4,0)</f>
        <v>0</v>
      </c>
      <c r="W7" s="658">
        <f>+VLOOKUP($L7,Data_Validation!$A:$E,5,0)</f>
        <v>0</v>
      </c>
      <c r="X7" s="658">
        <f>+VLOOKUP($L7,Data_Validation!$A:$F,6,0)</f>
        <v>0</v>
      </c>
    </row>
    <row r="8" spans="1:24" ht="15" customHeight="1">
      <c r="A8" s="1055" t="s">
        <v>728</v>
      </c>
      <c r="B8" s="1055" t="s">
        <v>2744</v>
      </c>
      <c r="C8" s="1056"/>
      <c r="D8" s="1056"/>
      <c r="E8" s="1056"/>
      <c r="F8" s="1055" t="s">
        <v>2</v>
      </c>
      <c r="G8" s="1055" t="s">
        <v>3325</v>
      </c>
      <c r="H8" s="1056"/>
      <c r="I8" s="1057">
        <v>247076.44</v>
      </c>
      <c r="J8" s="1057">
        <v>0</v>
      </c>
      <c r="K8" s="1057">
        <v>247076.44</v>
      </c>
      <c r="L8" s="655" t="str">
        <f t="shared" si="2"/>
        <v>70</v>
      </c>
      <c r="M8" s="656" t="str">
        <f t="shared" si="0"/>
        <v>PROFIT/PERTES JUILLET</v>
      </c>
      <c r="N8" s="657">
        <f>+IF(OR($Q8=Parametres!$G$2,$Q8=Parametres!$G$3),I8,C8)</f>
        <v>247076.44</v>
      </c>
      <c r="O8" s="661">
        <f>+IF(OR($Q8=Parametres!$G$2,$Q8=Parametres!$G$3),J8,D8)</f>
        <v>0</v>
      </c>
      <c r="P8" s="657">
        <f>+IF(OR($Q8=Parametres!$G$2,$Q8=Parametres!$G$3),K8,E8)</f>
        <v>247076.44</v>
      </c>
      <c r="Q8" s="656" t="str">
        <f t="shared" ref="Q8:S8" si="8">+F8</f>
        <v>1-Mémo</v>
      </c>
      <c r="R8" s="655" t="str">
        <f t="shared" si="8"/>
        <v>1</v>
      </c>
      <c r="S8" s="656">
        <f t="shared" si="8"/>
        <v>0</v>
      </c>
      <c r="T8" s="658" t="str">
        <f>+VLOOKUP($L8,Data_Validation!$A:$D,1,0)</f>
        <v>70</v>
      </c>
      <c r="U8" s="658">
        <f>+VLOOKUP($L8,Data_Validation!$A:$D,3,0)</f>
        <v>0</v>
      </c>
      <c r="V8" s="658">
        <f>+VLOOKUP($L8,Data_Validation!$A:$D,4,0)</f>
        <v>0</v>
      </c>
      <c r="W8" s="658">
        <f>+VLOOKUP($L8,Data_Validation!$A:$E,5,0)</f>
        <v>0</v>
      </c>
      <c r="X8" s="658">
        <f>+VLOOKUP($L8,Data_Validation!$A:$F,6,0)</f>
        <v>0</v>
      </c>
    </row>
    <row r="9" spans="1:24" ht="15" customHeight="1">
      <c r="A9" s="1055" t="s">
        <v>729</v>
      </c>
      <c r="B9" s="1055" t="s">
        <v>2747</v>
      </c>
      <c r="C9" s="1056"/>
      <c r="D9" s="1056"/>
      <c r="E9" s="1056"/>
      <c r="F9" s="1055" t="s">
        <v>2</v>
      </c>
      <c r="G9" s="1055" t="s">
        <v>3325</v>
      </c>
      <c r="H9" s="1056"/>
      <c r="I9" s="1057">
        <v>342752.56</v>
      </c>
      <c r="J9" s="1057">
        <v>0</v>
      </c>
      <c r="K9" s="1057">
        <v>342752.56</v>
      </c>
      <c r="L9" s="655" t="str">
        <f t="shared" si="2"/>
        <v>80</v>
      </c>
      <c r="M9" s="656" t="str">
        <f t="shared" si="0"/>
        <v>PROFIT/PERTES AOUT</v>
      </c>
      <c r="N9" s="657">
        <f>+IF(OR($Q9=Parametres!$G$2,$Q9=Parametres!$G$3),I9,C9)</f>
        <v>342752.56</v>
      </c>
      <c r="O9" s="661">
        <f>+IF(OR($Q9=Parametres!$G$2,$Q9=Parametres!$G$3),J9,D9)</f>
        <v>0</v>
      </c>
      <c r="P9" s="657">
        <f>+IF(OR($Q9=Parametres!$G$2,$Q9=Parametres!$G$3),K9,E9)</f>
        <v>342752.56</v>
      </c>
      <c r="Q9" s="656" t="str">
        <f t="shared" ref="Q9:S9" si="9">+F9</f>
        <v>1-Mémo</v>
      </c>
      <c r="R9" s="655" t="str">
        <f t="shared" si="9"/>
        <v>1</v>
      </c>
      <c r="S9" s="656">
        <f t="shared" si="9"/>
        <v>0</v>
      </c>
      <c r="T9" s="658" t="str">
        <f>+VLOOKUP($L9,Data_Validation!$A:$D,1,0)</f>
        <v>80</v>
      </c>
      <c r="U9" s="658">
        <f>+VLOOKUP($L9,Data_Validation!$A:$D,3,0)</f>
        <v>0</v>
      </c>
      <c r="V9" s="658">
        <f>+VLOOKUP($L9,Data_Validation!$A:$D,4,0)</f>
        <v>0</v>
      </c>
      <c r="W9" s="658">
        <f>+VLOOKUP($L9,Data_Validation!$A:$E,5,0)</f>
        <v>0</v>
      </c>
      <c r="X9" s="658">
        <f>+VLOOKUP($L9,Data_Validation!$A:$F,6,0)</f>
        <v>0</v>
      </c>
    </row>
    <row r="10" spans="1:24" ht="15" customHeight="1">
      <c r="A10" s="1055" t="s">
        <v>730</v>
      </c>
      <c r="B10" s="1055" t="s">
        <v>2750</v>
      </c>
      <c r="C10" s="1056"/>
      <c r="D10" s="1056"/>
      <c r="E10" s="1056"/>
      <c r="F10" s="1055" t="s">
        <v>2</v>
      </c>
      <c r="G10" s="1055" t="s">
        <v>3325</v>
      </c>
      <c r="H10" s="1056"/>
      <c r="I10" s="1057">
        <v>186502.97</v>
      </c>
      <c r="J10" s="1057">
        <v>0</v>
      </c>
      <c r="K10" s="1057">
        <v>186502.97</v>
      </c>
      <c r="L10" s="655" t="str">
        <f t="shared" si="2"/>
        <v>90</v>
      </c>
      <c r="M10" s="656" t="str">
        <f t="shared" si="0"/>
        <v>PROFIT/PERTES SEPTEMBRE</v>
      </c>
      <c r="N10" s="657">
        <f>+IF(OR($Q10=Parametres!$G$2,$Q10=Parametres!$G$3),I10,C10)</f>
        <v>186502.97</v>
      </c>
      <c r="O10" s="661">
        <f>+IF(OR($Q10=Parametres!$G$2,$Q10=Parametres!$G$3),J10,D10)</f>
        <v>0</v>
      </c>
      <c r="P10" s="657">
        <f>+IF(OR($Q10=Parametres!$G$2,$Q10=Parametres!$G$3),K10,E10)</f>
        <v>186502.97</v>
      </c>
      <c r="Q10" s="656" t="str">
        <f t="shared" ref="Q10:S10" si="10">+F10</f>
        <v>1-Mémo</v>
      </c>
      <c r="R10" s="655" t="str">
        <f t="shared" si="10"/>
        <v>1</v>
      </c>
      <c r="S10" s="656">
        <f t="shared" si="10"/>
        <v>0</v>
      </c>
      <c r="T10" s="658" t="str">
        <f>+VLOOKUP($L10,Data_Validation!$A:$D,1,0)</f>
        <v>90</v>
      </c>
      <c r="U10" s="658">
        <f>+VLOOKUP($L10,Data_Validation!$A:$D,3,0)</f>
        <v>0</v>
      </c>
      <c r="V10" s="658">
        <f>+VLOOKUP($L10,Data_Validation!$A:$D,4,0)</f>
        <v>0</v>
      </c>
      <c r="W10" s="658">
        <f>+VLOOKUP($L10,Data_Validation!$A:$E,5,0)</f>
        <v>0</v>
      </c>
      <c r="X10" s="658">
        <f>+VLOOKUP($L10,Data_Validation!$A:$F,6,0)</f>
        <v>0</v>
      </c>
    </row>
    <row r="11" spans="1:24" ht="15" customHeight="1">
      <c r="A11" s="1055" t="s">
        <v>731</v>
      </c>
      <c r="B11" s="1055" t="s">
        <v>1443</v>
      </c>
      <c r="C11" s="1056"/>
      <c r="D11" s="1056"/>
      <c r="E11" s="1056"/>
      <c r="F11" s="1055" t="s">
        <v>2</v>
      </c>
      <c r="G11" s="1055" t="s">
        <v>3325</v>
      </c>
      <c r="H11" s="1056"/>
      <c r="I11" s="1057">
        <v>202788.53</v>
      </c>
      <c r="J11" s="1057">
        <v>0</v>
      </c>
      <c r="K11" s="1057">
        <v>202788.53</v>
      </c>
      <c r="L11" s="655" t="str">
        <f t="shared" si="2"/>
        <v>100</v>
      </c>
      <c r="M11" s="656" t="str">
        <f t="shared" si="0"/>
        <v>PROFIT/PERTES OCTOBRE</v>
      </c>
      <c r="N11" s="657">
        <f>+IF(OR($Q11=Parametres!$G$2,$Q11=Parametres!$G$3),I11,C11)</f>
        <v>202788.53</v>
      </c>
      <c r="O11" s="657">
        <f>+IF(OR($Q11=Parametres!$G$2,$Q11=Parametres!$G$3),J11,D11)</f>
        <v>0</v>
      </c>
      <c r="P11" s="657">
        <f>+IF(OR($Q11=Parametres!$G$2,$Q11=Parametres!$G$3),K11,E11)</f>
        <v>202788.53</v>
      </c>
      <c r="Q11" s="656" t="str">
        <f t="shared" ref="Q11:S11" si="11">+F11</f>
        <v>1-Mémo</v>
      </c>
      <c r="R11" s="655" t="str">
        <f t="shared" si="11"/>
        <v>1</v>
      </c>
      <c r="S11" s="656">
        <f t="shared" si="11"/>
        <v>0</v>
      </c>
      <c r="T11" s="658" t="str">
        <f>+VLOOKUP($L11,Data_Validation!$A:$D,1,0)</f>
        <v>100</v>
      </c>
      <c r="U11" s="658">
        <f>+VLOOKUP($L11,Data_Validation!$A:$D,3,0)</f>
        <v>0</v>
      </c>
      <c r="V11" s="658">
        <f>+VLOOKUP($L11,Data_Validation!$A:$D,4,0)</f>
        <v>0</v>
      </c>
      <c r="W11" s="658">
        <f>+VLOOKUP($L11,Data_Validation!$A:$E,5,0)</f>
        <v>0</v>
      </c>
      <c r="X11" s="658">
        <f>+VLOOKUP($L11,Data_Validation!$A:$F,6,0)</f>
        <v>0</v>
      </c>
    </row>
    <row r="12" spans="1:24" ht="15" customHeight="1">
      <c r="A12" s="1055" t="s">
        <v>732</v>
      </c>
      <c r="B12" s="1055" t="s">
        <v>1446</v>
      </c>
      <c r="C12" s="1056"/>
      <c r="D12" s="1056"/>
      <c r="E12" s="1056"/>
      <c r="F12" s="1055" t="s">
        <v>2</v>
      </c>
      <c r="G12" s="1055" t="s">
        <v>3325</v>
      </c>
      <c r="H12" s="1056"/>
      <c r="I12" s="1057">
        <v>222887.14</v>
      </c>
      <c r="J12" s="1057">
        <v>0</v>
      </c>
      <c r="K12" s="1057">
        <v>222887.14</v>
      </c>
      <c r="L12" s="655" t="str">
        <f t="shared" si="2"/>
        <v>110</v>
      </c>
      <c r="M12" s="656" t="str">
        <f t="shared" si="0"/>
        <v>PROFIT/PERTES NOVEMBRE</v>
      </c>
      <c r="N12" s="657">
        <f>+IF(OR($Q12=Parametres!$G$2,$Q12=Parametres!$G$3),I12,C12)</f>
        <v>222887.14</v>
      </c>
      <c r="O12" s="657">
        <f>+IF(OR($Q12=Parametres!$G$2,$Q12=Parametres!$G$3),J12,D12)</f>
        <v>0</v>
      </c>
      <c r="P12" s="657">
        <f>+IF(OR($Q12=Parametres!$G$2,$Q12=Parametres!$G$3),K12,E12)</f>
        <v>222887.14</v>
      </c>
      <c r="Q12" s="656" t="str">
        <f t="shared" ref="Q12:S12" si="12">+F12</f>
        <v>1-Mémo</v>
      </c>
      <c r="R12" s="655" t="str">
        <f t="shared" si="12"/>
        <v>1</v>
      </c>
      <c r="S12" s="656">
        <f t="shared" si="12"/>
        <v>0</v>
      </c>
      <c r="T12" s="658" t="str">
        <f>+VLOOKUP($L12,Data_Validation!$A:$D,1,0)</f>
        <v>110</v>
      </c>
      <c r="U12" s="658">
        <f>+VLOOKUP($L12,Data_Validation!$A:$D,3,0)</f>
        <v>0</v>
      </c>
      <c r="V12" s="658">
        <f>+VLOOKUP($L12,Data_Validation!$A:$D,4,0)</f>
        <v>0</v>
      </c>
      <c r="W12" s="658">
        <f>+VLOOKUP($L12,Data_Validation!$A:$E,5,0)</f>
        <v>0</v>
      </c>
      <c r="X12" s="658">
        <f>+VLOOKUP($L12,Data_Validation!$A:$F,6,0)</f>
        <v>0</v>
      </c>
    </row>
    <row r="13" spans="1:24" ht="15" customHeight="1">
      <c r="A13" s="1055" t="s">
        <v>733</v>
      </c>
      <c r="B13" s="1055" t="s">
        <v>3356</v>
      </c>
      <c r="C13" s="1056"/>
      <c r="D13" s="1056"/>
      <c r="E13" s="1056"/>
      <c r="F13" s="1055" t="s">
        <v>2</v>
      </c>
      <c r="G13" s="1055" t="s">
        <v>3325</v>
      </c>
      <c r="H13" s="1056"/>
      <c r="I13" s="1057">
        <v>0</v>
      </c>
      <c r="J13" s="1057">
        <v>-43030.16</v>
      </c>
      <c r="K13" s="1057">
        <v>-43030.16</v>
      </c>
      <c r="L13" s="655" t="str">
        <f t="shared" si="2"/>
        <v>120</v>
      </c>
      <c r="M13" s="656" t="str">
        <f t="shared" si="0"/>
        <v>PROFIT/PERTES DECEMBRE</v>
      </c>
      <c r="N13" s="657">
        <f>+IF(OR($Q13=Parametres!$G$2,$Q13=Parametres!$G$3),I13,C13)</f>
        <v>0</v>
      </c>
      <c r="O13" s="661">
        <f>+IF(OR($Q13=Parametres!$G$2,$Q13=Parametres!$G$3),J13,D13)</f>
        <v>-43030.16</v>
      </c>
      <c r="P13" s="657">
        <f>+IF(OR($Q13=Parametres!$G$2,$Q13=Parametres!$G$3),K13,E13)</f>
        <v>-43030.16</v>
      </c>
      <c r="Q13" s="656" t="str">
        <f t="shared" ref="Q13:S13" si="13">+F13</f>
        <v>1-Mémo</v>
      </c>
      <c r="R13" s="655" t="str">
        <f t="shared" si="13"/>
        <v>1</v>
      </c>
      <c r="S13" s="656">
        <f t="shared" si="13"/>
        <v>0</v>
      </c>
      <c r="T13" s="658" t="str">
        <f>+VLOOKUP($L13,Data_Validation!$A:$D,1,0)</f>
        <v>120</v>
      </c>
      <c r="U13" s="658">
        <f>+VLOOKUP($L13,Data_Validation!$A:$D,3,0)</f>
        <v>0</v>
      </c>
      <c r="V13" s="658">
        <f>+VLOOKUP($L13,Data_Validation!$A:$D,4,0)</f>
        <v>0</v>
      </c>
      <c r="W13" s="658">
        <f>+VLOOKUP($L13,Data_Validation!$A:$E,5,0)</f>
        <v>0</v>
      </c>
      <c r="X13" s="658">
        <f>+VLOOKUP($L13,Data_Validation!$A:$F,6,0)</f>
        <v>0</v>
      </c>
    </row>
    <row r="14" spans="1:24" ht="15" customHeight="1">
      <c r="A14" s="1055" t="s">
        <v>734</v>
      </c>
      <c r="B14" s="1055" t="s">
        <v>1676</v>
      </c>
      <c r="C14" s="1056"/>
      <c r="D14" s="1056"/>
      <c r="E14" s="1056"/>
      <c r="F14" s="1055" t="s">
        <v>2</v>
      </c>
      <c r="G14" s="1055" t="s">
        <v>3326</v>
      </c>
      <c r="H14" s="1056"/>
      <c r="I14" s="1057">
        <v>6.63</v>
      </c>
      <c r="J14" s="1057">
        <v>0.41</v>
      </c>
      <c r="K14" s="1057">
        <v>7.04</v>
      </c>
      <c r="L14" s="655" t="str">
        <f t="shared" si="2"/>
        <v>229</v>
      </c>
      <c r="M14" s="656" t="str">
        <f t="shared" si="0"/>
        <v>CUMUL. VIS. CARR. VW</v>
      </c>
      <c r="N14" s="657">
        <f>+IF(OR($Q14=Parametres!$G$2,$Q14=Parametres!$G$3),I14,C14)</f>
        <v>6.63</v>
      </c>
      <c r="O14" s="661">
        <f>+IF(OR($Q14=Parametres!$G$2,$Q14=Parametres!$G$3),J14,D14)</f>
        <v>0.41</v>
      </c>
      <c r="P14" s="657">
        <f>+IF(OR($Q14=Parametres!$G$2,$Q14=Parametres!$G$3),K14,E14)</f>
        <v>7.04</v>
      </c>
      <c r="Q14" s="656" t="str">
        <f t="shared" ref="Q14:S14" si="14">+F14</f>
        <v>1-Mémo</v>
      </c>
      <c r="R14" s="655" t="str">
        <f t="shared" si="14"/>
        <v>23</v>
      </c>
      <c r="S14" s="656">
        <f t="shared" si="14"/>
        <v>0</v>
      </c>
      <c r="T14" s="658" t="str">
        <f>+VLOOKUP($L14,Data_Validation!$A:$D,1,0)</f>
        <v>229</v>
      </c>
      <c r="U14" s="658">
        <f>+VLOOKUP($L14,Data_Validation!$A:$D,3,0)</f>
        <v>0</v>
      </c>
      <c r="V14" s="658">
        <f>+VLOOKUP($L14,Data_Validation!$A:$D,4,0)</f>
        <v>0</v>
      </c>
      <c r="W14" s="658">
        <f>+VLOOKUP($L14,Data_Validation!$A:$E,5,0)</f>
        <v>0</v>
      </c>
      <c r="X14" s="658">
        <f>+VLOOKUP($L14,Data_Validation!$A:$F,6,0)</f>
        <v>0</v>
      </c>
    </row>
    <row r="15" spans="1:24" ht="15" customHeight="1">
      <c r="A15" s="1055" t="s">
        <v>735</v>
      </c>
      <c r="B15" s="1055" t="s">
        <v>1692</v>
      </c>
      <c r="C15" s="1056"/>
      <c r="D15" s="1056"/>
      <c r="E15" s="1056"/>
      <c r="F15" s="1055" t="s">
        <v>2</v>
      </c>
      <c r="G15" s="1055" t="s">
        <v>3326</v>
      </c>
      <c r="H15" s="1056"/>
      <c r="I15" s="1057">
        <v>100.49</v>
      </c>
      <c r="J15" s="1057">
        <v>7.1</v>
      </c>
      <c r="K15" s="1057">
        <v>107.59</v>
      </c>
      <c r="L15" s="655" t="str">
        <f t="shared" si="2"/>
        <v>230</v>
      </c>
      <c r="M15" s="656" t="str">
        <f t="shared" si="0"/>
        <v>CUMUL. VIS. VEH. SERV. VW</v>
      </c>
      <c r="N15" s="657">
        <f>+IF(OR($Q15=Parametres!$G$2,$Q15=Parametres!$G$3),I15,C15)</f>
        <v>100.49</v>
      </c>
      <c r="O15" s="661">
        <f>+IF(OR($Q15=Parametres!$G$2,$Q15=Parametres!$G$3),J15,D15)</f>
        <v>7.1</v>
      </c>
      <c r="P15" s="657">
        <f>+IF(OR($Q15=Parametres!$G$2,$Q15=Parametres!$G$3),K15,E15)</f>
        <v>107.59</v>
      </c>
      <c r="Q15" s="656" t="str">
        <f t="shared" ref="Q15:S15" si="15">+F15</f>
        <v>1-Mémo</v>
      </c>
      <c r="R15" s="655" t="str">
        <f t="shared" si="15"/>
        <v>23</v>
      </c>
      <c r="S15" s="656">
        <f t="shared" si="15"/>
        <v>0</v>
      </c>
      <c r="T15" s="658" t="str">
        <f>+VLOOKUP($L15,Data_Validation!$A:$D,1,0)</f>
        <v>230</v>
      </c>
      <c r="U15" s="658">
        <f>+VLOOKUP($L15,Data_Validation!$A:$D,3,0)</f>
        <v>0</v>
      </c>
      <c r="V15" s="658">
        <f>+VLOOKUP($L15,Data_Validation!$A:$D,4,0)</f>
        <v>0</v>
      </c>
      <c r="W15" s="658" t="str">
        <f>+VLOOKUP($L15,Data_Validation!$A:$E,5,0)</f>
        <v>$</v>
      </c>
      <c r="X15" s="658">
        <f>+VLOOKUP($L15,Data_Validation!$A:$F,6,0)</f>
        <v>0</v>
      </c>
    </row>
    <row r="16" spans="1:24" ht="15" customHeight="1">
      <c r="A16" s="1055" t="s">
        <v>736</v>
      </c>
      <c r="B16" s="1055" t="s">
        <v>1700</v>
      </c>
      <c r="C16" s="1056"/>
      <c r="D16" s="1056"/>
      <c r="E16" s="1056"/>
      <c r="F16" s="1055" t="s">
        <v>2</v>
      </c>
      <c r="G16" s="1055" t="s">
        <v>3326</v>
      </c>
      <c r="H16" s="1056"/>
      <c r="I16" s="1057">
        <v>195.46</v>
      </c>
      <c r="J16" s="1057">
        <v>15.69</v>
      </c>
      <c r="K16" s="1057">
        <v>211.15</v>
      </c>
      <c r="L16" s="655" t="str">
        <f t="shared" si="2"/>
        <v>234</v>
      </c>
      <c r="M16" s="656" t="str">
        <f t="shared" si="0"/>
        <v>TOTAL HRES PROD. SERVICE</v>
      </c>
      <c r="N16" s="657">
        <f>+IF(OR($Q16=Parametres!$G$2,$Q16=Parametres!$G$3),I16,C16)</f>
        <v>195.46</v>
      </c>
      <c r="O16" s="661">
        <f>+IF(OR($Q16=Parametres!$G$2,$Q16=Parametres!$G$3),J16,D16)</f>
        <v>15.69</v>
      </c>
      <c r="P16" s="657">
        <f>+IF(OR($Q16=Parametres!$G$2,$Q16=Parametres!$G$3),K16,E16)</f>
        <v>211.15</v>
      </c>
      <c r="Q16" s="656" t="str">
        <f t="shared" ref="Q16:S16" si="16">+F16</f>
        <v>1-Mémo</v>
      </c>
      <c r="R16" s="655" t="str">
        <f t="shared" si="16"/>
        <v>23</v>
      </c>
      <c r="S16" s="656">
        <f t="shared" si="16"/>
        <v>0</v>
      </c>
      <c r="T16" s="658" t="str">
        <f>+VLOOKUP($L16,Data_Validation!$A:$D,1,0)</f>
        <v>234</v>
      </c>
      <c r="U16" s="658">
        <f>+VLOOKUP($L16,Data_Validation!$A:$D,3,0)</f>
        <v>0</v>
      </c>
      <c r="V16" s="658">
        <f>+VLOOKUP($L16,Data_Validation!$A:$D,4,0)</f>
        <v>0</v>
      </c>
      <c r="W16" s="658">
        <f>+VLOOKUP($L16,Data_Validation!$A:$E,5,0)</f>
        <v>0</v>
      </c>
      <c r="X16" s="658">
        <f>+VLOOKUP($L16,Data_Validation!$A:$F,6,0)</f>
        <v>0</v>
      </c>
    </row>
    <row r="17" spans="1:24" ht="15" customHeight="1">
      <c r="A17" s="1055" t="s">
        <v>737</v>
      </c>
      <c r="B17" s="1055" t="s">
        <v>1712</v>
      </c>
      <c r="C17" s="1056"/>
      <c r="D17" s="1056"/>
      <c r="E17" s="1056"/>
      <c r="F17" s="1055" t="s">
        <v>2</v>
      </c>
      <c r="G17" s="1055" t="s">
        <v>3326</v>
      </c>
      <c r="H17" s="1056"/>
      <c r="I17" s="1057">
        <v>194.4</v>
      </c>
      <c r="J17" s="1057">
        <v>15.8</v>
      </c>
      <c r="K17" s="1057">
        <v>210.2</v>
      </c>
      <c r="L17" s="655" t="str">
        <f t="shared" si="2"/>
        <v>236</v>
      </c>
      <c r="M17" s="656" t="str">
        <f t="shared" si="0"/>
        <v>HEURES VENDU VW - SERVICE</v>
      </c>
      <c r="N17" s="657">
        <f>+IF(OR($Q17=Parametres!$G$2,$Q17=Parametres!$G$3),I17,C17)</f>
        <v>194.4</v>
      </c>
      <c r="O17" s="661">
        <f>+IF(OR($Q17=Parametres!$G$2,$Q17=Parametres!$G$3),J17,D17)</f>
        <v>15.8</v>
      </c>
      <c r="P17" s="657">
        <f>+IF(OR($Q17=Parametres!$G$2,$Q17=Parametres!$G$3),K17,E17)</f>
        <v>210.2</v>
      </c>
      <c r="Q17" s="656" t="str">
        <f t="shared" ref="Q17:S17" si="17">+F17</f>
        <v>1-Mémo</v>
      </c>
      <c r="R17" s="655" t="str">
        <f t="shared" si="17"/>
        <v>23</v>
      </c>
      <c r="S17" s="656">
        <f t="shared" si="17"/>
        <v>0</v>
      </c>
      <c r="T17" s="658" t="str">
        <f>+VLOOKUP($L17,Data_Validation!$A:$D,1,0)</f>
        <v>236</v>
      </c>
      <c r="U17" s="658">
        <f>+VLOOKUP($L17,Data_Validation!$A:$D,3,0)</f>
        <v>0</v>
      </c>
      <c r="V17" s="658">
        <f>+VLOOKUP($L17,Data_Validation!$A:$D,4,0)</f>
        <v>0</v>
      </c>
      <c r="W17" s="658">
        <f>+VLOOKUP($L17,Data_Validation!$A:$E,5,0)</f>
        <v>0</v>
      </c>
      <c r="X17" s="658">
        <f>+VLOOKUP($L17,Data_Validation!$A:$F,6,0)</f>
        <v>0</v>
      </c>
    </row>
    <row r="18" spans="1:24" ht="15" customHeight="1">
      <c r="A18" s="1055" t="s">
        <v>738</v>
      </c>
      <c r="B18" s="1055" t="s">
        <v>1715</v>
      </c>
      <c r="C18" s="1056"/>
      <c r="D18" s="1056"/>
      <c r="E18" s="1056"/>
      <c r="F18" s="1055" t="s">
        <v>2</v>
      </c>
      <c r="G18" s="1055" t="s">
        <v>3326</v>
      </c>
      <c r="H18" s="1056"/>
      <c r="I18" s="1057">
        <v>221.17</v>
      </c>
      <c r="J18" s="1057">
        <v>16.760000000000002</v>
      </c>
      <c r="K18" s="1057">
        <v>237.93</v>
      </c>
      <c r="L18" s="655" t="str">
        <f t="shared" si="2"/>
        <v>238</v>
      </c>
      <c r="M18" s="656" t="str">
        <f t="shared" si="0"/>
        <v>TOT. HEURES DISP. SERVICE</v>
      </c>
      <c r="N18" s="657">
        <f>+IF(OR($Q18=Parametres!$G$2,$Q18=Parametres!$G$3),I18,C18)</f>
        <v>221.17</v>
      </c>
      <c r="O18" s="657">
        <f>+IF(OR($Q18=Parametres!$G$2,$Q18=Parametres!$G$3),J18,D18)</f>
        <v>16.760000000000002</v>
      </c>
      <c r="P18" s="657">
        <f>+IF(OR($Q18=Parametres!$G$2,$Q18=Parametres!$G$3),K18,E18)</f>
        <v>237.93</v>
      </c>
      <c r="Q18" s="656" t="str">
        <f t="shared" ref="Q18:S18" si="18">+F18</f>
        <v>1-Mémo</v>
      </c>
      <c r="R18" s="655" t="str">
        <f t="shared" si="18"/>
        <v>23</v>
      </c>
      <c r="S18" s="656">
        <f t="shared" si="18"/>
        <v>0</v>
      </c>
      <c r="T18" s="658" t="str">
        <f>+VLOOKUP($L18,Data_Validation!$A:$D,1,0)</f>
        <v>238</v>
      </c>
      <c r="U18" s="658">
        <f>+VLOOKUP($L18,Data_Validation!$A:$D,3,0)</f>
        <v>0</v>
      </c>
      <c r="V18" s="658">
        <f>+VLOOKUP($L18,Data_Validation!$A:$D,4,0)</f>
        <v>0</v>
      </c>
      <c r="W18" s="658">
        <f>+VLOOKUP($L18,Data_Validation!$A:$E,5,0)</f>
        <v>0</v>
      </c>
      <c r="X18" s="658">
        <f>+VLOOKUP($L18,Data_Validation!$A:$F,6,0)</f>
        <v>0</v>
      </c>
    </row>
    <row r="19" spans="1:24" ht="15" customHeight="1">
      <c r="A19" s="1055" t="s">
        <v>3662</v>
      </c>
      <c r="B19" s="1055" t="s">
        <v>1720</v>
      </c>
      <c r="C19" s="1056"/>
      <c r="D19" s="1056"/>
      <c r="E19" s="1056"/>
      <c r="F19" s="1055" t="s">
        <v>2</v>
      </c>
      <c r="G19" s="1055" t="s">
        <v>3327</v>
      </c>
      <c r="H19" s="1056"/>
      <c r="I19" s="1057">
        <v>134.94999999999999</v>
      </c>
      <c r="J19" s="1057">
        <v>0</v>
      </c>
      <c r="K19" s="1057">
        <v>134.94999999999999</v>
      </c>
      <c r="L19" s="655" t="str">
        <f t="shared" si="2"/>
        <v>243</v>
      </c>
      <c r="M19" s="656" t="str">
        <f t="shared" si="0"/>
        <v>TAUX MAIN D'OEUVRE - VW - MCI - CLIENT</v>
      </c>
      <c r="N19" s="657">
        <f>+IF(OR($Q19=Parametres!$G$2,$Q19=Parametres!$G$3),I19,C19)</f>
        <v>134.94999999999999</v>
      </c>
      <c r="O19" s="661">
        <f>+IF(OR($Q19=Parametres!$G$2,$Q19=Parametres!$G$3),J19,D19)</f>
        <v>0</v>
      </c>
      <c r="P19" s="657">
        <f>+IF(OR($Q19=Parametres!$G$2,$Q19=Parametres!$G$3),K19,E19)</f>
        <v>134.94999999999999</v>
      </c>
      <c r="Q19" s="656" t="str">
        <f t="shared" ref="Q19:S19" si="19">+F19</f>
        <v>1-Mémo</v>
      </c>
      <c r="R19" s="655" t="str">
        <f t="shared" si="19"/>
        <v>24</v>
      </c>
      <c r="S19" s="656">
        <f t="shared" si="19"/>
        <v>0</v>
      </c>
      <c r="T19" s="658" t="str">
        <f>+VLOOKUP($L19,Data_Validation!$A:$D,1,0)</f>
        <v>243</v>
      </c>
      <c r="U19" s="658">
        <f>+VLOOKUP($L19,Data_Validation!$A:$D,3,0)</f>
        <v>0</v>
      </c>
      <c r="V19" s="658">
        <f>+VLOOKUP($L19,Data_Validation!$A:$D,4,0)</f>
        <v>0</v>
      </c>
      <c r="W19" s="658">
        <f>+VLOOKUP($L19,Data_Validation!$A:$E,5,0)</f>
        <v>0</v>
      </c>
      <c r="X19" s="658">
        <f>+VLOOKUP($L19,Data_Validation!$A:$F,6,0)</f>
        <v>0</v>
      </c>
    </row>
    <row r="20" spans="1:24" ht="15" customHeight="1">
      <c r="A20" s="1055" t="s">
        <v>3663</v>
      </c>
      <c r="B20" s="1055" t="s">
        <v>1723</v>
      </c>
      <c r="C20" s="1056"/>
      <c r="D20" s="1056"/>
      <c r="E20" s="1056"/>
      <c r="F20" s="1055" t="s">
        <v>2</v>
      </c>
      <c r="G20" s="1055" t="s">
        <v>3327</v>
      </c>
      <c r="H20" s="1056"/>
      <c r="I20" s="1057">
        <v>123.64</v>
      </c>
      <c r="J20" s="1057">
        <v>0</v>
      </c>
      <c r="K20" s="1057">
        <v>123.64</v>
      </c>
      <c r="L20" s="655" t="str">
        <f t="shared" si="2"/>
        <v>244</v>
      </c>
      <c r="M20" s="656" t="str">
        <f t="shared" si="0"/>
        <v>TAUX MAIN D'OEUVRE - VW - MCI - GARANTIE</v>
      </c>
      <c r="N20" s="657">
        <f>+IF(OR($Q20=Parametres!$G$2,$Q20=Parametres!$G$3),I20,C20)</f>
        <v>123.64</v>
      </c>
      <c r="O20" s="661">
        <f>+IF(OR($Q20=Parametres!$G$2,$Q20=Parametres!$G$3),J20,D20)</f>
        <v>0</v>
      </c>
      <c r="P20" s="657">
        <f>+IF(OR($Q20=Parametres!$G$2,$Q20=Parametres!$G$3),K20,E20)</f>
        <v>123.64</v>
      </c>
      <c r="Q20" s="656" t="str">
        <f t="shared" ref="Q20:S20" si="20">+F20</f>
        <v>1-Mémo</v>
      </c>
      <c r="R20" s="655" t="str">
        <f t="shared" si="20"/>
        <v>24</v>
      </c>
      <c r="S20" s="656">
        <f t="shared" si="20"/>
        <v>0</v>
      </c>
      <c r="T20" s="658" t="str">
        <f>+VLOOKUP($L20,Data_Validation!$A:$D,1,0)</f>
        <v>244</v>
      </c>
      <c r="U20" s="658">
        <f>+VLOOKUP($L20,Data_Validation!$A:$D,3,0)</f>
        <v>0</v>
      </c>
      <c r="V20" s="658">
        <f>+VLOOKUP($L20,Data_Validation!$A:$D,4,0)</f>
        <v>0</v>
      </c>
      <c r="W20" s="658">
        <f>+VLOOKUP($L20,Data_Validation!$A:$E,5,0)</f>
        <v>0</v>
      </c>
      <c r="X20" s="658">
        <f>+VLOOKUP($L20,Data_Validation!$A:$F,6,0)</f>
        <v>0</v>
      </c>
    </row>
    <row r="21" spans="1:24" ht="15" customHeight="1">
      <c r="A21" s="1055" t="s">
        <v>3664</v>
      </c>
      <c r="B21" s="1055" t="s">
        <v>1726</v>
      </c>
      <c r="C21" s="1056"/>
      <c r="D21" s="1056"/>
      <c r="E21" s="1056"/>
      <c r="F21" s="1055" t="s">
        <v>2</v>
      </c>
      <c r="G21" s="1055" t="s">
        <v>3327</v>
      </c>
      <c r="H21" s="1056"/>
      <c r="I21" s="1057">
        <v>134.94999999999999</v>
      </c>
      <c r="J21" s="1057">
        <v>0</v>
      </c>
      <c r="K21" s="1057">
        <v>134.94999999999999</v>
      </c>
      <c r="L21" s="655" t="str">
        <f t="shared" si="2"/>
        <v>245</v>
      </c>
      <c r="M21" s="656" t="str">
        <f t="shared" si="0"/>
        <v>TAUX MAIN D'OEUVRE - VW - MCI - INTERNE</v>
      </c>
      <c r="N21" s="657">
        <f>+IF(OR($Q21=Parametres!$G$2,$Q21=Parametres!$G$3),I21,C21)</f>
        <v>134.94999999999999</v>
      </c>
      <c r="O21" s="657">
        <f>+IF(OR($Q21=Parametres!$G$2,$Q21=Parametres!$G$3),J21,D21)</f>
        <v>0</v>
      </c>
      <c r="P21" s="657">
        <f>+IF(OR($Q21=Parametres!$G$2,$Q21=Parametres!$G$3),K21,E21)</f>
        <v>134.94999999999999</v>
      </c>
      <c r="Q21" s="656" t="str">
        <f t="shared" ref="Q21:S21" si="21">+F21</f>
        <v>1-Mémo</v>
      </c>
      <c r="R21" s="655" t="str">
        <f t="shared" si="21"/>
        <v>24</v>
      </c>
      <c r="S21" s="656">
        <f t="shared" si="21"/>
        <v>0</v>
      </c>
      <c r="T21" s="658" t="str">
        <f>+VLOOKUP($L21,Data_Validation!$A:$D,1,0)</f>
        <v>245</v>
      </c>
      <c r="U21" s="658">
        <f>+VLOOKUP($L21,Data_Validation!$A:$D,3,0)</f>
        <v>0</v>
      </c>
      <c r="V21" s="658">
        <f>+VLOOKUP($L21,Data_Validation!$A:$D,4,0)</f>
        <v>0</v>
      </c>
      <c r="W21" s="658">
        <f>+VLOOKUP($L21,Data_Validation!$A:$E,5,0)</f>
        <v>0</v>
      </c>
      <c r="X21" s="658">
        <f>+VLOOKUP($L21,Data_Validation!$A:$F,6,0)</f>
        <v>0</v>
      </c>
    </row>
    <row r="22" spans="1:24" ht="15" customHeight="1">
      <c r="A22" s="1055" t="s">
        <v>3665</v>
      </c>
      <c r="B22" s="1055" t="s">
        <v>1729</v>
      </c>
      <c r="C22" s="1056"/>
      <c r="D22" s="1056"/>
      <c r="E22" s="1056"/>
      <c r="F22" s="1055" t="s">
        <v>2</v>
      </c>
      <c r="G22" s="1055" t="s">
        <v>3327</v>
      </c>
      <c r="H22" s="1056"/>
      <c r="I22" s="1057">
        <v>65</v>
      </c>
      <c r="J22" s="1057">
        <v>0</v>
      </c>
      <c r="K22" s="1057">
        <v>65</v>
      </c>
      <c r="L22" s="655" t="str">
        <f t="shared" si="2"/>
        <v>246</v>
      </c>
      <c r="M22" s="656" t="str">
        <f t="shared" si="0"/>
        <v>TAUX MAIN D'OEUVRE - VW - MCI - CARROSSERIE</v>
      </c>
      <c r="N22" s="657">
        <f>+IF(OR($Q22=Parametres!$G$2,$Q22=Parametres!$G$3),I22,C22)</f>
        <v>65</v>
      </c>
      <c r="O22" s="661">
        <f>+IF(OR($Q22=Parametres!$G$2,$Q22=Parametres!$G$3),J22,D22)</f>
        <v>0</v>
      </c>
      <c r="P22" s="657">
        <f>+IF(OR($Q22=Parametres!$G$2,$Q22=Parametres!$G$3),K22,E22)</f>
        <v>65</v>
      </c>
      <c r="Q22" s="656" t="str">
        <f t="shared" ref="Q22:S22" si="22">+F22</f>
        <v>1-Mémo</v>
      </c>
      <c r="R22" s="655" t="str">
        <f t="shared" si="22"/>
        <v>24</v>
      </c>
      <c r="S22" s="656">
        <f t="shared" si="22"/>
        <v>0</v>
      </c>
      <c r="T22" s="658" t="str">
        <f>+VLOOKUP($L22,Data_Validation!$A:$D,1,0)</f>
        <v>246</v>
      </c>
      <c r="U22" s="658">
        <f>+VLOOKUP($L22,Data_Validation!$A:$D,3,0)</f>
        <v>0</v>
      </c>
      <c r="V22" s="658">
        <f>+VLOOKUP($L22,Data_Validation!$A:$D,4,0)</f>
        <v>0</v>
      </c>
      <c r="W22" s="658">
        <f>+VLOOKUP($L22,Data_Validation!$A:$E,5,0)</f>
        <v>0</v>
      </c>
      <c r="X22" s="658">
        <f>+VLOOKUP($L22,Data_Validation!$A:$F,6,0)</f>
        <v>0</v>
      </c>
    </row>
    <row r="23" spans="1:24" ht="15" customHeight="1">
      <c r="A23" s="1055" t="s">
        <v>743</v>
      </c>
      <c r="B23" s="1055" t="s">
        <v>744</v>
      </c>
      <c r="C23" s="1056"/>
      <c r="D23" s="1056"/>
      <c r="E23" s="1056"/>
      <c r="F23" s="1055" t="s">
        <v>2</v>
      </c>
      <c r="G23" s="1055" t="s">
        <v>744</v>
      </c>
      <c r="H23" s="1056"/>
      <c r="I23" s="1057">
        <v>0.08</v>
      </c>
      <c r="J23" s="1057">
        <v>0</v>
      </c>
      <c r="K23" s="1057">
        <v>0.08</v>
      </c>
      <c r="L23" s="655" t="str">
        <f t="shared" si="2"/>
        <v>255</v>
      </c>
      <c r="M23" s="656" t="str">
        <f t="shared" si="0"/>
        <v>BAIES TRAVAIL PRODUCTIVES - SERVICE VW</v>
      </c>
      <c r="N23" s="657">
        <f>+IF(OR($Q23=Parametres!$G$2,$Q23=Parametres!$G$3),I23,C23)</f>
        <v>0.08</v>
      </c>
      <c r="O23" s="661">
        <f>+IF(OR($Q23=Parametres!$G$2,$Q23=Parametres!$G$3),J23,D23)</f>
        <v>0</v>
      </c>
      <c r="P23" s="657">
        <f>+IF(OR($Q23=Parametres!$G$2,$Q23=Parametres!$G$3),K23,E23)</f>
        <v>0.08</v>
      </c>
      <c r="Q23" s="656" t="str">
        <f t="shared" ref="Q23:S23" si="23">+F23</f>
        <v>1-Mémo</v>
      </c>
      <c r="R23" s="655" t="str">
        <f t="shared" si="23"/>
        <v>255</v>
      </c>
      <c r="S23" s="656">
        <f t="shared" si="23"/>
        <v>0</v>
      </c>
      <c r="T23" s="658" t="str">
        <f>+VLOOKUP($L23,Data_Validation!$A:$D,1,0)</f>
        <v>255</v>
      </c>
      <c r="U23" s="658">
        <f>+VLOOKUP($L23,Data_Validation!$A:$D,3,0)</f>
        <v>0</v>
      </c>
      <c r="V23" s="658">
        <f>+VLOOKUP($L23,Data_Validation!$A:$D,4,0)</f>
        <v>0</v>
      </c>
      <c r="W23" s="658">
        <f>+VLOOKUP($L23,Data_Validation!$A:$E,5,0)</f>
        <v>0</v>
      </c>
      <c r="X23" s="658">
        <f>+VLOOKUP($L23,Data_Validation!$A:$F,6,0)</f>
        <v>0</v>
      </c>
    </row>
    <row r="24" spans="1:24" ht="15" customHeight="1">
      <c r="A24" s="1055" t="s">
        <v>3666</v>
      </c>
      <c r="B24" s="1055" t="s">
        <v>746</v>
      </c>
      <c r="C24" s="1056"/>
      <c r="D24" s="1056"/>
      <c r="E24" s="1056"/>
      <c r="F24" s="1055" t="s">
        <v>2</v>
      </c>
      <c r="G24" s="1055" t="s">
        <v>746</v>
      </c>
      <c r="H24" s="1056"/>
      <c r="I24" s="1057">
        <v>10846.7</v>
      </c>
      <c r="J24" s="1057">
        <v>869.43</v>
      </c>
      <c r="K24" s="1057">
        <v>11716.13</v>
      </c>
      <c r="L24" s="655" t="str">
        <f t="shared" si="2"/>
        <v>257</v>
      </c>
      <c r="M24" s="656" t="str">
        <f t="shared" si="0"/>
        <v>HEURES VENDUES - SVC - VW - MCI - CLIENT</v>
      </c>
      <c r="N24" s="657">
        <f>+IF(OR($Q24=Parametres!$G$2,$Q24=Parametres!$G$3),I24,C24)</f>
        <v>10846.7</v>
      </c>
      <c r="O24" s="661">
        <f>+IF(OR($Q24=Parametres!$G$2,$Q24=Parametres!$G$3),J24,D24)</f>
        <v>869.43</v>
      </c>
      <c r="P24" s="657">
        <f>+IF(OR($Q24=Parametres!$G$2,$Q24=Parametres!$G$3),K24,E24)</f>
        <v>11716.13</v>
      </c>
      <c r="Q24" s="656" t="str">
        <f t="shared" ref="Q24:S24" si="24">+F24</f>
        <v>1-Mémo</v>
      </c>
      <c r="R24" s="655" t="str">
        <f t="shared" si="24"/>
        <v>257</v>
      </c>
      <c r="S24" s="656">
        <f t="shared" si="24"/>
        <v>0</v>
      </c>
      <c r="T24" s="658" t="str">
        <f>+VLOOKUP($L24,Data_Validation!$A:$D,1,0)</f>
        <v>257</v>
      </c>
      <c r="U24" s="658">
        <f>+VLOOKUP($L24,Data_Validation!$A:$D,3,0)</f>
        <v>0</v>
      </c>
      <c r="V24" s="658">
        <f>+VLOOKUP($L24,Data_Validation!$A:$D,4,0)</f>
        <v>0</v>
      </c>
      <c r="W24" s="658">
        <f>+VLOOKUP($L24,Data_Validation!$A:$E,5,0)</f>
        <v>0</v>
      </c>
      <c r="X24" s="658">
        <f>+VLOOKUP($L24,Data_Validation!$A:$F,6,0)</f>
        <v>0</v>
      </c>
    </row>
    <row r="25" spans="1:24" ht="15" customHeight="1">
      <c r="A25" s="1055" t="s">
        <v>3667</v>
      </c>
      <c r="B25" s="1055" t="s">
        <v>1752</v>
      </c>
      <c r="C25" s="1056"/>
      <c r="D25" s="1056"/>
      <c r="E25" s="1056"/>
      <c r="F25" s="1055" t="s">
        <v>2</v>
      </c>
      <c r="G25" s="1055" t="s">
        <v>746</v>
      </c>
      <c r="H25" s="1056"/>
      <c r="I25" s="1057">
        <v>4067.18</v>
      </c>
      <c r="J25" s="1057">
        <v>317.7</v>
      </c>
      <c r="K25" s="1057">
        <v>4384.88</v>
      </c>
      <c r="L25" s="655" t="str">
        <f t="shared" si="2"/>
        <v>258</v>
      </c>
      <c r="M25" s="656" t="str">
        <f t="shared" si="0"/>
        <v>HEURES VENDUES - SVC - VW - MCI - GARANTIE</v>
      </c>
      <c r="N25" s="657">
        <f>+IF(OR($Q25=Parametres!$G$2,$Q25=Parametres!$G$3),I25,C25)</f>
        <v>4067.18</v>
      </c>
      <c r="O25" s="661">
        <f>+IF(OR($Q25=Parametres!$G$2,$Q25=Parametres!$G$3),J25,D25)</f>
        <v>317.7</v>
      </c>
      <c r="P25" s="657">
        <f>+IF(OR($Q25=Parametres!$G$2,$Q25=Parametres!$G$3),K25,E25)</f>
        <v>4384.88</v>
      </c>
      <c r="Q25" s="656" t="str">
        <f t="shared" ref="Q25:S25" si="25">+F25</f>
        <v>1-Mémo</v>
      </c>
      <c r="R25" s="655" t="str">
        <f t="shared" si="25"/>
        <v>257</v>
      </c>
      <c r="S25" s="656">
        <f t="shared" si="25"/>
        <v>0</v>
      </c>
      <c r="T25" s="658" t="str">
        <f>+VLOOKUP($L25,Data_Validation!$A:$D,1,0)</f>
        <v>258</v>
      </c>
      <c r="U25" s="658">
        <f>+VLOOKUP($L25,Data_Validation!$A:$D,3,0)</f>
        <v>0</v>
      </c>
      <c r="V25" s="658">
        <f>+VLOOKUP($L25,Data_Validation!$A:$D,4,0)</f>
        <v>0</v>
      </c>
      <c r="W25" s="658">
        <f>+VLOOKUP($L25,Data_Validation!$A:$E,5,0)</f>
        <v>0</v>
      </c>
      <c r="X25" s="658">
        <f>+VLOOKUP($L25,Data_Validation!$A:$F,6,0)</f>
        <v>0</v>
      </c>
    </row>
    <row r="26" spans="1:24" ht="15.75" customHeight="1">
      <c r="A26" s="1055" t="s">
        <v>3668</v>
      </c>
      <c r="B26" s="1055" t="s">
        <v>1755</v>
      </c>
      <c r="C26" s="1056"/>
      <c r="D26" s="1056"/>
      <c r="E26" s="1056"/>
      <c r="F26" s="1055" t="s">
        <v>2</v>
      </c>
      <c r="G26" s="1055" t="s">
        <v>746</v>
      </c>
      <c r="H26" s="1056"/>
      <c r="I26" s="1057">
        <v>4526.6099999999997</v>
      </c>
      <c r="J26" s="1057">
        <v>393.3</v>
      </c>
      <c r="K26" s="1057">
        <v>4919.91</v>
      </c>
      <c r="L26" s="655" t="str">
        <f t="shared" si="2"/>
        <v>259</v>
      </c>
      <c r="M26" s="656" t="str">
        <f t="shared" si="0"/>
        <v>HEURES VENDUES - SVC - VW - MCI - INTERNE</v>
      </c>
      <c r="N26" s="657">
        <f>+IF(OR($Q26=Parametres!$G$2,$Q26=Parametres!$G$3),I26,C26)</f>
        <v>4526.6099999999997</v>
      </c>
      <c r="O26" s="661">
        <f>+IF(OR($Q26=Parametres!$G$2,$Q26=Parametres!$G$3),J26,D26)</f>
        <v>393.3</v>
      </c>
      <c r="P26" s="657">
        <f>+IF(OR($Q26=Parametres!$G$2,$Q26=Parametres!$G$3),K26,E26)</f>
        <v>4919.91</v>
      </c>
      <c r="Q26" s="656" t="str">
        <f t="shared" ref="Q26:S26" si="26">+F26</f>
        <v>1-Mémo</v>
      </c>
      <c r="R26" s="655" t="str">
        <f t="shared" si="26"/>
        <v>257</v>
      </c>
      <c r="S26" s="656">
        <f t="shared" si="26"/>
        <v>0</v>
      </c>
      <c r="T26" s="658" t="str">
        <f>+VLOOKUP($L26,Data_Validation!$A:$D,1,0)</f>
        <v>259</v>
      </c>
      <c r="U26" s="658">
        <f>+VLOOKUP($L26,Data_Validation!$A:$D,3,0)</f>
        <v>0</v>
      </c>
      <c r="V26" s="658">
        <f>+VLOOKUP($L26,Data_Validation!$A:$D,4,0)</f>
        <v>0</v>
      </c>
      <c r="W26" s="658">
        <f>+VLOOKUP($L26,Data_Validation!$A:$E,5,0)</f>
        <v>0</v>
      </c>
      <c r="X26" s="658">
        <f>+VLOOKUP($L26,Data_Validation!$A:$F,6,0)</f>
        <v>0</v>
      </c>
    </row>
    <row r="27" spans="1:24" ht="15" customHeight="1">
      <c r="A27" s="1055" t="s">
        <v>749</v>
      </c>
      <c r="B27" s="1055" t="s">
        <v>1765</v>
      </c>
      <c r="C27" s="1056"/>
      <c r="D27" s="1056"/>
      <c r="E27" s="1056"/>
      <c r="F27" s="1055" t="s">
        <v>2</v>
      </c>
      <c r="G27" s="1055" t="s">
        <v>750</v>
      </c>
      <c r="H27" s="1056"/>
      <c r="I27" s="1057">
        <v>-59153.9</v>
      </c>
      <c r="J27" s="1057">
        <v>-5635.67</v>
      </c>
      <c r="K27" s="1057">
        <v>-64789.57</v>
      </c>
      <c r="L27" s="655" t="str">
        <f t="shared" si="2"/>
        <v>300</v>
      </c>
      <c r="M27" s="656" t="str">
        <f t="shared" si="0"/>
        <v>REC VEH PASSE DU 30-60</v>
      </c>
      <c r="N27" s="657">
        <f>+IF(OR($Q27=Parametres!$G$2,$Q27=Parametres!$G$3),I27,C27)</f>
        <v>-59153.9</v>
      </c>
      <c r="O27" s="661">
        <f>+IF(OR($Q27=Parametres!$G$2,$Q27=Parametres!$G$3),J27,D27)</f>
        <v>-5635.67</v>
      </c>
      <c r="P27" s="657">
        <f>+IF(OR($Q27=Parametres!$G$2,$Q27=Parametres!$G$3),K27,E27)</f>
        <v>-64789.57</v>
      </c>
      <c r="Q27" s="656" t="str">
        <f t="shared" ref="Q27:S27" si="27">+F27</f>
        <v>1-Mémo</v>
      </c>
      <c r="R27" s="655" t="str">
        <f t="shared" si="27"/>
        <v>30</v>
      </c>
      <c r="S27" s="656">
        <f t="shared" si="27"/>
        <v>0</v>
      </c>
      <c r="T27" s="658" t="str">
        <f>+VLOOKUP($L27,Data_Validation!$A:$D,1,0)</f>
        <v>300</v>
      </c>
      <c r="U27" s="658">
        <f>+VLOOKUP($L27,Data_Validation!$A:$D,3,0)</f>
        <v>0</v>
      </c>
      <c r="V27" s="658">
        <f>+VLOOKUP($L27,Data_Validation!$A:$D,4,0)</f>
        <v>0</v>
      </c>
      <c r="W27" s="658">
        <f>+VLOOKUP($L27,Data_Validation!$A:$E,5,0)</f>
        <v>0</v>
      </c>
      <c r="X27" s="658">
        <f>+VLOOKUP($L27,Data_Validation!$A:$F,6,0)</f>
        <v>0</v>
      </c>
    </row>
    <row r="28" spans="1:24" ht="15" customHeight="1">
      <c r="A28" s="1055" t="s">
        <v>751</v>
      </c>
      <c r="B28" s="1055" t="s">
        <v>1776</v>
      </c>
      <c r="C28" s="1056"/>
      <c r="D28" s="1056"/>
      <c r="E28" s="1056"/>
      <c r="F28" s="1055" t="s">
        <v>2</v>
      </c>
      <c r="G28" s="1055" t="s">
        <v>750</v>
      </c>
      <c r="H28" s="1056"/>
      <c r="I28" s="1057">
        <v>252014.04</v>
      </c>
      <c r="J28" s="1057">
        <v>52287.59</v>
      </c>
      <c r="K28" s="1057">
        <v>304301.63</v>
      </c>
      <c r="L28" s="655" t="str">
        <f t="shared" si="2"/>
        <v>301</v>
      </c>
      <c r="M28" s="656" t="str">
        <f t="shared" si="0"/>
        <v>CLIENT S P ET A PASSE DU 30-60</v>
      </c>
      <c r="N28" s="657">
        <f>+IF(OR($Q28=Parametres!$G$2,$Q28=Parametres!$G$3),I28,C28)</f>
        <v>252014.04</v>
      </c>
      <c r="O28" s="661">
        <f>+IF(OR($Q28=Parametres!$G$2,$Q28=Parametres!$G$3),J28,D28)</f>
        <v>52287.59</v>
      </c>
      <c r="P28" s="657">
        <f>+IF(OR($Q28=Parametres!$G$2,$Q28=Parametres!$G$3),K28,E28)</f>
        <v>304301.63</v>
      </c>
      <c r="Q28" s="656" t="str">
        <f t="shared" ref="Q28:S28" si="28">+F28</f>
        <v>1-Mémo</v>
      </c>
      <c r="R28" s="655" t="str">
        <f t="shared" si="28"/>
        <v>30</v>
      </c>
      <c r="S28" s="656">
        <f t="shared" si="28"/>
        <v>0</v>
      </c>
      <c r="T28" s="658" t="str">
        <f>+VLOOKUP($L28,Data_Validation!$A:$D,1,0)</f>
        <v>301</v>
      </c>
      <c r="U28" s="658">
        <f>+VLOOKUP($L28,Data_Validation!$A:$D,3,0)</f>
        <v>0</v>
      </c>
      <c r="V28" s="658">
        <f>+VLOOKUP($L28,Data_Validation!$A:$D,4,0)</f>
        <v>0</v>
      </c>
      <c r="W28" s="658">
        <f>+VLOOKUP($L28,Data_Validation!$A:$E,5,0)</f>
        <v>0</v>
      </c>
      <c r="X28" s="658">
        <f>+VLOOKUP($L28,Data_Validation!$A:$F,6,0)</f>
        <v>0</v>
      </c>
    </row>
    <row r="29" spans="1:24" ht="15" customHeight="1">
      <c r="A29" s="1055" t="s">
        <v>752</v>
      </c>
      <c r="B29" s="1055" t="s">
        <v>1779</v>
      </c>
      <c r="C29" s="1056"/>
      <c r="D29" s="1056"/>
      <c r="E29" s="1056"/>
      <c r="F29" s="1055" t="s">
        <v>2</v>
      </c>
      <c r="G29" s="1055" t="s">
        <v>750</v>
      </c>
      <c r="H29" s="1056"/>
      <c r="I29" s="1057">
        <v>205860.44</v>
      </c>
      <c r="J29" s="1057">
        <v>0</v>
      </c>
      <c r="K29" s="1057">
        <v>205860.44</v>
      </c>
      <c r="L29" s="655" t="str">
        <f t="shared" si="2"/>
        <v>302</v>
      </c>
      <c r="M29" s="656" t="str">
        <f t="shared" si="0"/>
        <v>RECLAM GARANTIE VW PASSE DU 30-60</v>
      </c>
      <c r="N29" s="657">
        <f>+IF(OR($Q29=Parametres!$G$2,$Q29=Parametres!$G$3),I29,C29)</f>
        <v>205860.44</v>
      </c>
      <c r="O29" s="661">
        <f>+IF(OR($Q29=Parametres!$G$2,$Q29=Parametres!$G$3),J29,D29)</f>
        <v>0</v>
      </c>
      <c r="P29" s="657">
        <f>+IF(OR($Q29=Parametres!$G$2,$Q29=Parametres!$G$3),K29,E29)</f>
        <v>205860.44</v>
      </c>
      <c r="Q29" s="656" t="str">
        <f t="shared" ref="Q29:S29" si="29">+F29</f>
        <v>1-Mémo</v>
      </c>
      <c r="R29" s="655" t="str">
        <f t="shared" si="29"/>
        <v>30</v>
      </c>
      <c r="S29" s="656">
        <f t="shared" si="29"/>
        <v>0</v>
      </c>
      <c r="T29" s="658" t="str">
        <f>+VLOOKUP($L29,Data_Validation!$A:$D,1,0)</f>
        <v>302</v>
      </c>
      <c r="U29" s="658">
        <f>+VLOOKUP($L29,Data_Validation!$A:$D,3,0)</f>
        <v>0</v>
      </c>
      <c r="V29" s="658">
        <f>+VLOOKUP($L29,Data_Validation!$A:$D,4,0)</f>
        <v>0</v>
      </c>
      <c r="W29" s="658">
        <f>+VLOOKUP($L29,Data_Validation!$A:$E,5,0)</f>
        <v>0</v>
      </c>
      <c r="X29" s="658">
        <f>+VLOOKUP($L29,Data_Validation!$A:$F,6,0)</f>
        <v>0</v>
      </c>
    </row>
    <row r="30" spans="1:24" ht="15" customHeight="1">
      <c r="A30" s="1055" t="s">
        <v>753</v>
      </c>
      <c r="B30" s="1055" t="s">
        <v>1782</v>
      </c>
      <c r="C30" s="1056"/>
      <c r="D30" s="1056"/>
      <c r="E30" s="1056"/>
      <c r="F30" s="1055" t="s">
        <v>2</v>
      </c>
      <c r="G30" s="1055" t="s">
        <v>750</v>
      </c>
      <c r="H30" s="1056"/>
      <c r="I30" s="1057">
        <v>-29803.37</v>
      </c>
      <c r="J30" s="1057">
        <v>-19709.400000000001</v>
      </c>
      <c r="K30" s="1057">
        <v>-49512.77</v>
      </c>
      <c r="L30" s="655" t="str">
        <f t="shared" si="2"/>
        <v>307</v>
      </c>
      <c r="M30" s="656" t="str">
        <f t="shared" si="0"/>
        <v>AUTRE REC MANUFACTURIER VW PASSE DU 30-60</v>
      </c>
      <c r="N30" s="657">
        <f>+IF(OR($Q30=Parametres!$G$2,$Q30=Parametres!$G$3),I30,C30)</f>
        <v>-29803.37</v>
      </c>
      <c r="O30" s="661">
        <f>+IF(OR($Q30=Parametres!$G$2,$Q30=Parametres!$G$3),J30,D30)</f>
        <v>-19709.400000000001</v>
      </c>
      <c r="P30" s="657">
        <f>+IF(OR($Q30=Parametres!$G$2,$Q30=Parametres!$G$3),K30,E30)</f>
        <v>-49512.77</v>
      </c>
      <c r="Q30" s="656" t="str">
        <f t="shared" ref="Q30:S30" si="30">+F30</f>
        <v>1-Mémo</v>
      </c>
      <c r="R30" s="655" t="str">
        <f t="shared" si="30"/>
        <v>30</v>
      </c>
      <c r="S30" s="656">
        <f t="shared" si="30"/>
        <v>0</v>
      </c>
      <c r="T30" s="658" t="str">
        <f>+VLOOKUP($L30,Data_Validation!$A:$D,1,0)</f>
        <v>307</v>
      </c>
      <c r="U30" s="658">
        <f>+VLOOKUP($L30,Data_Validation!$A:$D,3,0)</f>
        <v>0</v>
      </c>
      <c r="V30" s="658">
        <f>+VLOOKUP($L30,Data_Validation!$A:$D,4,0)</f>
        <v>0</v>
      </c>
      <c r="W30" s="658">
        <f>+VLOOKUP($L30,Data_Validation!$A:$E,5,0)</f>
        <v>0</v>
      </c>
      <c r="X30" s="658">
        <f>+VLOOKUP($L30,Data_Validation!$A:$F,6,0)</f>
        <v>0</v>
      </c>
    </row>
    <row r="31" spans="1:24" ht="15" customHeight="1">
      <c r="A31" s="1055" t="s">
        <v>754</v>
      </c>
      <c r="B31" s="1055" t="s">
        <v>1785</v>
      </c>
      <c r="C31" s="1056"/>
      <c r="D31" s="1056"/>
      <c r="E31" s="1056"/>
      <c r="F31" s="1055" t="s">
        <v>2</v>
      </c>
      <c r="G31" s="1055" t="s">
        <v>3328</v>
      </c>
      <c r="H31" s="1056"/>
      <c r="I31" s="1057">
        <v>-103418.86</v>
      </c>
      <c r="J31" s="1057">
        <v>-27590.15</v>
      </c>
      <c r="K31" s="1057">
        <v>-131009.01</v>
      </c>
      <c r="L31" s="655" t="str">
        <f t="shared" si="2"/>
        <v>311</v>
      </c>
      <c r="M31" s="656" t="str">
        <f t="shared" si="0"/>
        <v>CLIENT VEH PLUS DE 60</v>
      </c>
      <c r="N31" s="657">
        <f>+IF(OR($Q31=Parametres!$G$2,$Q31=Parametres!$G$3),I31,C31)</f>
        <v>-103418.86</v>
      </c>
      <c r="O31" s="657">
        <f>+IF(OR($Q31=Parametres!$G$2,$Q31=Parametres!$G$3),J31,D31)</f>
        <v>-27590.15</v>
      </c>
      <c r="P31" s="657">
        <f>+IF(OR($Q31=Parametres!$G$2,$Q31=Parametres!$G$3),K31,E31)</f>
        <v>-131009.01</v>
      </c>
      <c r="Q31" s="656" t="str">
        <f t="shared" ref="Q31:S31" si="31">+F31</f>
        <v>1-Mémo</v>
      </c>
      <c r="R31" s="655" t="str">
        <f t="shared" si="31"/>
        <v>31</v>
      </c>
      <c r="S31" s="656">
        <f t="shared" si="31"/>
        <v>0</v>
      </c>
      <c r="T31" s="658" t="str">
        <f>+VLOOKUP($L31,Data_Validation!$A:$D,1,0)</f>
        <v>311</v>
      </c>
      <c r="U31" s="658">
        <f>+VLOOKUP($L31,Data_Validation!$A:$D,3,0)</f>
        <v>0</v>
      </c>
      <c r="V31" s="658">
        <f>+VLOOKUP($L31,Data_Validation!$A:$D,4,0)</f>
        <v>0</v>
      </c>
      <c r="W31" s="658">
        <f>+VLOOKUP($L31,Data_Validation!$A:$E,5,0)</f>
        <v>0</v>
      </c>
      <c r="X31" s="658">
        <f>+VLOOKUP($L31,Data_Validation!$A:$F,6,0)</f>
        <v>0</v>
      </c>
    </row>
    <row r="32" spans="1:24" ht="15" customHeight="1">
      <c r="A32" s="1055" t="s">
        <v>755</v>
      </c>
      <c r="B32" s="1055" t="s">
        <v>1788</v>
      </c>
      <c r="C32" s="1056"/>
      <c r="D32" s="1056"/>
      <c r="E32" s="1056"/>
      <c r="F32" s="1055" t="s">
        <v>2</v>
      </c>
      <c r="G32" s="1055" t="s">
        <v>3328</v>
      </c>
      <c r="H32" s="1056"/>
      <c r="I32" s="1057">
        <v>161196.84</v>
      </c>
      <c r="J32" s="1057">
        <v>32051.62</v>
      </c>
      <c r="K32" s="1057">
        <v>193248.46</v>
      </c>
      <c r="L32" s="655" t="str">
        <f t="shared" si="2"/>
        <v>312</v>
      </c>
      <c r="M32" s="656" t="str">
        <f t="shared" si="0"/>
        <v>CLIENT S P ET A PLUS DE 60</v>
      </c>
      <c r="N32" s="657">
        <f>+IF(OR($Q32=Parametres!$G$2,$Q32=Parametres!$G$3),I32,C32)</f>
        <v>161196.84</v>
      </c>
      <c r="O32" s="661">
        <f>+IF(OR($Q32=Parametres!$G$2,$Q32=Parametres!$G$3),J32,D32)</f>
        <v>32051.62</v>
      </c>
      <c r="P32" s="657">
        <f>+IF(OR($Q32=Parametres!$G$2,$Q32=Parametres!$G$3),K32,E32)</f>
        <v>193248.46</v>
      </c>
      <c r="Q32" s="656" t="str">
        <f t="shared" ref="Q32:S32" si="32">+F32</f>
        <v>1-Mémo</v>
      </c>
      <c r="R32" s="655" t="str">
        <f t="shared" si="32"/>
        <v>31</v>
      </c>
      <c r="S32" s="656">
        <f t="shared" si="32"/>
        <v>0</v>
      </c>
      <c r="T32" s="658" t="str">
        <f>+VLOOKUP($L32,Data_Validation!$A:$D,1,0)</f>
        <v>312</v>
      </c>
      <c r="U32" s="658">
        <f>+VLOOKUP($L32,Data_Validation!$A:$D,3,0)</f>
        <v>0</v>
      </c>
      <c r="V32" s="658">
        <f>+VLOOKUP($L32,Data_Validation!$A:$D,4,0)</f>
        <v>0</v>
      </c>
      <c r="W32" s="658">
        <f>+VLOOKUP($L32,Data_Validation!$A:$E,5,0)</f>
        <v>0</v>
      </c>
      <c r="X32" s="658">
        <f>+VLOOKUP($L32,Data_Validation!$A:$F,6,0)</f>
        <v>0</v>
      </c>
    </row>
    <row r="33" spans="1:24" ht="15" customHeight="1">
      <c r="A33" s="1055" t="s">
        <v>756</v>
      </c>
      <c r="B33" s="1055" t="s">
        <v>1791</v>
      </c>
      <c r="C33" s="1056"/>
      <c r="D33" s="1056"/>
      <c r="E33" s="1056"/>
      <c r="F33" s="1055" t="s">
        <v>2</v>
      </c>
      <c r="G33" s="1055" t="s">
        <v>3328</v>
      </c>
      <c r="H33" s="1056"/>
      <c r="I33" s="1057">
        <v>431440.53</v>
      </c>
      <c r="J33" s="1057">
        <v>4077.44</v>
      </c>
      <c r="K33" s="1057">
        <v>435517.97</v>
      </c>
      <c r="L33" s="655" t="str">
        <f t="shared" si="2"/>
        <v>313</v>
      </c>
      <c r="M33" s="656" t="str">
        <f t="shared" si="0"/>
        <v>RECLAMATIONS DE GARATIE VW PLUS DE 60</v>
      </c>
      <c r="N33" s="657">
        <f>+IF(OR($Q33=Parametres!$G$2,$Q33=Parametres!$G$3),I33,C33)</f>
        <v>431440.53</v>
      </c>
      <c r="O33" s="661">
        <f>+IF(OR($Q33=Parametres!$G$2,$Q33=Parametres!$G$3),J33,D33)</f>
        <v>4077.44</v>
      </c>
      <c r="P33" s="657">
        <f>+IF(OR($Q33=Parametres!$G$2,$Q33=Parametres!$G$3),K33,E33)</f>
        <v>435517.97</v>
      </c>
      <c r="Q33" s="656" t="str">
        <f t="shared" ref="Q33:S33" si="33">+F33</f>
        <v>1-Mémo</v>
      </c>
      <c r="R33" s="655" t="str">
        <f t="shared" si="33"/>
        <v>31</v>
      </c>
      <c r="S33" s="656">
        <f t="shared" si="33"/>
        <v>0</v>
      </c>
      <c r="T33" s="658" t="str">
        <f>+VLOOKUP($L33,Data_Validation!$A:$D,1,0)</f>
        <v>313</v>
      </c>
      <c r="U33" s="658">
        <f>+VLOOKUP($L33,Data_Validation!$A:$D,3,0)</f>
        <v>0</v>
      </c>
      <c r="V33" s="658">
        <f>+VLOOKUP($L33,Data_Validation!$A:$D,4,0)</f>
        <v>0</v>
      </c>
      <c r="W33" s="658">
        <f>+VLOOKUP($L33,Data_Validation!$A:$E,5,0)</f>
        <v>0</v>
      </c>
      <c r="X33" s="658">
        <f>+VLOOKUP($L33,Data_Validation!$A:$F,6,0)</f>
        <v>0</v>
      </c>
    </row>
    <row r="34" spans="1:24" ht="15.75" customHeight="1">
      <c r="A34" s="1055" t="s">
        <v>757</v>
      </c>
      <c r="B34" s="1055" t="s">
        <v>1794</v>
      </c>
      <c r="C34" s="1056"/>
      <c r="D34" s="1056"/>
      <c r="E34" s="1056"/>
      <c r="F34" s="1055" t="s">
        <v>2</v>
      </c>
      <c r="G34" s="1055" t="s">
        <v>3328</v>
      </c>
      <c r="H34" s="1056"/>
      <c r="I34" s="1057">
        <v>-108476.78</v>
      </c>
      <c r="J34" s="1057">
        <v>-34124.26</v>
      </c>
      <c r="K34" s="1057">
        <v>-142601.04</v>
      </c>
      <c r="L34" s="655" t="str">
        <f t="shared" si="2"/>
        <v>316</v>
      </c>
      <c r="M34" s="656" t="str">
        <f t="shared" si="0"/>
        <v>AUTRE REC MANUFACTURIER VW PLUS DE 60</v>
      </c>
      <c r="N34" s="657">
        <f>+IF(OR($Q34=Parametres!$G$2,$Q34=Parametres!$G$3),I34,C34)</f>
        <v>-108476.78</v>
      </c>
      <c r="O34" s="661">
        <f>+IF(OR($Q34=Parametres!$G$2,$Q34=Parametres!$G$3),J34,D34)</f>
        <v>-34124.26</v>
      </c>
      <c r="P34" s="657">
        <f>+IF(OR($Q34=Parametres!$G$2,$Q34=Parametres!$G$3),K34,E34)</f>
        <v>-142601.04</v>
      </c>
      <c r="Q34" s="656" t="str">
        <f t="shared" ref="Q34:S34" si="34">+F34</f>
        <v>1-Mémo</v>
      </c>
      <c r="R34" s="655" t="str">
        <f t="shared" si="34"/>
        <v>31</v>
      </c>
      <c r="S34" s="656">
        <f t="shared" si="34"/>
        <v>0</v>
      </c>
      <c r="T34" s="658" t="str">
        <f>+VLOOKUP($L34,Data_Validation!$A:$D,1,0)</f>
        <v>316</v>
      </c>
      <c r="U34" s="658">
        <f>+VLOOKUP($L34,Data_Validation!$A:$D,3,0)</f>
        <v>0</v>
      </c>
      <c r="V34" s="658">
        <f>+VLOOKUP($L34,Data_Validation!$A:$D,4,0)</f>
        <v>0</v>
      </c>
      <c r="W34" s="658">
        <f>+VLOOKUP($L34,Data_Validation!$A:$E,5,0)</f>
        <v>0</v>
      </c>
      <c r="X34" s="658">
        <f>+VLOOKUP($L34,Data_Validation!$A:$F,6,0)</f>
        <v>0</v>
      </c>
    </row>
    <row r="35" spans="1:24" ht="15" customHeight="1">
      <c r="A35" s="1055" t="s">
        <v>758</v>
      </c>
      <c r="B35" s="1055" t="s">
        <v>1800</v>
      </c>
      <c r="C35" s="1056"/>
      <c r="D35" s="1056"/>
      <c r="E35" s="1056"/>
      <c r="F35" s="1055" t="s">
        <v>2</v>
      </c>
      <c r="G35" s="1055" t="s">
        <v>3329</v>
      </c>
      <c r="H35" s="1056"/>
      <c r="I35" s="1057">
        <v>1.88</v>
      </c>
      <c r="J35" s="1057">
        <v>0.13</v>
      </c>
      <c r="K35" s="1057">
        <v>2.0099999999999998</v>
      </c>
      <c r="L35" s="655" t="str">
        <f t="shared" si="2"/>
        <v>350</v>
      </c>
      <c r="M35" s="656" t="str">
        <f t="shared" si="0"/>
        <v>UNITES USAGES +30JRS</v>
      </c>
      <c r="N35" s="657">
        <f>+IF(OR($Q35=Parametres!$G$2,$Q35=Parametres!$G$3),I35,C35)</f>
        <v>1.88</v>
      </c>
      <c r="O35" s="657">
        <f>+IF(OR($Q35=Parametres!$G$2,$Q35=Parametres!$G$3),J35,D35)</f>
        <v>0.13</v>
      </c>
      <c r="P35" s="657">
        <f>+IF(OR($Q35=Parametres!$G$2,$Q35=Parametres!$G$3),K35,E35)</f>
        <v>2.0099999999999998</v>
      </c>
      <c r="Q35" s="656" t="str">
        <f t="shared" ref="Q35:S35" si="35">+F35</f>
        <v>1-Mémo</v>
      </c>
      <c r="R35" s="655" t="str">
        <f t="shared" si="35"/>
        <v>35</v>
      </c>
      <c r="S35" s="656">
        <f t="shared" si="35"/>
        <v>0</v>
      </c>
      <c r="T35" s="658" t="str">
        <f>+VLOOKUP($L35,Data_Validation!$A:$D,1,0)</f>
        <v>350</v>
      </c>
      <c r="U35" s="658">
        <f>+VLOOKUP($L35,Data_Validation!$A:$D,3,0)</f>
        <v>0</v>
      </c>
      <c r="V35" s="658">
        <f>+VLOOKUP($L35,Data_Validation!$A:$D,4,0)</f>
        <v>0</v>
      </c>
      <c r="W35" s="658">
        <f>+VLOOKUP($L35,Data_Validation!$A:$E,5,0)</f>
        <v>0</v>
      </c>
      <c r="X35" s="658">
        <f>+VLOOKUP($L35,Data_Validation!$A:$F,6,0)</f>
        <v>0</v>
      </c>
    </row>
    <row r="36" spans="1:24" ht="15" customHeight="1">
      <c r="A36" s="1055" t="s">
        <v>759</v>
      </c>
      <c r="B36" s="1055" t="s">
        <v>1803</v>
      </c>
      <c r="C36" s="1056"/>
      <c r="D36" s="1056"/>
      <c r="E36" s="1056"/>
      <c r="F36" s="1055" t="s">
        <v>2</v>
      </c>
      <c r="G36" s="1055" t="s">
        <v>3330</v>
      </c>
      <c r="H36" s="1056"/>
      <c r="I36" s="1057">
        <v>5170572.37</v>
      </c>
      <c r="J36" s="1057">
        <v>348236.13</v>
      </c>
      <c r="K36" s="1057">
        <v>5518808.5</v>
      </c>
      <c r="L36" s="655" t="str">
        <f t="shared" si="2"/>
        <v>360</v>
      </c>
      <c r="M36" s="656" t="str">
        <f t="shared" si="0"/>
        <v>OCCASION VW + 60 JRS</v>
      </c>
      <c r="N36" s="657">
        <f>+IF(OR($Q36=Parametres!$G$2,$Q36=Parametres!$G$3),I36,C36)</f>
        <v>5170572.37</v>
      </c>
      <c r="O36" s="661">
        <f>+IF(OR($Q36=Parametres!$G$2,$Q36=Parametres!$G$3),J36,D36)</f>
        <v>348236.13</v>
      </c>
      <c r="P36" s="657">
        <f>+IF(OR($Q36=Parametres!$G$2,$Q36=Parametres!$G$3),K36,E36)</f>
        <v>5518808.5</v>
      </c>
      <c r="Q36" s="656" t="str">
        <f t="shared" ref="Q36:S36" si="36">+F36</f>
        <v>1-Mémo</v>
      </c>
      <c r="R36" s="655" t="str">
        <f t="shared" si="36"/>
        <v>36</v>
      </c>
      <c r="S36" s="656">
        <f t="shared" si="36"/>
        <v>0</v>
      </c>
      <c r="T36" s="658" t="str">
        <f>+VLOOKUP($L36,Data_Validation!$A:$D,1,0)</f>
        <v>360</v>
      </c>
      <c r="U36" s="658">
        <f>+VLOOKUP($L36,Data_Validation!$A:$D,3,0)</f>
        <v>0</v>
      </c>
      <c r="V36" s="658">
        <f>+VLOOKUP($L36,Data_Validation!$A:$D,4,0)</f>
        <v>0</v>
      </c>
      <c r="W36" s="658">
        <f>+VLOOKUP($L36,Data_Validation!$A:$E,5,0)</f>
        <v>0</v>
      </c>
      <c r="X36" s="658">
        <f>+VLOOKUP($L36,Data_Validation!$A:$F,6,0)</f>
        <v>0</v>
      </c>
    </row>
    <row r="37" spans="1:24" ht="15" customHeight="1">
      <c r="A37" s="1055" t="s">
        <v>760</v>
      </c>
      <c r="B37" s="1055" t="s">
        <v>1806</v>
      </c>
      <c r="C37" s="1056"/>
      <c r="D37" s="1056"/>
      <c r="E37" s="1056"/>
      <c r="F37" s="1055" t="s">
        <v>2</v>
      </c>
      <c r="G37" s="1055" t="s">
        <v>3331</v>
      </c>
      <c r="H37" s="1056"/>
      <c r="I37" s="1057">
        <v>425000</v>
      </c>
      <c r="J37" s="1057">
        <v>0</v>
      </c>
      <c r="K37" s="1057">
        <v>425000</v>
      </c>
      <c r="L37" s="655" t="str">
        <f t="shared" si="2"/>
        <v>370</v>
      </c>
      <c r="M37" s="656" t="str">
        <f t="shared" si="0"/>
        <v>AVOIR DU PROP. MIM. REQUIS</v>
      </c>
      <c r="N37" s="657">
        <f>+IF(OR($Q37=Parametres!$G$2,$Q37=Parametres!$G$3),I37,C37)</f>
        <v>425000</v>
      </c>
      <c r="O37" s="657">
        <f>+IF(OR($Q37=Parametres!$G$2,$Q37=Parametres!$G$3),J37,D37)</f>
        <v>0</v>
      </c>
      <c r="P37" s="657">
        <f>+IF(OR($Q37=Parametres!$G$2,$Q37=Parametres!$G$3),K37,E37)</f>
        <v>425000</v>
      </c>
      <c r="Q37" s="656" t="str">
        <f t="shared" ref="Q37:S37" si="37">+F37</f>
        <v>1-Mémo</v>
      </c>
      <c r="R37" s="655" t="str">
        <f t="shared" si="37"/>
        <v>37</v>
      </c>
      <c r="S37" s="656">
        <f t="shared" si="37"/>
        <v>0</v>
      </c>
      <c r="T37" s="658" t="str">
        <f>+VLOOKUP($L37,Data_Validation!$A:$D,1,0)</f>
        <v>370</v>
      </c>
      <c r="U37" s="658">
        <f>+VLOOKUP($L37,Data_Validation!$A:$D,3,0)</f>
        <v>0</v>
      </c>
      <c r="V37" s="658">
        <f>+VLOOKUP($L37,Data_Validation!$A:$D,4,0)</f>
        <v>0</v>
      </c>
      <c r="W37" s="658">
        <f>+VLOOKUP($L37,Data_Validation!$A:$E,5,0)</f>
        <v>0</v>
      </c>
      <c r="X37" s="658">
        <f>+VLOOKUP($L37,Data_Validation!$A:$F,6,0)</f>
        <v>0</v>
      </c>
    </row>
    <row r="38" spans="1:24" ht="15" customHeight="1">
      <c r="A38" s="1055" t="s">
        <v>761</v>
      </c>
      <c r="B38" s="1055" t="s">
        <v>1809</v>
      </c>
      <c r="C38" s="1056"/>
      <c r="D38" s="1056"/>
      <c r="E38" s="1056"/>
      <c r="F38" s="1055" t="s">
        <v>2</v>
      </c>
      <c r="G38" s="1055" t="s">
        <v>3331</v>
      </c>
      <c r="H38" s="1056"/>
      <c r="I38" s="1057">
        <v>737500</v>
      </c>
      <c r="J38" s="1057">
        <v>0</v>
      </c>
      <c r="K38" s="1057">
        <v>737500</v>
      </c>
      <c r="L38" s="655" t="str">
        <f t="shared" si="2"/>
        <v>372</v>
      </c>
      <c r="M38" s="656" t="str">
        <f t="shared" si="0"/>
        <v>FONDS DE ROULEMENT/MIN. REQUIS</v>
      </c>
      <c r="N38" s="657">
        <f>+IF(OR($Q38=Parametres!$G$2,$Q38=Parametres!$G$3),I38,C38)</f>
        <v>737500</v>
      </c>
      <c r="O38" s="661">
        <f>+IF(OR($Q38=Parametres!$G$2,$Q38=Parametres!$G$3),J38,D38)</f>
        <v>0</v>
      </c>
      <c r="P38" s="657">
        <f>+IF(OR($Q38=Parametres!$G$2,$Q38=Parametres!$G$3),K38,E38)</f>
        <v>737500</v>
      </c>
      <c r="Q38" s="656" t="str">
        <f t="shared" ref="Q38:S38" si="38">+F38</f>
        <v>1-Mémo</v>
      </c>
      <c r="R38" s="655" t="str">
        <f t="shared" si="38"/>
        <v>37</v>
      </c>
      <c r="S38" s="656">
        <f t="shared" si="38"/>
        <v>0</v>
      </c>
      <c r="T38" s="658" t="str">
        <f>+VLOOKUP($L38,Data_Validation!$A:$D,1,0)</f>
        <v>372</v>
      </c>
      <c r="U38" s="658">
        <f>+VLOOKUP($L38,Data_Validation!$A:$D,3,0)</f>
        <v>0</v>
      </c>
      <c r="V38" s="658">
        <f>+VLOOKUP($L38,Data_Validation!$A:$D,4,0)</f>
        <v>0</v>
      </c>
      <c r="W38" s="658">
        <f>+VLOOKUP($L38,Data_Validation!$A:$E,5,0)</f>
        <v>0</v>
      </c>
      <c r="X38" s="658">
        <f>+VLOOKUP($L38,Data_Validation!$A:$F,6,0)</f>
        <v>0</v>
      </c>
    </row>
    <row r="39" spans="1:24" ht="15" customHeight="1">
      <c r="A39" s="1055" t="s">
        <v>762</v>
      </c>
      <c r="B39" s="1055" t="s">
        <v>1814</v>
      </c>
      <c r="C39" s="1056"/>
      <c r="D39" s="1056"/>
      <c r="E39" s="1056"/>
      <c r="F39" s="1055" t="s">
        <v>2</v>
      </c>
      <c r="G39" s="1055" t="s">
        <v>763</v>
      </c>
      <c r="H39" s="1056"/>
      <c r="I39" s="1057">
        <v>0.47</v>
      </c>
      <c r="J39" s="1057">
        <v>0</v>
      </c>
      <c r="K39" s="1057">
        <v>0.47</v>
      </c>
      <c r="L39" s="655" t="str">
        <f t="shared" si="2"/>
        <v>401</v>
      </c>
      <c r="M39" s="656" t="str">
        <f t="shared" si="0"/>
        <v>UNITES NEUVES VENDUES JANVIER</v>
      </c>
      <c r="N39" s="657">
        <f>+IF(OR($Q39=Parametres!$G$2,$Q39=Parametres!$G$3),I39,C39)</f>
        <v>0.47</v>
      </c>
      <c r="O39" s="713">
        <f>+IF(OR($Q39=Parametres!$G$2,$Q39=Parametres!$G$3),J39,D39)</f>
        <v>0</v>
      </c>
      <c r="P39" s="657">
        <f>+IF(OR($Q39=Parametres!$G$2,$Q39=Parametres!$G$3),K39,E39)</f>
        <v>0.47</v>
      </c>
      <c r="Q39" s="656" t="str">
        <f t="shared" ref="Q39:S39" si="39">+F39</f>
        <v>1-Mémo</v>
      </c>
      <c r="R39" s="655" t="str">
        <f t="shared" si="39"/>
        <v>40</v>
      </c>
      <c r="S39" s="656">
        <f t="shared" si="39"/>
        <v>0</v>
      </c>
      <c r="T39" s="658" t="str">
        <f>+VLOOKUP($L39,Data_Validation!$A:$D,1,0)</f>
        <v>401</v>
      </c>
      <c r="U39" s="658">
        <f>+VLOOKUP($L39,Data_Validation!$A:$D,3,0)</f>
        <v>0</v>
      </c>
      <c r="V39" s="658">
        <f>+VLOOKUP($L39,Data_Validation!$A:$D,4,0)</f>
        <v>0</v>
      </c>
      <c r="W39" s="658">
        <f>+VLOOKUP($L39,Data_Validation!$A:$E,5,0)</f>
        <v>0</v>
      </c>
      <c r="X39" s="658">
        <f>+VLOOKUP($L39,Data_Validation!$A:$F,6,0)</f>
        <v>0</v>
      </c>
    </row>
    <row r="40" spans="1:24" ht="15.75" customHeight="1">
      <c r="A40" s="1055" t="s">
        <v>764</v>
      </c>
      <c r="B40" s="1055" t="s">
        <v>1817</v>
      </c>
      <c r="C40" s="1056"/>
      <c r="D40" s="1056"/>
      <c r="E40" s="1056"/>
      <c r="F40" s="1055" t="s">
        <v>2</v>
      </c>
      <c r="G40" s="1055" t="s">
        <v>763</v>
      </c>
      <c r="H40" s="1056"/>
      <c r="I40" s="1057">
        <v>0.26</v>
      </c>
      <c r="J40" s="1057">
        <v>0</v>
      </c>
      <c r="K40" s="1057">
        <v>0.26</v>
      </c>
      <c r="L40" s="655" t="str">
        <f t="shared" si="2"/>
        <v>402</v>
      </c>
      <c r="M40" s="656" t="str">
        <f t="shared" si="0"/>
        <v>UNITES NEUVES VENDUES FEVRIER</v>
      </c>
      <c r="N40" s="657">
        <f>+IF(OR($Q40=Parametres!$G$2,$Q40=Parametres!$G$3),I40,C40)</f>
        <v>0.26</v>
      </c>
      <c r="O40" s="661">
        <f>+IF(OR($Q40=Parametres!$G$2,$Q40=Parametres!$G$3),J40,D40)</f>
        <v>0</v>
      </c>
      <c r="P40" s="657">
        <f>+IF(OR($Q40=Parametres!$G$2,$Q40=Parametres!$G$3),K40,E40)</f>
        <v>0.26</v>
      </c>
      <c r="Q40" s="656" t="str">
        <f t="shared" ref="Q40:S40" si="40">+F40</f>
        <v>1-Mémo</v>
      </c>
      <c r="R40" s="655" t="str">
        <f t="shared" si="40"/>
        <v>40</v>
      </c>
      <c r="S40" s="656">
        <f t="shared" si="40"/>
        <v>0</v>
      </c>
      <c r="T40" s="658" t="str">
        <f>+VLOOKUP($L40,Data_Validation!$A:$D,1,0)</f>
        <v>402</v>
      </c>
      <c r="U40" s="658">
        <f>+VLOOKUP($L40,Data_Validation!$A:$D,3,0)</f>
        <v>0</v>
      </c>
      <c r="V40" s="658">
        <f>+VLOOKUP($L40,Data_Validation!$A:$D,4,0)</f>
        <v>0</v>
      </c>
      <c r="W40" s="658">
        <f>+VLOOKUP($L40,Data_Validation!$A:$E,5,0)</f>
        <v>0</v>
      </c>
      <c r="X40" s="658">
        <f>+VLOOKUP($L40,Data_Validation!$A:$F,6,0)</f>
        <v>0</v>
      </c>
    </row>
    <row r="41" spans="1:24" ht="15" customHeight="1">
      <c r="A41" s="1055" t="s">
        <v>765</v>
      </c>
      <c r="B41" s="1055" t="s">
        <v>1820</v>
      </c>
      <c r="C41" s="1056"/>
      <c r="D41" s="1056"/>
      <c r="E41" s="1056"/>
      <c r="F41" s="1055" t="s">
        <v>2</v>
      </c>
      <c r="G41" s="1055" t="s">
        <v>763</v>
      </c>
      <c r="H41" s="1056"/>
      <c r="I41" s="1057">
        <v>0.28999999999999998</v>
      </c>
      <c r="J41" s="1057">
        <v>0</v>
      </c>
      <c r="K41" s="1057">
        <v>0.28999999999999998</v>
      </c>
      <c r="L41" s="655" t="str">
        <f t="shared" si="2"/>
        <v>403</v>
      </c>
      <c r="M41" s="656" t="str">
        <f t="shared" si="0"/>
        <v>UNITES NEUVES VENDUES MARS</v>
      </c>
      <c r="N41" s="657">
        <f>+IF(OR($Q41=Parametres!$G$2,$Q41=Parametres!$G$3),I41,C41)</f>
        <v>0.28999999999999998</v>
      </c>
      <c r="O41" s="661">
        <f>+IF(OR($Q41=Parametres!$G$2,$Q41=Parametres!$G$3),J41,D41)</f>
        <v>0</v>
      </c>
      <c r="P41" s="657">
        <f>+IF(OR($Q41=Parametres!$G$2,$Q41=Parametres!$G$3),K41,E41)</f>
        <v>0.28999999999999998</v>
      </c>
      <c r="Q41" s="656" t="str">
        <f t="shared" ref="Q41:S41" si="41">+F41</f>
        <v>1-Mémo</v>
      </c>
      <c r="R41" s="655" t="str">
        <f t="shared" si="41"/>
        <v>40</v>
      </c>
      <c r="S41" s="656">
        <f t="shared" si="41"/>
        <v>0</v>
      </c>
      <c r="T41" s="658" t="str">
        <f>+VLOOKUP($L41,Data_Validation!$A:$D,1,0)</f>
        <v>403</v>
      </c>
      <c r="U41" s="658">
        <f>+VLOOKUP($L41,Data_Validation!$A:$D,3,0)</f>
        <v>0</v>
      </c>
      <c r="V41" s="658">
        <f>+VLOOKUP($L41,Data_Validation!$A:$D,4,0)</f>
        <v>0</v>
      </c>
      <c r="W41" s="658">
        <f>+VLOOKUP($L41,Data_Validation!$A:$E,5,0)</f>
        <v>0</v>
      </c>
      <c r="X41" s="658">
        <f>+VLOOKUP($L41,Data_Validation!$A:$F,6,0)</f>
        <v>0</v>
      </c>
    </row>
    <row r="42" spans="1:24" ht="15" customHeight="1">
      <c r="A42" s="1055" t="s">
        <v>766</v>
      </c>
      <c r="B42" s="1055" t="s">
        <v>1823</v>
      </c>
      <c r="C42" s="1056"/>
      <c r="D42" s="1056"/>
      <c r="E42" s="1056"/>
      <c r="F42" s="1055" t="s">
        <v>2</v>
      </c>
      <c r="G42" s="1055" t="s">
        <v>763</v>
      </c>
      <c r="H42" s="1056"/>
      <c r="I42" s="1057">
        <v>0.33</v>
      </c>
      <c r="J42" s="1057">
        <v>0</v>
      </c>
      <c r="K42" s="1057">
        <v>0.33</v>
      </c>
      <c r="L42" s="655" t="str">
        <f t="shared" si="2"/>
        <v>404</v>
      </c>
      <c r="M42" s="656" t="str">
        <f t="shared" si="0"/>
        <v>UNITES NEUVES VENDUES AVRIL</v>
      </c>
      <c r="N42" s="657">
        <f>+IF(OR($Q42=Parametres!$G$2,$Q42=Parametres!$G$3),I42,C42)</f>
        <v>0.33</v>
      </c>
      <c r="O42" s="661">
        <f>+IF(OR($Q42=Parametres!$G$2,$Q42=Parametres!$G$3),J42,D42)</f>
        <v>0</v>
      </c>
      <c r="P42" s="657">
        <f>+IF(OR($Q42=Parametres!$G$2,$Q42=Parametres!$G$3),K42,E42)</f>
        <v>0.33</v>
      </c>
      <c r="Q42" s="656" t="str">
        <f t="shared" ref="Q42:S42" si="42">+F42</f>
        <v>1-Mémo</v>
      </c>
      <c r="R42" s="655" t="str">
        <f t="shared" si="42"/>
        <v>40</v>
      </c>
      <c r="S42" s="656">
        <f t="shared" si="42"/>
        <v>0</v>
      </c>
      <c r="T42" s="658" t="str">
        <f>+VLOOKUP($L42,Data_Validation!$A:$D,1,0)</f>
        <v>404</v>
      </c>
      <c r="U42" s="658">
        <f>+VLOOKUP($L42,Data_Validation!$A:$D,3,0)</f>
        <v>0</v>
      </c>
      <c r="V42" s="658">
        <f>+VLOOKUP($L42,Data_Validation!$A:$D,4,0)</f>
        <v>0</v>
      </c>
      <c r="W42" s="658">
        <f>+VLOOKUP($L42,Data_Validation!$A:$E,5,0)</f>
        <v>0</v>
      </c>
      <c r="X42" s="658">
        <f>+VLOOKUP($L42,Data_Validation!$A:$F,6,0)</f>
        <v>0</v>
      </c>
    </row>
    <row r="43" spans="1:24" ht="15" customHeight="1">
      <c r="A43" s="1055" t="s">
        <v>767</v>
      </c>
      <c r="B43" s="1055" t="s">
        <v>1826</v>
      </c>
      <c r="C43" s="1056"/>
      <c r="D43" s="1056"/>
      <c r="E43" s="1056"/>
      <c r="F43" s="1055" t="s">
        <v>2</v>
      </c>
      <c r="G43" s="1055" t="s">
        <v>763</v>
      </c>
      <c r="H43" s="1056"/>
      <c r="I43" s="1057">
        <v>0.46</v>
      </c>
      <c r="J43" s="1057">
        <v>0</v>
      </c>
      <c r="K43" s="1057">
        <v>0.46</v>
      </c>
      <c r="L43" s="655" t="str">
        <f t="shared" si="2"/>
        <v>405</v>
      </c>
      <c r="M43" s="656" t="str">
        <f t="shared" si="0"/>
        <v>UNITES NEUVES VENDUES MAI</v>
      </c>
      <c r="N43" s="657">
        <f>+IF(OR($Q43=Parametres!$G$2,$Q43=Parametres!$G$3),I43,C43)</f>
        <v>0.46</v>
      </c>
      <c r="O43" s="661">
        <f>+IF(OR($Q43=Parametres!$G$2,$Q43=Parametres!$G$3),J43,D43)</f>
        <v>0</v>
      </c>
      <c r="P43" s="657">
        <f>+IF(OR($Q43=Parametres!$G$2,$Q43=Parametres!$G$3),K43,E43)</f>
        <v>0.46</v>
      </c>
      <c r="Q43" s="656" t="str">
        <f t="shared" ref="Q43:S43" si="43">+F43</f>
        <v>1-Mémo</v>
      </c>
      <c r="R43" s="655" t="str">
        <f t="shared" si="43"/>
        <v>40</v>
      </c>
      <c r="S43" s="656">
        <f t="shared" si="43"/>
        <v>0</v>
      </c>
      <c r="T43" s="658" t="str">
        <f>+VLOOKUP($L43,Data_Validation!$A:$D,1,0)</f>
        <v>405</v>
      </c>
      <c r="U43" s="658">
        <f>+VLOOKUP($L43,Data_Validation!$A:$D,3,0)</f>
        <v>0</v>
      </c>
      <c r="V43" s="658">
        <f>+VLOOKUP($L43,Data_Validation!$A:$D,4,0)</f>
        <v>0</v>
      </c>
      <c r="W43" s="658">
        <f>+VLOOKUP($L43,Data_Validation!$A:$E,5,0)</f>
        <v>0</v>
      </c>
      <c r="X43" s="658">
        <f>+VLOOKUP($L43,Data_Validation!$A:$F,6,0)</f>
        <v>0</v>
      </c>
    </row>
    <row r="44" spans="1:24" ht="15.75" customHeight="1">
      <c r="A44" s="1055" t="s">
        <v>768</v>
      </c>
      <c r="B44" s="1055" t="s">
        <v>1829</v>
      </c>
      <c r="C44" s="1056"/>
      <c r="D44" s="1056"/>
      <c r="E44" s="1056"/>
      <c r="F44" s="1055" t="s">
        <v>2</v>
      </c>
      <c r="G44" s="1055" t="s">
        <v>763</v>
      </c>
      <c r="H44" s="1056"/>
      <c r="I44" s="1057">
        <v>0.56000000000000005</v>
      </c>
      <c r="J44" s="1057">
        <v>0</v>
      </c>
      <c r="K44" s="1057">
        <v>0.56000000000000005</v>
      </c>
      <c r="L44" s="655" t="str">
        <f t="shared" si="2"/>
        <v>406</v>
      </c>
      <c r="M44" s="656" t="str">
        <f t="shared" si="0"/>
        <v>UNITES NEUVES VENDUES JUIN</v>
      </c>
      <c r="N44" s="657">
        <f>+IF(OR($Q44=Parametres!$G$2,$Q44=Parametres!$G$3),I44,C44)</f>
        <v>0.56000000000000005</v>
      </c>
      <c r="O44" s="661">
        <f>+IF(OR($Q44=Parametres!$G$2,$Q44=Parametres!$G$3),J44,D44)</f>
        <v>0</v>
      </c>
      <c r="P44" s="657">
        <f>+IF(OR($Q44=Parametres!$G$2,$Q44=Parametres!$G$3),K44,E44)</f>
        <v>0.56000000000000005</v>
      </c>
      <c r="Q44" s="656" t="str">
        <f t="shared" ref="Q44:S44" si="44">+F44</f>
        <v>1-Mémo</v>
      </c>
      <c r="R44" s="655" t="str">
        <f t="shared" si="44"/>
        <v>40</v>
      </c>
      <c r="S44" s="656">
        <f t="shared" si="44"/>
        <v>0</v>
      </c>
      <c r="T44" s="658" t="str">
        <f>+VLOOKUP($L44,Data_Validation!$A:$D,1,0)</f>
        <v>406</v>
      </c>
      <c r="U44" s="658">
        <f>+VLOOKUP($L44,Data_Validation!$A:$D,3,0)</f>
        <v>0</v>
      </c>
      <c r="V44" s="658">
        <f>+VLOOKUP($L44,Data_Validation!$A:$D,4,0)</f>
        <v>0</v>
      </c>
      <c r="W44" s="658">
        <f>+VLOOKUP($L44,Data_Validation!$A:$E,5,0)</f>
        <v>0</v>
      </c>
      <c r="X44" s="658">
        <f>+VLOOKUP($L44,Data_Validation!$A:$F,6,0)</f>
        <v>0</v>
      </c>
    </row>
    <row r="45" spans="1:24" ht="15" customHeight="1">
      <c r="A45" s="1055" t="s">
        <v>769</v>
      </c>
      <c r="B45" s="1055" t="s">
        <v>1832</v>
      </c>
      <c r="C45" s="1056"/>
      <c r="D45" s="1056"/>
      <c r="E45" s="1056"/>
      <c r="F45" s="1055" t="s">
        <v>2</v>
      </c>
      <c r="G45" s="1055" t="s">
        <v>763</v>
      </c>
      <c r="H45" s="1056"/>
      <c r="I45" s="1057">
        <v>0.55000000000000004</v>
      </c>
      <c r="J45" s="1057">
        <v>0</v>
      </c>
      <c r="K45" s="1057">
        <v>0.55000000000000004</v>
      </c>
      <c r="L45" s="655" t="str">
        <f t="shared" si="2"/>
        <v>407</v>
      </c>
      <c r="M45" s="656" t="str">
        <f t="shared" si="0"/>
        <v>UNITES NEUVES VENDUES JUILLET</v>
      </c>
      <c r="N45" s="657">
        <f>+IF(OR($Q45=Parametres!$G$2,$Q45=Parametres!$G$3),I45,C45)</f>
        <v>0.55000000000000004</v>
      </c>
      <c r="O45" s="661">
        <f>+IF(OR($Q45=Parametres!$G$2,$Q45=Parametres!$G$3),J45,D45)</f>
        <v>0</v>
      </c>
      <c r="P45" s="657">
        <f>+IF(OR($Q45=Parametres!$G$2,$Q45=Parametres!$G$3),K45,E45)</f>
        <v>0.55000000000000004</v>
      </c>
      <c r="Q45" s="656" t="str">
        <f t="shared" ref="Q45:S45" si="45">+F45</f>
        <v>1-Mémo</v>
      </c>
      <c r="R45" s="655" t="str">
        <f t="shared" si="45"/>
        <v>40</v>
      </c>
      <c r="S45" s="656">
        <f t="shared" si="45"/>
        <v>0</v>
      </c>
      <c r="T45" s="658" t="str">
        <f>+VLOOKUP($L45,Data_Validation!$A:$D,1,0)</f>
        <v>407</v>
      </c>
      <c r="U45" s="658">
        <f>+VLOOKUP($L45,Data_Validation!$A:$D,3,0)</f>
        <v>0</v>
      </c>
      <c r="V45" s="658">
        <f>+VLOOKUP($L45,Data_Validation!$A:$D,4,0)</f>
        <v>0</v>
      </c>
      <c r="W45" s="658">
        <f>+VLOOKUP($L45,Data_Validation!$A:$E,5,0)</f>
        <v>0</v>
      </c>
      <c r="X45" s="658">
        <f>+VLOOKUP($L45,Data_Validation!$A:$F,6,0)</f>
        <v>0</v>
      </c>
    </row>
    <row r="46" spans="1:24" ht="15" customHeight="1">
      <c r="A46" s="1055" t="s">
        <v>770</v>
      </c>
      <c r="B46" s="1055" t="s">
        <v>1835</v>
      </c>
      <c r="C46" s="1056"/>
      <c r="D46" s="1056"/>
      <c r="E46" s="1056"/>
      <c r="F46" s="1055" t="s">
        <v>2</v>
      </c>
      <c r="G46" s="1055" t="s">
        <v>763</v>
      </c>
      <c r="H46" s="1056"/>
      <c r="I46" s="1057">
        <v>0.77</v>
      </c>
      <c r="J46" s="1057">
        <v>0</v>
      </c>
      <c r="K46" s="1057">
        <v>0.77</v>
      </c>
      <c r="L46" s="655" t="str">
        <f t="shared" si="2"/>
        <v>408</v>
      </c>
      <c r="M46" s="656" t="str">
        <f t="shared" si="0"/>
        <v>UNITES NEUVES VENDUES AOUT</v>
      </c>
      <c r="N46" s="657">
        <f>+IF(OR($Q46=Parametres!$G$2,$Q46=Parametres!$G$3),I46,C46)</f>
        <v>0.77</v>
      </c>
      <c r="O46" s="661">
        <f>+IF(OR($Q46=Parametres!$G$2,$Q46=Parametres!$G$3),J46,D46)</f>
        <v>0</v>
      </c>
      <c r="P46" s="657">
        <f>+IF(OR($Q46=Parametres!$G$2,$Q46=Parametres!$G$3),K46,E46)</f>
        <v>0.77</v>
      </c>
      <c r="Q46" s="656" t="str">
        <f t="shared" ref="Q46:S46" si="46">+F46</f>
        <v>1-Mémo</v>
      </c>
      <c r="R46" s="655" t="str">
        <f t="shared" si="46"/>
        <v>40</v>
      </c>
      <c r="S46" s="656">
        <f t="shared" si="46"/>
        <v>0</v>
      </c>
      <c r="T46" s="658" t="str">
        <f>+VLOOKUP($L46,Data_Validation!$A:$D,1,0)</f>
        <v>408</v>
      </c>
      <c r="U46" s="658">
        <f>+VLOOKUP($L46,Data_Validation!$A:$D,3,0)</f>
        <v>0</v>
      </c>
      <c r="V46" s="658">
        <f>+VLOOKUP($L46,Data_Validation!$A:$D,4,0)</f>
        <v>0</v>
      </c>
      <c r="W46" s="658">
        <f>+VLOOKUP($L46,Data_Validation!$A:$E,5,0)</f>
        <v>0</v>
      </c>
      <c r="X46" s="658">
        <f>+VLOOKUP($L46,Data_Validation!$A:$F,6,0)</f>
        <v>0</v>
      </c>
    </row>
    <row r="47" spans="1:24" ht="15" customHeight="1">
      <c r="A47" s="1055" t="s">
        <v>771</v>
      </c>
      <c r="B47" s="1055" t="s">
        <v>1838</v>
      </c>
      <c r="C47" s="1056"/>
      <c r="D47" s="1056"/>
      <c r="E47" s="1056"/>
      <c r="F47" s="1055" t="s">
        <v>2</v>
      </c>
      <c r="G47" s="1055" t="s">
        <v>763</v>
      </c>
      <c r="H47" s="1056"/>
      <c r="I47" s="1057">
        <v>0.53</v>
      </c>
      <c r="J47" s="1057">
        <v>0</v>
      </c>
      <c r="K47" s="1057">
        <v>0.53</v>
      </c>
      <c r="L47" s="655" t="str">
        <f t="shared" si="2"/>
        <v>409</v>
      </c>
      <c r="M47" s="656" t="str">
        <f t="shared" si="0"/>
        <v>UNITES NEUVES VENDUES SEPTEMBRE</v>
      </c>
      <c r="N47" s="657">
        <f>+IF(OR($Q47=Parametres!$G$2,$Q47=Parametres!$G$3),I47,C47)</f>
        <v>0.53</v>
      </c>
      <c r="O47" s="657">
        <f>+IF(OR($Q47=Parametres!$G$2,$Q47=Parametres!$G$3),J47,D47)</f>
        <v>0</v>
      </c>
      <c r="P47" s="657">
        <f>+IF(OR($Q47=Parametres!$G$2,$Q47=Parametres!$G$3),K47,E47)</f>
        <v>0.53</v>
      </c>
      <c r="Q47" s="656" t="str">
        <f t="shared" ref="Q47:S47" si="47">+F47</f>
        <v>1-Mémo</v>
      </c>
      <c r="R47" s="655" t="str">
        <f t="shared" si="47"/>
        <v>40</v>
      </c>
      <c r="S47" s="656">
        <f t="shared" si="47"/>
        <v>0</v>
      </c>
      <c r="T47" s="658" t="str">
        <f>+VLOOKUP($L47,Data_Validation!$A:$D,1,0)</f>
        <v>409</v>
      </c>
      <c r="U47" s="658">
        <f>+VLOOKUP($L47,Data_Validation!$A:$D,3,0)</f>
        <v>0</v>
      </c>
      <c r="V47" s="658">
        <f>+VLOOKUP($L47,Data_Validation!$A:$D,4,0)</f>
        <v>0</v>
      </c>
      <c r="W47" s="658">
        <f>+VLOOKUP($L47,Data_Validation!$A:$E,5,0)</f>
        <v>0</v>
      </c>
      <c r="X47" s="658">
        <f>+VLOOKUP($L47,Data_Validation!$A:$F,6,0)</f>
        <v>0</v>
      </c>
    </row>
    <row r="48" spans="1:24" ht="15.75" customHeight="1">
      <c r="A48" s="1055" t="s">
        <v>772</v>
      </c>
      <c r="B48" s="1055" t="s">
        <v>1841</v>
      </c>
      <c r="C48" s="1056"/>
      <c r="D48" s="1056"/>
      <c r="E48" s="1056"/>
      <c r="F48" s="1055" t="s">
        <v>2</v>
      </c>
      <c r="G48" s="1055" t="s">
        <v>763</v>
      </c>
      <c r="H48" s="1056"/>
      <c r="I48" s="1057">
        <v>0.53</v>
      </c>
      <c r="J48" s="1057">
        <v>0</v>
      </c>
      <c r="K48" s="1057">
        <v>0.53</v>
      </c>
      <c r="L48" s="655" t="str">
        <f t="shared" si="2"/>
        <v>410</v>
      </c>
      <c r="M48" s="656" t="str">
        <f t="shared" si="0"/>
        <v>UNITES NEUVES VENDUES OCTOBRE</v>
      </c>
      <c r="N48" s="657">
        <f>+IF(OR($Q48=Parametres!$G$2,$Q48=Parametres!$G$3),I48,C48)</f>
        <v>0.53</v>
      </c>
      <c r="O48" s="657">
        <f>+IF(OR($Q48=Parametres!$G$2,$Q48=Parametres!$G$3),J48,D48)</f>
        <v>0</v>
      </c>
      <c r="P48" s="657">
        <f>+IF(OR($Q48=Parametres!$G$2,$Q48=Parametres!$G$3),K48,E48)</f>
        <v>0.53</v>
      </c>
      <c r="Q48" s="656" t="str">
        <f t="shared" ref="Q48:S48" si="48">+F48</f>
        <v>1-Mémo</v>
      </c>
      <c r="R48" s="655" t="str">
        <f t="shared" si="48"/>
        <v>40</v>
      </c>
      <c r="S48" s="656">
        <f t="shared" si="48"/>
        <v>0</v>
      </c>
      <c r="T48" s="658" t="str">
        <f>+VLOOKUP($L48,Data_Validation!$A:$D,1,0)</f>
        <v>410</v>
      </c>
      <c r="U48" s="658">
        <f>+VLOOKUP($L48,Data_Validation!$A:$D,3,0)</f>
        <v>0</v>
      </c>
      <c r="V48" s="658">
        <f>+VLOOKUP($L48,Data_Validation!$A:$D,4,0)</f>
        <v>0</v>
      </c>
      <c r="W48" s="658">
        <f>+VLOOKUP($L48,Data_Validation!$A:$E,5,0)</f>
        <v>0</v>
      </c>
      <c r="X48" s="658">
        <f>+VLOOKUP($L48,Data_Validation!$A:$F,6,0)</f>
        <v>0</v>
      </c>
    </row>
    <row r="49" spans="1:24" ht="15" customHeight="1">
      <c r="A49" s="1055" t="s">
        <v>773</v>
      </c>
      <c r="B49" s="1055" t="s">
        <v>980</v>
      </c>
      <c r="C49" s="1056"/>
      <c r="D49" s="1056"/>
      <c r="E49" s="1056"/>
      <c r="F49" s="1055" t="s">
        <v>2</v>
      </c>
      <c r="G49" s="1055" t="s">
        <v>763</v>
      </c>
      <c r="H49" s="1056"/>
      <c r="I49" s="1057">
        <v>0.42</v>
      </c>
      <c r="J49" s="1057">
        <v>0</v>
      </c>
      <c r="K49" s="1057">
        <v>0.42</v>
      </c>
      <c r="L49" s="655" t="str">
        <f t="shared" si="2"/>
        <v>411</v>
      </c>
      <c r="M49" s="656" t="str">
        <f t="shared" si="0"/>
        <v>UNITES NEUVES VENDUES NOVEMBRE</v>
      </c>
      <c r="N49" s="657">
        <f>+IF(OR($Q49=Parametres!$G$2,$Q49=Parametres!$G$3),I49,C49)</f>
        <v>0.42</v>
      </c>
      <c r="O49" s="661">
        <f>+IF(OR($Q49=Parametres!$G$2,$Q49=Parametres!$G$3),J49,D49)</f>
        <v>0</v>
      </c>
      <c r="P49" s="657">
        <f>+IF(OR($Q49=Parametres!$G$2,$Q49=Parametres!$G$3),K49,E49)</f>
        <v>0.42</v>
      </c>
      <c r="Q49" s="656" t="str">
        <f t="shared" ref="Q49:S49" si="49">+F49</f>
        <v>1-Mémo</v>
      </c>
      <c r="R49" s="655" t="str">
        <f t="shared" si="49"/>
        <v>40</v>
      </c>
      <c r="S49" s="656">
        <f t="shared" si="49"/>
        <v>0</v>
      </c>
      <c r="T49" s="658" t="str">
        <f>+VLOOKUP($L49,Data_Validation!$A:$D,1,0)</f>
        <v>411</v>
      </c>
      <c r="U49" s="658">
        <f>+VLOOKUP($L49,Data_Validation!$A:$D,3,0)</f>
        <v>0</v>
      </c>
      <c r="V49" s="658">
        <f>+VLOOKUP($L49,Data_Validation!$A:$D,4,0)</f>
        <v>0</v>
      </c>
      <c r="W49" s="658">
        <f>+VLOOKUP($L49,Data_Validation!$A:$E,5,0)</f>
        <v>0</v>
      </c>
      <c r="X49" s="658">
        <f>+VLOOKUP($L49,Data_Validation!$A:$F,6,0)</f>
        <v>0</v>
      </c>
    </row>
    <row r="50" spans="1:24" ht="15" customHeight="1">
      <c r="A50" s="1055" t="s">
        <v>774</v>
      </c>
      <c r="B50" s="1055" t="s">
        <v>3357</v>
      </c>
      <c r="C50" s="1056"/>
      <c r="D50" s="1056"/>
      <c r="E50" s="1056"/>
      <c r="F50" s="1055" t="s">
        <v>2</v>
      </c>
      <c r="G50" s="1055" t="s">
        <v>763</v>
      </c>
      <c r="H50" s="1056"/>
      <c r="I50" s="1057">
        <v>0</v>
      </c>
      <c r="J50" s="1057">
        <v>0.37</v>
      </c>
      <c r="K50" s="1057">
        <v>0.37</v>
      </c>
      <c r="L50" s="655" t="str">
        <f t="shared" si="2"/>
        <v>412</v>
      </c>
      <c r="M50" s="656" t="str">
        <f t="shared" si="0"/>
        <v>UNITES NEUVES VENDUES DECEMBRE</v>
      </c>
      <c r="N50" s="657">
        <f>+IF(OR($Q50=Parametres!$G$2,$Q50=Parametres!$G$3),I50,C50)</f>
        <v>0</v>
      </c>
      <c r="O50" s="661">
        <f>+IF(OR($Q50=Parametres!$G$2,$Q50=Parametres!$G$3),J50,D50)</f>
        <v>0.37</v>
      </c>
      <c r="P50" s="657">
        <f>+IF(OR($Q50=Parametres!$G$2,$Q50=Parametres!$G$3),K50,E50)</f>
        <v>0.37</v>
      </c>
      <c r="Q50" s="656" t="str">
        <f t="shared" ref="Q50:S50" si="50">+F50</f>
        <v>1-Mémo</v>
      </c>
      <c r="R50" s="655" t="str">
        <f t="shared" si="50"/>
        <v>40</v>
      </c>
      <c r="S50" s="656">
        <f t="shared" si="50"/>
        <v>0</v>
      </c>
      <c r="T50" s="658" t="str">
        <f>+VLOOKUP($L50,Data_Validation!$A:$D,1,0)</f>
        <v>412</v>
      </c>
      <c r="U50" s="658">
        <f>+VLOOKUP($L50,Data_Validation!$A:$D,3,0)</f>
        <v>0</v>
      </c>
      <c r="V50" s="658">
        <f>+VLOOKUP($L50,Data_Validation!$A:$D,4,0)</f>
        <v>0</v>
      </c>
      <c r="W50" s="658">
        <f>+VLOOKUP($L50,Data_Validation!$A:$E,5,0)</f>
        <v>0</v>
      </c>
      <c r="X50" s="658">
        <f>+VLOOKUP($L50,Data_Validation!$A:$F,6,0)</f>
        <v>0</v>
      </c>
    </row>
    <row r="51" spans="1:24" ht="15" customHeight="1">
      <c r="A51" s="1055" t="s">
        <v>775</v>
      </c>
      <c r="B51" s="1055" t="s">
        <v>1907</v>
      </c>
      <c r="C51" s="1056"/>
      <c r="D51" s="1056"/>
      <c r="E51" s="1056"/>
      <c r="F51" s="1055" t="s">
        <v>2</v>
      </c>
      <c r="G51" s="1055" t="s">
        <v>3332</v>
      </c>
      <c r="H51" s="1056"/>
      <c r="I51" s="1057">
        <v>0.18</v>
      </c>
      <c r="J51" s="1057">
        <v>0</v>
      </c>
      <c r="K51" s="1057">
        <v>0.18</v>
      </c>
      <c r="L51" s="655" t="str">
        <f t="shared" si="2"/>
        <v>421</v>
      </c>
      <c r="M51" s="656" t="str">
        <f t="shared" si="0"/>
        <v>UNITES USAGES DET./ JANV.</v>
      </c>
      <c r="N51" s="657">
        <f>+IF(OR($Q51=Parametres!$G$2,$Q51=Parametres!$G$3),I51,C51)</f>
        <v>0.18</v>
      </c>
      <c r="O51" s="661">
        <f>+IF(OR($Q51=Parametres!$G$2,$Q51=Parametres!$G$3),J51,D51)</f>
        <v>0</v>
      </c>
      <c r="P51" s="657">
        <f>+IF(OR($Q51=Parametres!$G$2,$Q51=Parametres!$G$3),K51,E51)</f>
        <v>0.18</v>
      </c>
      <c r="Q51" s="656" t="str">
        <f t="shared" ref="Q51:S51" si="51">+F51</f>
        <v>1-Mémo</v>
      </c>
      <c r="R51" s="655" t="str">
        <f t="shared" si="51"/>
        <v>42</v>
      </c>
      <c r="S51" s="656">
        <f t="shared" si="51"/>
        <v>0</v>
      </c>
      <c r="T51" s="658" t="str">
        <f>+VLOOKUP($L51,Data_Validation!$A:$D,1,0)</f>
        <v>421</v>
      </c>
      <c r="U51" s="658">
        <f>+VLOOKUP($L51,Data_Validation!$A:$D,3,0)</f>
        <v>0</v>
      </c>
      <c r="V51" s="658">
        <f>+VLOOKUP($L51,Data_Validation!$A:$D,4,0)</f>
        <v>0</v>
      </c>
      <c r="W51" s="658">
        <f>+VLOOKUP($L51,Data_Validation!$A:$E,5,0)</f>
        <v>0</v>
      </c>
      <c r="X51" s="658">
        <f>+VLOOKUP($L51,Data_Validation!$A:$F,6,0)</f>
        <v>0</v>
      </c>
    </row>
    <row r="52" spans="1:24" ht="15.75" customHeight="1">
      <c r="A52" s="1055" t="s">
        <v>776</v>
      </c>
      <c r="B52" s="1055" t="s">
        <v>1914</v>
      </c>
      <c r="C52" s="1056"/>
      <c r="D52" s="1056"/>
      <c r="E52" s="1056"/>
      <c r="F52" s="1055" t="s">
        <v>2</v>
      </c>
      <c r="G52" s="1055" t="s">
        <v>3332</v>
      </c>
      <c r="H52" s="1056"/>
      <c r="I52" s="1057">
        <v>0.34</v>
      </c>
      <c r="J52" s="1057">
        <v>0</v>
      </c>
      <c r="K52" s="1057">
        <v>0.34</v>
      </c>
      <c r="L52" s="655" t="str">
        <f t="shared" si="2"/>
        <v>422</v>
      </c>
      <c r="M52" s="656" t="str">
        <f t="shared" si="0"/>
        <v>UNITES USAGES DET./ FEVR.</v>
      </c>
      <c r="N52" s="657">
        <f>+IF(OR($Q52=Parametres!$G$2,$Q52=Parametres!$G$3),I52,C52)</f>
        <v>0.34</v>
      </c>
      <c r="O52" s="657">
        <f>+IF(OR($Q52=Parametres!$G$2,$Q52=Parametres!$G$3),J52,D52)</f>
        <v>0</v>
      </c>
      <c r="P52" s="657">
        <f>+IF(OR($Q52=Parametres!$G$2,$Q52=Parametres!$G$3),K52,E52)</f>
        <v>0.34</v>
      </c>
      <c r="Q52" s="656" t="str">
        <f t="shared" ref="Q52:S52" si="52">+F52</f>
        <v>1-Mémo</v>
      </c>
      <c r="R52" s="655" t="str">
        <f t="shared" si="52"/>
        <v>42</v>
      </c>
      <c r="S52" s="656">
        <f t="shared" si="52"/>
        <v>0</v>
      </c>
      <c r="T52" s="658" t="str">
        <f>+VLOOKUP($L52,Data_Validation!$A:$D,1,0)</f>
        <v>422</v>
      </c>
      <c r="U52" s="658">
        <f>+VLOOKUP($L52,Data_Validation!$A:$D,3,0)</f>
        <v>0</v>
      </c>
      <c r="V52" s="658">
        <f>+VLOOKUP($L52,Data_Validation!$A:$D,4,0)</f>
        <v>0</v>
      </c>
      <c r="W52" s="658">
        <f>+VLOOKUP($L52,Data_Validation!$A:$E,5,0)</f>
        <v>0</v>
      </c>
      <c r="X52" s="658">
        <f>+VLOOKUP($L52,Data_Validation!$A:$F,6,0)</f>
        <v>0</v>
      </c>
    </row>
    <row r="53" spans="1:24" ht="15" customHeight="1">
      <c r="A53" s="1055" t="s">
        <v>777</v>
      </c>
      <c r="B53" s="1055" t="s">
        <v>1917</v>
      </c>
      <c r="C53" s="1056"/>
      <c r="D53" s="1056"/>
      <c r="E53" s="1056"/>
      <c r="F53" s="1055" t="s">
        <v>2</v>
      </c>
      <c r="G53" s="1055" t="s">
        <v>3332</v>
      </c>
      <c r="H53" s="1056"/>
      <c r="I53" s="1057">
        <v>0.42</v>
      </c>
      <c r="J53" s="1057">
        <v>0</v>
      </c>
      <c r="K53" s="1057">
        <v>0.42</v>
      </c>
      <c r="L53" s="655" t="str">
        <f t="shared" si="2"/>
        <v>423</v>
      </c>
      <c r="M53" s="656" t="str">
        <f t="shared" si="0"/>
        <v>UNITES USAGES DET./ MARS</v>
      </c>
      <c r="N53" s="657">
        <f>+IF(OR($Q53=Parametres!$G$2,$Q53=Parametres!$G$3),I53,C53)</f>
        <v>0.42</v>
      </c>
      <c r="O53" s="661">
        <f>+IF(OR($Q53=Parametres!$G$2,$Q53=Parametres!$G$3),J53,D53)</f>
        <v>0</v>
      </c>
      <c r="P53" s="657">
        <f>+IF(OR($Q53=Parametres!$G$2,$Q53=Parametres!$G$3),K53,E53)</f>
        <v>0.42</v>
      </c>
      <c r="Q53" s="656" t="str">
        <f t="shared" ref="Q53:S53" si="53">+F53</f>
        <v>1-Mémo</v>
      </c>
      <c r="R53" s="655" t="str">
        <f t="shared" si="53"/>
        <v>42</v>
      </c>
      <c r="S53" s="656">
        <f t="shared" si="53"/>
        <v>0</v>
      </c>
      <c r="T53" s="658" t="str">
        <f>+VLOOKUP($L53,Data_Validation!$A:$D,1,0)</f>
        <v>423</v>
      </c>
      <c r="U53" s="658">
        <f>+VLOOKUP($L53,Data_Validation!$A:$D,3,0)</f>
        <v>0</v>
      </c>
      <c r="V53" s="658">
        <f>+VLOOKUP($L53,Data_Validation!$A:$D,4,0)</f>
        <v>0</v>
      </c>
      <c r="W53" s="658">
        <f>+VLOOKUP($L53,Data_Validation!$A:$E,5,0)</f>
        <v>0</v>
      </c>
      <c r="X53" s="658">
        <f>+VLOOKUP($L53,Data_Validation!$A:$F,6,0)</f>
        <v>0</v>
      </c>
    </row>
    <row r="54" spans="1:24" ht="15" customHeight="1">
      <c r="A54" s="1055" t="s">
        <v>778</v>
      </c>
      <c r="B54" s="1055" t="s">
        <v>1920</v>
      </c>
      <c r="C54" s="1056"/>
      <c r="D54" s="1056"/>
      <c r="E54" s="1056"/>
      <c r="F54" s="1055" t="s">
        <v>2</v>
      </c>
      <c r="G54" s="1055" t="s">
        <v>3332</v>
      </c>
      <c r="H54" s="1056"/>
      <c r="I54" s="1057">
        <v>0.31</v>
      </c>
      <c r="J54" s="1057">
        <v>0</v>
      </c>
      <c r="K54" s="1057">
        <v>0.31</v>
      </c>
      <c r="L54" s="655" t="str">
        <f t="shared" si="2"/>
        <v>424</v>
      </c>
      <c r="M54" s="656" t="str">
        <f t="shared" si="0"/>
        <v>UNITES USAGES DET./ AVRIL</v>
      </c>
      <c r="N54" s="657">
        <f>+IF(OR($Q54=Parametres!$G$2,$Q54=Parametres!$G$3),I54,C54)</f>
        <v>0.31</v>
      </c>
      <c r="O54" s="657">
        <f>+IF(OR($Q54=Parametres!$G$2,$Q54=Parametres!$G$3),J54,D54)</f>
        <v>0</v>
      </c>
      <c r="P54" s="657">
        <f>+IF(OR($Q54=Parametres!$G$2,$Q54=Parametres!$G$3),K54,E54)</f>
        <v>0.31</v>
      </c>
      <c r="Q54" s="656" t="str">
        <f t="shared" ref="Q54:S54" si="54">+F54</f>
        <v>1-Mémo</v>
      </c>
      <c r="R54" s="655" t="str">
        <f t="shared" si="54"/>
        <v>42</v>
      </c>
      <c r="S54" s="656">
        <f t="shared" si="54"/>
        <v>0</v>
      </c>
      <c r="T54" s="658" t="str">
        <f>+VLOOKUP($L54,Data_Validation!$A:$D,1,0)</f>
        <v>424</v>
      </c>
      <c r="U54" s="658">
        <f>+VLOOKUP($L54,Data_Validation!$A:$D,3,0)</f>
        <v>0</v>
      </c>
      <c r="V54" s="658">
        <f>+VLOOKUP($L54,Data_Validation!$A:$D,4,0)</f>
        <v>0</v>
      </c>
      <c r="W54" s="658">
        <f>+VLOOKUP($L54,Data_Validation!$A:$E,5,0)</f>
        <v>0</v>
      </c>
      <c r="X54" s="658">
        <f>+VLOOKUP($L54,Data_Validation!$A:$F,6,0)</f>
        <v>0</v>
      </c>
    </row>
    <row r="55" spans="1:24" ht="15" customHeight="1">
      <c r="A55" s="1055" t="s">
        <v>779</v>
      </c>
      <c r="B55" s="1055" t="s">
        <v>1923</v>
      </c>
      <c r="C55" s="1056"/>
      <c r="D55" s="1056"/>
      <c r="E55" s="1056"/>
      <c r="F55" s="1055" t="s">
        <v>2</v>
      </c>
      <c r="G55" s="1055" t="s">
        <v>3332</v>
      </c>
      <c r="H55" s="1056"/>
      <c r="I55" s="1057">
        <v>0.32</v>
      </c>
      <c r="J55" s="1057">
        <v>0</v>
      </c>
      <c r="K55" s="1057">
        <v>0.32</v>
      </c>
      <c r="L55" s="655" t="str">
        <f t="shared" si="2"/>
        <v>425</v>
      </c>
      <c r="M55" s="656" t="str">
        <f t="shared" si="0"/>
        <v>UNITES USAGES DET./ MAI</v>
      </c>
      <c r="N55" s="657">
        <f>+IF(OR($Q55=Parametres!$G$2,$Q55=Parametres!$G$3),I55,C55)</f>
        <v>0.32</v>
      </c>
      <c r="O55" s="657">
        <f>+IF(OR($Q55=Parametres!$G$2,$Q55=Parametres!$G$3),J55,D55)</f>
        <v>0</v>
      </c>
      <c r="P55" s="657">
        <f>+IF(OR($Q55=Parametres!$G$2,$Q55=Parametres!$G$3),K55,E55)</f>
        <v>0.32</v>
      </c>
      <c r="Q55" s="656" t="str">
        <f t="shared" ref="Q55:S55" si="55">+F55</f>
        <v>1-Mémo</v>
      </c>
      <c r="R55" s="655" t="str">
        <f t="shared" si="55"/>
        <v>42</v>
      </c>
      <c r="S55" s="656">
        <f t="shared" si="55"/>
        <v>0</v>
      </c>
      <c r="T55" s="658" t="str">
        <f>+VLOOKUP($L55,Data_Validation!$A:$D,1,0)</f>
        <v>425</v>
      </c>
      <c r="U55" s="658">
        <f>+VLOOKUP($L55,Data_Validation!$A:$D,3,0)</f>
        <v>0</v>
      </c>
      <c r="V55" s="658">
        <f>+VLOOKUP($L55,Data_Validation!$A:$D,4,0)</f>
        <v>0</v>
      </c>
      <c r="W55" s="658">
        <f>+VLOOKUP($L55,Data_Validation!$A:$E,5,0)</f>
        <v>0</v>
      </c>
      <c r="X55" s="658">
        <f>+VLOOKUP($L55,Data_Validation!$A:$F,6,0)</f>
        <v>0</v>
      </c>
    </row>
    <row r="56" spans="1:24" ht="15.75" customHeight="1">
      <c r="A56" s="1055" t="s">
        <v>780</v>
      </c>
      <c r="B56" s="1055" t="s">
        <v>1926</v>
      </c>
      <c r="C56" s="1056"/>
      <c r="D56" s="1056"/>
      <c r="E56" s="1056"/>
      <c r="F56" s="1055" t="s">
        <v>2</v>
      </c>
      <c r="G56" s="1055" t="s">
        <v>3332</v>
      </c>
      <c r="H56" s="1056"/>
      <c r="I56" s="1057">
        <v>0.36</v>
      </c>
      <c r="J56" s="1057">
        <v>0</v>
      </c>
      <c r="K56" s="1057">
        <v>0.36</v>
      </c>
      <c r="L56" s="655" t="str">
        <f t="shared" si="2"/>
        <v>426</v>
      </c>
      <c r="M56" s="656" t="str">
        <f t="shared" si="0"/>
        <v>UNITES USAGES DET./ JUIN</v>
      </c>
      <c r="N56" s="657">
        <f>+IF(OR($Q56=Parametres!$G$2,$Q56=Parametres!$G$3),I56,C56)</f>
        <v>0.36</v>
      </c>
      <c r="O56" s="661">
        <f>+IF(OR($Q56=Parametres!$G$2,$Q56=Parametres!$G$3),J56,D56)</f>
        <v>0</v>
      </c>
      <c r="P56" s="657">
        <f>+IF(OR($Q56=Parametres!$G$2,$Q56=Parametres!$G$3),K56,E56)</f>
        <v>0.36</v>
      </c>
      <c r="Q56" s="656" t="str">
        <f t="shared" ref="Q56:S56" si="56">+F56</f>
        <v>1-Mémo</v>
      </c>
      <c r="R56" s="655" t="str">
        <f t="shared" si="56"/>
        <v>42</v>
      </c>
      <c r="S56" s="656">
        <f t="shared" si="56"/>
        <v>0</v>
      </c>
      <c r="T56" s="658" t="str">
        <f>+VLOOKUP($L56,Data_Validation!$A:$D,1,0)</f>
        <v>426</v>
      </c>
      <c r="U56" s="658">
        <f>+VLOOKUP($L56,Data_Validation!$A:$D,3,0)</f>
        <v>0</v>
      </c>
      <c r="V56" s="658">
        <f>+VLOOKUP($L56,Data_Validation!$A:$D,4,0)</f>
        <v>0</v>
      </c>
      <c r="W56" s="658">
        <f>+VLOOKUP($L56,Data_Validation!$A:$E,5,0)</f>
        <v>0</v>
      </c>
      <c r="X56" s="658">
        <f>+VLOOKUP($L56,Data_Validation!$A:$F,6,0)</f>
        <v>0</v>
      </c>
    </row>
    <row r="57" spans="1:24" ht="15" customHeight="1">
      <c r="A57" s="1055" t="s">
        <v>781</v>
      </c>
      <c r="B57" s="1055" t="s">
        <v>1929</v>
      </c>
      <c r="C57" s="1056"/>
      <c r="D57" s="1056"/>
      <c r="E57" s="1056"/>
      <c r="F57" s="1055" t="s">
        <v>2</v>
      </c>
      <c r="G57" s="1055" t="s">
        <v>3332</v>
      </c>
      <c r="H57" s="1056"/>
      <c r="I57" s="1057">
        <v>0.39</v>
      </c>
      <c r="J57" s="1057">
        <v>0</v>
      </c>
      <c r="K57" s="1057">
        <v>0.39</v>
      </c>
      <c r="L57" s="655" t="str">
        <f t="shared" si="2"/>
        <v>427</v>
      </c>
      <c r="M57" s="656" t="str">
        <f t="shared" si="0"/>
        <v>UNITES USAGES DET./ JUILLET</v>
      </c>
      <c r="N57" s="657">
        <f>+IF(OR($Q57=Parametres!$G$2,$Q57=Parametres!$G$3),I57,C57)</f>
        <v>0.39</v>
      </c>
      <c r="O57" s="657">
        <f>+IF(OR($Q57=Parametres!$G$2,$Q57=Parametres!$G$3),J57,D57)</f>
        <v>0</v>
      </c>
      <c r="P57" s="657">
        <f>+IF(OR($Q57=Parametres!$G$2,$Q57=Parametres!$G$3),K57,E57)</f>
        <v>0.39</v>
      </c>
      <c r="Q57" s="656" t="str">
        <f t="shared" ref="Q57:S57" si="57">+F57</f>
        <v>1-Mémo</v>
      </c>
      <c r="R57" s="655" t="str">
        <f t="shared" si="57"/>
        <v>42</v>
      </c>
      <c r="S57" s="656">
        <f t="shared" si="57"/>
        <v>0</v>
      </c>
      <c r="T57" s="658" t="str">
        <f>+VLOOKUP($L57,Data_Validation!$A:$D,1,0)</f>
        <v>427</v>
      </c>
      <c r="U57" s="658">
        <f>+VLOOKUP($L57,Data_Validation!$A:$D,3,0)</f>
        <v>0</v>
      </c>
      <c r="V57" s="658">
        <f>+VLOOKUP($L57,Data_Validation!$A:$D,4,0)</f>
        <v>0</v>
      </c>
      <c r="W57" s="658">
        <f>+VLOOKUP($L57,Data_Validation!$A:$E,5,0)</f>
        <v>0</v>
      </c>
      <c r="X57" s="658">
        <f>+VLOOKUP($L57,Data_Validation!$A:$F,6,0)</f>
        <v>0</v>
      </c>
    </row>
    <row r="58" spans="1:24" ht="15" customHeight="1">
      <c r="A58" s="1055" t="s">
        <v>782</v>
      </c>
      <c r="B58" s="1055" t="s">
        <v>1932</v>
      </c>
      <c r="C58" s="1056"/>
      <c r="D58" s="1056"/>
      <c r="E58" s="1056"/>
      <c r="F58" s="1055" t="s">
        <v>2</v>
      </c>
      <c r="G58" s="1055" t="s">
        <v>3332</v>
      </c>
      <c r="H58" s="1056"/>
      <c r="I58" s="1057">
        <v>0.37</v>
      </c>
      <c r="J58" s="1057">
        <v>0</v>
      </c>
      <c r="K58" s="1057">
        <v>0.37</v>
      </c>
      <c r="L58" s="655" t="str">
        <f t="shared" si="2"/>
        <v>428</v>
      </c>
      <c r="M58" s="656" t="str">
        <f t="shared" si="0"/>
        <v>UNITES USAGES DET./ AOUT</v>
      </c>
      <c r="N58" s="657">
        <f>+IF(OR($Q58=Parametres!$G$2,$Q58=Parametres!$G$3),I58,C58)</f>
        <v>0.37</v>
      </c>
      <c r="O58" s="657">
        <f>+IF(OR($Q58=Parametres!$G$2,$Q58=Parametres!$G$3),J58,D58)</f>
        <v>0</v>
      </c>
      <c r="P58" s="657">
        <f>+IF(OR($Q58=Parametres!$G$2,$Q58=Parametres!$G$3),K58,E58)</f>
        <v>0.37</v>
      </c>
      <c r="Q58" s="656" t="str">
        <f t="shared" ref="Q58:S58" si="58">+F58</f>
        <v>1-Mémo</v>
      </c>
      <c r="R58" s="655" t="str">
        <f t="shared" si="58"/>
        <v>42</v>
      </c>
      <c r="S58" s="656">
        <f t="shared" si="58"/>
        <v>0</v>
      </c>
      <c r="T58" s="658" t="str">
        <f>+VLOOKUP($L58,Data_Validation!$A:$D,1,0)</f>
        <v>428</v>
      </c>
      <c r="U58" s="658">
        <f>+VLOOKUP($L58,Data_Validation!$A:$D,3,0)</f>
        <v>0</v>
      </c>
      <c r="V58" s="658">
        <f>+VLOOKUP($L58,Data_Validation!$A:$D,4,0)</f>
        <v>0</v>
      </c>
      <c r="W58" s="658">
        <f>+VLOOKUP($L58,Data_Validation!$A:$E,5,0)</f>
        <v>0</v>
      </c>
      <c r="X58" s="658">
        <f>+VLOOKUP($L58,Data_Validation!$A:$F,6,0)</f>
        <v>0</v>
      </c>
    </row>
    <row r="59" spans="1:24" ht="15" customHeight="1">
      <c r="A59" s="1055" t="s">
        <v>783</v>
      </c>
      <c r="B59" s="1055" t="s">
        <v>1941</v>
      </c>
      <c r="C59" s="1056"/>
      <c r="D59" s="1056"/>
      <c r="E59" s="1056"/>
      <c r="F59" s="1055" t="s">
        <v>2</v>
      </c>
      <c r="G59" s="1055" t="s">
        <v>3332</v>
      </c>
      <c r="H59" s="1056"/>
      <c r="I59" s="1057">
        <v>0.34</v>
      </c>
      <c r="J59" s="1057">
        <v>0</v>
      </c>
      <c r="K59" s="1057">
        <v>0.34</v>
      </c>
      <c r="L59" s="655" t="str">
        <f t="shared" si="2"/>
        <v>429</v>
      </c>
      <c r="M59" s="656" t="str">
        <f t="shared" si="0"/>
        <v>UNITES USAGES DET./ SEPT.</v>
      </c>
      <c r="N59" s="657">
        <f>+IF(OR($Q59=Parametres!$G$2,$Q59=Parametres!$G$3),I59,C59)</f>
        <v>0.34</v>
      </c>
      <c r="O59" s="657">
        <f>+IF(OR($Q59=Parametres!$G$2,$Q59=Parametres!$G$3),J59,D59)</f>
        <v>0</v>
      </c>
      <c r="P59" s="657">
        <f>+IF(OR($Q59=Parametres!$G$2,$Q59=Parametres!$G$3),K59,E59)</f>
        <v>0.34</v>
      </c>
      <c r="Q59" s="656" t="str">
        <f t="shared" ref="Q59:S59" si="59">+F59</f>
        <v>1-Mémo</v>
      </c>
      <c r="R59" s="655" t="str">
        <f t="shared" si="59"/>
        <v>42</v>
      </c>
      <c r="S59" s="656">
        <f t="shared" si="59"/>
        <v>0</v>
      </c>
      <c r="T59" s="658" t="str">
        <f>+VLOOKUP($L59,Data_Validation!$A:$D,1,0)</f>
        <v>429</v>
      </c>
      <c r="U59" s="658">
        <f>+VLOOKUP($L59,Data_Validation!$A:$D,3,0)</f>
        <v>0</v>
      </c>
      <c r="V59" s="658">
        <f>+VLOOKUP($L59,Data_Validation!$A:$D,4,0)</f>
        <v>0</v>
      </c>
      <c r="W59" s="658">
        <f>+VLOOKUP($L59,Data_Validation!$A:$E,5,0)</f>
        <v>0</v>
      </c>
      <c r="X59" s="658">
        <f>+VLOOKUP($L59,Data_Validation!$A:$F,6,0)</f>
        <v>0</v>
      </c>
    </row>
    <row r="60" spans="1:24" ht="15" customHeight="1">
      <c r="A60" s="1055" t="s">
        <v>784</v>
      </c>
      <c r="B60" s="1055" t="s">
        <v>1949</v>
      </c>
      <c r="C60" s="1056"/>
      <c r="D60" s="1056"/>
      <c r="E60" s="1056"/>
      <c r="F60" s="1055" t="s">
        <v>2</v>
      </c>
      <c r="G60" s="1055" t="s">
        <v>3332</v>
      </c>
      <c r="H60" s="1056"/>
      <c r="I60" s="1057">
        <v>0.26</v>
      </c>
      <c r="J60" s="1057">
        <v>0</v>
      </c>
      <c r="K60" s="1057">
        <v>0.26</v>
      </c>
      <c r="L60" s="655" t="str">
        <f t="shared" si="2"/>
        <v>430</v>
      </c>
      <c r="M60" s="656" t="str">
        <f t="shared" si="0"/>
        <v>UNITES USAGES DET./ OCT.</v>
      </c>
      <c r="N60" s="657">
        <f>+IF(OR($Q60=Parametres!$G$2,$Q60=Parametres!$G$3),I60,C60)</f>
        <v>0.26</v>
      </c>
      <c r="O60" s="661">
        <f>+IF(OR($Q60=Parametres!$G$2,$Q60=Parametres!$G$3),J60,D60)</f>
        <v>0</v>
      </c>
      <c r="P60" s="657">
        <f>+IF(OR($Q60=Parametres!$G$2,$Q60=Parametres!$G$3),K60,E60)</f>
        <v>0.26</v>
      </c>
      <c r="Q60" s="656" t="str">
        <f t="shared" ref="Q60:S60" si="60">+F60</f>
        <v>1-Mémo</v>
      </c>
      <c r="R60" s="655" t="str">
        <f t="shared" si="60"/>
        <v>42</v>
      </c>
      <c r="S60" s="656">
        <f t="shared" si="60"/>
        <v>0</v>
      </c>
      <c r="T60" s="658" t="str">
        <f>+VLOOKUP($L60,Data_Validation!$A:$D,1,0)</f>
        <v>430</v>
      </c>
      <c r="U60" s="658">
        <f>+VLOOKUP($L60,Data_Validation!$A:$D,3,0)</f>
        <v>0</v>
      </c>
      <c r="V60" s="658">
        <f>+VLOOKUP($L60,Data_Validation!$A:$D,4,0)</f>
        <v>0</v>
      </c>
      <c r="W60" s="658">
        <f>+VLOOKUP($L60,Data_Validation!$A:$E,5,0)</f>
        <v>0</v>
      </c>
      <c r="X60" s="658">
        <f>+VLOOKUP($L60,Data_Validation!$A:$F,6,0)</f>
        <v>0</v>
      </c>
    </row>
    <row r="61" spans="1:24" ht="15" customHeight="1">
      <c r="A61" s="1055" t="s">
        <v>785</v>
      </c>
      <c r="B61" s="1055" t="s">
        <v>1952</v>
      </c>
      <c r="C61" s="1056"/>
      <c r="D61" s="1056"/>
      <c r="E61" s="1056"/>
      <c r="F61" s="1055" t="s">
        <v>2</v>
      </c>
      <c r="G61" s="1055" t="s">
        <v>3332</v>
      </c>
      <c r="H61" s="1056"/>
      <c r="I61" s="1057">
        <v>0.27</v>
      </c>
      <c r="J61" s="1057">
        <v>0</v>
      </c>
      <c r="K61" s="1057">
        <v>0.27</v>
      </c>
      <c r="L61" s="655" t="str">
        <f t="shared" si="2"/>
        <v>431</v>
      </c>
      <c r="M61" s="656" t="str">
        <f t="shared" si="0"/>
        <v>UNITES USAGES DET./ NOV.</v>
      </c>
      <c r="N61" s="657">
        <f>+IF(OR($Q61=Parametres!$G$2,$Q61=Parametres!$G$3),I61,C61)</f>
        <v>0.27</v>
      </c>
      <c r="O61" s="661">
        <f>+IF(OR($Q61=Parametres!$G$2,$Q61=Parametres!$G$3),J61,D61)</f>
        <v>0</v>
      </c>
      <c r="P61" s="657">
        <f>+IF(OR($Q61=Parametres!$G$2,$Q61=Parametres!$G$3),K61,E61)</f>
        <v>0.27</v>
      </c>
      <c r="Q61" s="656" t="str">
        <f t="shared" ref="Q61:S61" si="61">+F61</f>
        <v>1-Mémo</v>
      </c>
      <c r="R61" s="655" t="str">
        <f t="shared" si="61"/>
        <v>42</v>
      </c>
      <c r="S61" s="656">
        <f t="shared" si="61"/>
        <v>0</v>
      </c>
      <c r="T61" s="658" t="str">
        <f>+VLOOKUP($L61,Data_Validation!$A:$D,1,0)</f>
        <v>431</v>
      </c>
      <c r="U61" s="658">
        <f>+VLOOKUP($L61,Data_Validation!$A:$D,3,0)</f>
        <v>0</v>
      </c>
      <c r="V61" s="658">
        <f>+VLOOKUP($L61,Data_Validation!$A:$D,4,0)</f>
        <v>0</v>
      </c>
      <c r="W61" s="658">
        <f>+VLOOKUP($L61,Data_Validation!$A:$E,5,0)</f>
        <v>0</v>
      </c>
      <c r="X61" s="658">
        <f>+VLOOKUP($L61,Data_Validation!$A:$F,6,0)</f>
        <v>0</v>
      </c>
    </row>
    <row r="62" spans="1:24" ht="15" customHeight="1">
      <c r="A62" s="1055" t="s">
        <v>3669</v>
      </c>
      <c r="B62" s="1055" t="s">
        <v>3358</v>
      </c>
      <c r="C62" s="1056"/>
      <c r="D62" s="1056"/>
      <c r="E62" s="1056"/>
      <c r="F62" s="1055" t="s">
        <v>2</v>
      </c>
      <c r="G62" s="1055" t="s">
        <v>3332</v>
      </c>
      <c r="H62" s="1056"/>
      <c r="I62" s="1057">
        <v>0</v>
      </c>
      <c r="J62" s="1057">
        <v>0.25</v>
      </c>
      <c r="K62" s="1057">
        <v>0.25</v>
      </c>
      <c r="L62" s="655" t="str">
        <f t="shared" si="2"/>
        <v>432</v>
      </c>
      <c r="M62" s="656" t="str">
        <f t="shared" si="0"/>
        <v>UNITES USAGES DET./ DEC</v>
      </c>
      <c r="N62" s="657">
        <f>+IF(OR($Q62=Parametres!$G$2,$Q62=Parametres!$G$3),I62,C62)</f>
        <v>0</v>
      </c>
      <c r="O62" s="657">
        <f>+IF(OR($Q62=Parametres!$G$2,$Q62=Parametres!$G$3),J62,D62)</f>
        <v>0.25</v>
      </c>
      <c r="P62" s="657">
        <f>+IF(OR($Q62=Parametres!$G$2,$Q62=Parametres!$G$3),K62,E62)</f>
        <v>0.25</v>
      </c>
      <c r="Q62" s="656" t="str">
        <f t="shared" ref="Q62:S62" si="62">+F62</f>
        <v>1-Mémo</v>
      </c>
      <c r="R62" s="655" t="str">
        <f t="shared" si="62"/>
        <v>42</v>
      </c>
      <c r="S62" s="656">
        <f t="shared" si="62"/>
        <v>0</v>
      </c>
      <c r="T62" s="658" t="str">
        <f>+VLOOKUP($L62,Data_Validation!$A:$D,1,0)</f>
        <v>432</v>
      </c>
      <c r="U62" s="658">
        <f>+VLOOKUP($L62,Data_Validation!$A:$D,3,0)</f>
        <v>0</v>
      </c>
      <c r="V62" s="658">
        <f>+VLOOKUP($L62,Data_Validation!$A:$D,4,0)</f>
        <v>0</v>
      </c>
      <c r="W62" s="658">
        <f>+VLOOKUP($L62,Data_Validation!$A:$E,5,0)</f>
        <v>0</v>
      </c>
      <c r="X62" s="658">
        <f>+VLOOKUP($L62,Data_Validation!$A:$F,6,0)</f>
        <v>0</v>
      </c>
    </row>
    <row r="63" spans="1:24" ht="15" customHeight="1">
      <c r="A63" s="1055" t="s">
        <v>786</v>
      </c>
      <c r="B63" s="1055" t="s">
        <v>2057</v>
      </c>
      <c r="C63" s="1056"/>
      <c r="D63" s="1056"/>
      <c r="E63" s="1056"/>
      <c r="F63" s="1055" t="s">
        <v>2</v>
      </c>
      <c r="G63" s="1055" t="s">
        <v>787</v>
      </c>
      <c r="H63" s="1056"/>
      <c r="I63" s="1057">
        <v>1</v>
      </c>
      <c r="J63" s="1057">
        <v>0</v>
      </c>
      <c r="K63" s="1057">
        <v>1</v>
      </c>
      <c r="L63" s="655" t="str">
        <f t="shared" si="2"/>
        <v>500</v>
      </c>
      <c r="M63" s="656" t="str">
        <f t="shared" si="0"/>
        <v>PROPRIETAIRES</v>
      </c>
      <c r="N63" s="657">
        <f>+IF(OR($Q63=Parametres!$G$2,$Q63=Parametres!$G$3),I63,C63)</f>
        <v>1</v>
      </c>
      <c r="O63" s="657">
        <f>+IF(OR($Q63=Parametres!$G$2,$Q63=Parametres!$G$3),J63,D63)</f>
        <v>0</v>
      </c>
      <c r="P63" s="657">
        <f>+IF(OR($Q63=Parametres!$G$2,$Q63=Parametres!$G$3),K63,E63)</f>
        <v>1</v>
      </c>
      <c r="Q63" s="656" t="str">
        <f t="shared" ref="Q63:S63" si="63">+F63</f>
        <v>1-Mémo</v>
      </c>
      <c r="R63" s="655" t="str">
        <f t="shared" si="63"/>
        <v>50</v>
      </c>
      <c r="S63" s="656">
        <f t="shared" si="63"/>
        <v>0</v>
      </c>
      <c r="T63" s="658" t="str">
        <f>+VLOOKUP($L63,Data_Validation!$A:$D,1,0)</f>
        <v>500</v>
      </c>
      <c r="U63" s="658">
        <f>+VLOOKUP($L63,Data_Validation!$A:$D,3,0)</f>
        <v>0</v>
      </c>
      <c r="V63" s="658">
        <f>+VLOOKUP($L63,Data_Validation!$A:$D,4,0)</f>
        <v>0</v>
      </c>
      <c r="W63" s="658" t="str">
        <f>+VLOOKUP($L63,Data_Validation!$A:$E,5,0)</f>
        <v>$</v>
      </c>
      <c r="X63" s="658">
        <f>+VLOOKUP($L63,Data_Validation!$A:$F,6,0)</f>
        <v>0</v>
      </c>
    </row>
    <row r="64" spans="1:24" ht="15" customHeight="1">
      <c r="A64" s="1055" t="s">
        <v>788</v>
      </c>
      <c r="B64" s="1055" t="s">
        <v>1115</v>
      </c>
      <c r="C64" s="1056"/>
      <c r="D64" s="1056"/>
      <c r="E64" s="1056"/>
      <c r="F64" s="1055" t="s">
        <v>2</v>
      </c>
      <c r="G64" s="1055" t="s">
        <v>787</v>
      </c>
      <c r="H64" s="1056"/>
      <c r="I64" s="1057">
        <v>0.5</v>
      </c>
      <c r="J64" s="1057">
        <v>0</v>
      </c>
      <c r="K64" s="1057">
        <v>0.5</v>
      </c>
      <c r="L64" s="655" t="str">
        <f t="shared" si="2"/>
        <v>511</v>
      </c>
      <c r="M64" s="656" t="str">
        <f t="shared" si="0"/>
        <v>DIR. GENERAL NEUFS</v>
      </c>
      <c r="N64" s="657">
        <f>+IF(OR($Q64=Parametres!$G$2,$Q64=Parametres!$G$3),I64,C64)</f>
        <v>0.5</v>
      </c>
      <c r="O64" s="657">
        <f>+IF(OR($Q64=Parametres!$G$2,$Q64=Parametres!$G$3),J64,D64)</f>
        <v>0</v>
      </c>
      <c r="P64" s="657">
        <f>+IF(OR($Q64=Parametres!$G$2,$Q64=Parametres!$G$3),K64,E64)</f>
        <v>0.5</v>
      </c>
      <c r="Q64" s="656" t="str">
        <f t="shared" ref="Q64:S64" si="64">+F64</f>
        <v>1-Mémo</v>
      </c>
      <c r="R64" s="655" t="str">
        <f t="shared" si="64"/>
        <v>50</v>
      </c>
      <c r="S64" s="656">
        <f t="shared" si="64"/>
        <v>0</v>
      </c>
      <c r="T64" s="658" t="str">
        <f>+VLOOKUP($L64,Data_Validation!$A:$D,1,0)</f>
        <v>511</v>
      </c>
      <c r="U64" s="658">
        <f>+VLOOKUP($L64,Data_Validation!$A:$D,3,0)</f>
        <v>0</v>
      </c>
      <c r="V64" s="658">
        <f>+VLOOKUP($L64,Data_Validation!$A:$D,4,0)</f>
        <v>0</v>
      </c>
      <c r="W64" s="658" t="str">
        <f>+VLOOKUP($L64,Data_Validation!$A:$E,5,0)</f>
        <v>$</v>
      </c>
      <c r="X64" s="658">
        <f>+VLOOKUP($L64,Data_Validation!$A:$F,6,0)</f>
        <v>0</v>
      </c>
    </row>
    <row r="65" spans="1:24" ht="15" customHeight="1">
      <c r="A65" s="1055" t="s">
        <v>789</v>
      </c>
      <c r="B65" s="1055" t="s">
        <v>2089</v>
      </c>
      <c r="C65" s="1056"/>
      <c r="D65" s="1056"/>
      <c r="E65" s="1056"/>
      <c r="F65" s="1055" t="s">
        <v>2</v>
      </c>
      <c r="G65" s="1055" t="s">
        <v>787</v>
      </c>
      <c r="H65" s="1056"/>
      <c r="I65" s="1057">
        <v>0.5</v>
      </c>
      <c r="J65" s="1057">
        <v>0</v>
      </c>
      <c r="K65" s="1057">
        <v>0.5</v>
      </c>
      <c r="L65" s="655" t="str">
        <f t="shared" si="2"/>
        <v>512</v>
      </c>
      <c r="M65" s="656" t="str">
        <f t="shared" si="0"/>
        <v>DIR. GENERAL USAGES</v>
      </c>
      <c r="N65" s="657">
        <f>+IF(OR($Q65=Parametres!$G$2,$Q65=Parametres!$G$3),I65,C65)</f>
        <v>0.5</v>
      </c>
      <c r="O65" s="713">
        <f>+IF(OR($Q65=Parametres!$G$2,$Q65=Parametres!$G$3),J65,D65)</f>
        <v>0</v>
      </c>
      <c r="P65" s="657">
        <f>+IF(OR($Q65=Parametres!$G$2,$Q65=Parametres!$G$3),K65,E65)</f>
        <v>0.5</v>
      </c>
      <c r="Q65" s="656" t="str">
        <f t="shared" ref="Q65:S65" si="65">+F65</f>
        <v>1-Mémo</v>
      </c>
      <c r="R65" s="655" t="str">
        <f t="shared" si="65"/>
        <v>50</v>
      </c>
      <c r="S65" s="656">
        <f t="shared" si="65"/>
        <v>0</v>
      </c>
      <c r="T65" s="658" t="str">
        <f>+VLOOKUP($L65,Data_Validation!$A:$D,1,0)</f>
        <v>512</v>
      </c>
      <c r="U65" s="658">
        <f>+VLOOKUP($L65,Data_Validation!$A:$D,3,0)</f>
        <v>0</v>
      </c>
      <c r="V65" s="658">
        <f>+VLOOKUP($L65,Data_Validation!$A:$D,4,0)</f>
        <v>0</v>
      </c>
      <c r="W65" s="658" t="str">
        <f>+VLOOKUP($L65,Data_Validation!$A:$E,5,0)</f>
        <v>$</v>
      </c>
      <c r="X65" s="658">
        <f>+VLOOKUP($L65,Data_Validation!$A:$F,6,0)</f>
        <v>0</v>
      </c>
    </row>
    <row r="66" spans="1:24" ht="15" customHeight="1">
      <c r="A66" s="1055" t="s">
        <v>790</v>
      </c>
      <c r="B66" s="1055" t="s">
        <v>1122</v>
      </c>
      <c r="C66" s="1056"/>
      <c r="D66" s="1056"/>
      <c r="E66" s="1056"/>
      <c r="F66" s="1055" t="s">
        <v>2</v>
      </c>
      <c r="G66" s="1055" t="s">
        <v>787</v>
      </c>
      <c r="H66" s="1056"/>
      <c r="I66" s="1057">
        <v>0.5</v>
      </c>
      <c r="J66" s="1057">
        <v>0</v>
      </c>
      <c r="K66" s="1057">
        <v>0.5</v>
      </c>
      <c r="L66" s="655" t="str">
        <f t="shared" si="2"/>
        <v>514</v>
      </c>
      <c r="M66" s="656" t="str">
        <f t="shared" si="0"/>
        <v>DIR. GENERAL SERVICE</v>
      </c>
      <c r="N66" s="657">
        <f>+IF(OR($Q66=Parametres!$G$2,$Q66=Parametres!$G$3),I66,C66)</f>
        <v>0.5</v>
      </c>
      <c r="O66" s="657">
        <f>+IF(OR($Q66=Parametres!$G$2,$Q66=Parametres!$G$3),J66,D66)</f>
        <v>0</v>
      </c>
      <c r="P66" s="657">
        <f>+IF(OR($Q66=Parametres!$G$2,$Q66=Parametres!$G$3),K66,E66)</f>
        <v>0.5</v>
      </c>
      <c r="Q66" s="656" t="str">
        <f t="shared" ref="Q66:S66" si="66">+F66</f>
        <v>1-Mémo</v>
      </c>
      <c r="R66" s="655" t="str">
        <f t="shared" si="66"/>
        <v>50</v>
      </c>
      <c r="S66" s="656">
        <f t="shared" si="66"/>
        <v>0</v>
      </c>
      <c r="T66" s="658" t="str">
        <f>+VLOOKUP($L66,Data_Validation!$A:$D,1,0)</f>
        <v>514</v>
      </c>
      <c r="U66" s="658">
        <f>+VLOOKUP($L66,Data_Validation!$A:$D,3,0)</f>
        <v>0</v>
      </c>
      <c r="V66" s="658">
        <f>+VLOOKUP($L66,Data_Validation!$A:$D,4,0)</f>
        <v>0</v>
      </c>
      <c r="W66" s="658" t="str">
        <f>+VLOOKUP($L66,Data_Validation!$A:$E,5,0)</f>
        <v>$</v>
      </c>
      <c r="X66" s="658">
        <f>+VLOOKUP($L66,Data_Validation!$A:$F,6,0)</f>
        <v>0</v>
      </c>
    </row>
    <row r="67" spans="1:24" ht="15" customHeight="1">
      <c r="A67" s="1055" t="s">
        <v>791</v>
      </c>
      <c r="B67" s="1055" t="s">
        <v>2112</v>
      </c>
      <c r="C67" s="1056"/>
      <c r="D67" s="1056"/>
      <c r="E67" s="1056"/>
      <c r="F67" s="1055" t="s">
        <v>2</v>
      </c>
      <c r="G67" s="1055" t="s">
        <v>787</v>
      </c>
      <c r="H67" s="1056"/>
      <c r="I67" s="1057">
        <v>0.5</v>
      </c>
      <c r="J67" s="1057">
        <v>0</v>
      </c>
      <c r="K67" s="1057">
        <v>0.5</v>
      </c>
      <c r="L67" s="655" t="str">
        <f t="shared" ref="L67:L130" si="67">TEXT(B67,0)</f>
        <v>517</v>
      </c>
      <c r="M67" s="656" t="str">
        <f t="shared" si="0"/>
        <v>DIR. GENERAL PIECES</v>
      </c>
      <c r="N67" s="657">
        <f>+IF(OR($Q67=Parametres!$G$2,$Q67=Parametres!$G$3),I67,C67)</f>
        <v>0.5</v>
      </c>
      <c r="O67" s="661">
        <f>+IF(OR($Q67=Parametres!$G$2,$Q67=Parametres!$G$3),J67,D67)</f>
        <v>0</v>
      </c>
      <c r="P67" s="657">
        <f>+IF(OR($Q67=Parametres!$G$2,$Q67=Parametres!$G$3),K67,E67)</f>
        <v>0.5</v>
      </c>
      <c r="Q67" s="656" t="str">
        <f t="shared" ref="Q67:S67" si="68">+F67</f>
        <v>1-Mémo</v>
      </c>
      <c r="R67" s="655" t="str">
        <f t="shared" si="68"/>
        <v>50</v>
      </c>
      <c r="S67" s="656">
        <f t="shared" si="68"/>
        <v>0</v>
      </c>
      <c r="T67" s="658" t="str">
        <f>+VLOOKUP($L67,Data_Validation!$A:$D,1,0)</f>
        <v>517</v>
      </c>
      <c r="U67" s="658">
        <f>+VLOOKUP($L67,Data_Validation!$A:$D,3,0)</f>
        <v>0</v>
      </c>
      <c r="V67" s="658">
        <f>+VLOOKUP($L67,Data_Validation!$A:$D,4,0)</f>
        <v>0</v>
      </c>
      <c r="W67" s="658" t="str">
        <f>+VLOOKUP($L67,Data_Validation!$A:$E,5,0)</f>
        <v>$</v>
      </c>
      <c r="X67" s="658">
        <f>+VLOOKUP($L67,Data_Validation!$A:$F,6,0)</f>
        <v>0</v>
      </c>
    </row>
    <row r="68" spans="1:24" ht="15" customHeight="1">
      <c r="A68" s="1055" t="s">
        <v>792</v>
      </c>
      <c r="B68" s="1055" t="s">
        <v>2121</v>
      </c>
      <c r="C68" s="1056"/>
      <c r="D68" s="1056"/>
      <c r="E68" s="1056"/>
      <c r="F68" s="1055" t="s">
        <v>2</v>
      </c>
      <c r="G68" s="1055" t="s">
        <v>787</v>
      </c>
      <c r="H68" s="1056"/>
      <c r="I68" s="1057">
        <v>0.5</v>
      </c>
      <c r="J68" s="1057">
        <v>0</v>
      </c>
      <c r="K68" s="1057">
        <v>0.5</v>
      </c>
      <c r="L68" s="655" t="str">
        <f t="shared" si="67"/>
        <v>521</v>
      </c>
      <c r="M68" s="656" t="str">
        <f t="shared" si="0"/>
        <v>DIR. SERVICE NEUFS</v>
      </c>
      <c r="N68" s="657">
        <f>+IF(OR($Q68=Parametres!$G$2,$Q68=Parametres!$G$3),I68,C68)</f>
        <v>0.5</v>
      </c>
      <c r="O68" s="657">
        <f>+IF(OR($Q68=Parametres!$G$2,$Q68=Parametres!$G$3),J68,D68)</f>
        <v>0</v>
      </c>
      <c r="P68" s="657">
        <f>+IF(OR($Q68=Parametres!$G$2,$Q68=Parametres!$G$3),K68,E68)</f>
        <v>0.5</v>
      </c>
      <c r="Q68" s="656" t="str">
        <f t="shared" ref="Q68:S68" si="69">+F68</f>
        <v>1-Mémo</v>
      </c>
      <c r="R68" s="655" t="str">
        <f t="shared" si="69"/>
        <v>50</v>
      </c>
      <c r="S68" s="656">
        <f t="shared" si="69"/>
        <v>0</v>
      </c>
      <c r="T68" s="658" t="str">
        <f>+VLOOKUP($L68,Data_Validation!$A:$D,1,0)</f>
        <v>521</v>
      </c>
      <c r="U68" s="658">
        <f>+VLOOKUP($L68,Data_Validation!$A:$D,3,0)</f>
        <v>0</v>
      </c>
      <c r="V68" s="658">
        <f>+VLOOKUP($L68,Data_Validation!$A:$D,4,0)</f>
        <v>0</v>
      </c>
      <c r="W68" s="658" t="str">
        <f>+VLOOKUP($L68,Data_Validation!$A:$E,5,0)</f>
        <v>$</v>
      </c>
      <c r="X68" s="658">
        <f>+VLOOKUP($L68,Data_Validation!$A:$F,6,0)</f>
        <v>0</v>
      </c>
    </row>
    <row r="69" spans="1:24" ht="15" customHeight="1">
      <c r="A69" s="1055" t="s">
        <v>793</v>
      </c>
      <c r="B69" s="1055" t="s">
        <v>2130</v>
      </c>
      <c r="C69" s="1056"/>
      <c r="D69" s="1056"/>
      <c r="E69" s="1056"/>
      <c r="F69" s="1055" t="s">
        <v>2</v>
      </c>
      <c r="G69" s="1055" t="s">
        <v>787</v>
      </c>
      <c r="H69" s="1056"/>
      <c r="I69" s="1057">
        <v>0.5</v>
      </c>
      <c r="J69" s="1057">
        <v>0</v>
      </c>
      <c r="K69" s="1057">
        <v>0.5</v>
      </c>
      <c r="L69" s="655" t="str">
        <f t="shared" si="67"/>
        <v>522</v>
      </c>
      <c r="M69" s="656" t="str">
        <f t="shared" si="0"/>
        <v>DIR. SERVICE USAGES</v>
      </c>
      <c r="N69" s="657">
        <f>+IF(OR($Q69=Parametres!$G$2,$Q69=Parametres!$G$3),I69,C69)</f>
        <v>0.5</v>
      </c>
      <c r="O69" s="657">
        <f>+IF(OR($Q69=Parametres!$G$2,$Q69=Parametres!$G$3),J69,D69)</f>
        <v>0</v>
      </c>
      <c r="P69" s="657">
        <f>+IF(OR($Q69=Parametres!$G$2,$Q69=Parametres!$G$3),K69,E69)</f>
        <v>0.5</v>
      </c>
      <c r="Q69" s="656" t="str">
        <f t="shared" ref="Q69:S69" si="70">+F69</f>
        <v>1-Mémo</v>
      </c>
      <c r="R69" s="655" t="str">
        <f t="shared" si="70"/>
        <v>50</v>
      </c>
      <c r="S69" s="656">
        <f t="shared" si="70"/>
        <v>0</v>
      </c>
      <c r="T69" s="658" t="str">
        <f>+VLOOKUP($L69,Data_Validation!$A:$D,1,0)</f>
        <v>522</v>
      </c>
      <c r="U69" s="658">
        <f>+VLOOKUP($L69,Data_Validation!$A:$D,3,0)</f>
        <v>0</v>
      </c>
      <c r="V69" s="658">
        <f>+VLOOKUP($L69,Data_Validation!$A:$D,4,0)</f>
        <v>0</v>
      </c>
      <c r="W69" s="658" t="str">
        <f>+VLOOKUP($L69,Data_Validation!$A:$E,5,0)</f>
        <v>$</v>
      </c>
      <c r="X69" s="658">
        <f>+VLOOKUP($L69,Data_Validation!$A:$F,6,0)</f>
        <v>0</v>
      </c>
    </row>
    <row r="70" spans="1:24" ht="15" customHeight="1">
      <c r="A70" s="1055" t="s">
        <v>794</v>
      </c>
      <c r="B70" s="1055" t="s">
        <v>2133</v>
      </c>
      <c r="C70" s="1056"/>
      <c r="D70" s="1056"/>
      <c r="E70" s="1056"/>
      <c r="F70" s="1055" t="s">
        <v>2</v>
      </c>
      <c r="G70" s="1055" t="s">
        <v>787</v>
      </c>
      <c r="H70" s="1056"/>
      <c r="I70" s="1057">
        <v>1</v>
      </c>
      <c r="J70" s="1057">
        <v>0</v>
      </c>
      <c r="K70" s="1057">
        <v>1</v>
      </c>
      <c r="L70" s="655" t="str">
        <f t="shared" si="67"/>
        <v>524</v>
      </c>
      <c r="M70" s="656" t="str">
        <f t="shared" si="0"/>
        <v>DIR. SERVICE SERVICE</v>
      </c>
      <c r="N70" s="657">
        <f>+IF(OR($Q70=Parametres!$G$2,$Q70=Parametres!$G$3),I70,C70)</f>
        <v>1</v>
      </c>
      <c r="O70" s="657">
        <f>+IF(OR($Q70=Parametres!$G$2,$Q70=Parametres!$G$3),J70,D70)</f>
        <v>0</v>
      </c>
      <c r="P70" s="657">
        <f>+IF(OR($Q70=Parametres!$G$2,$Q70=Parametres!$G$3),K70,E70)</f>
        <v>1</v>
      </c>
      <c r="Q70" s="656" t="str">
        <f t="shared" ref="Q70:S70" si="71">+F70</f>
        <v>1-Mémo</v>
      </c>
      <c r="R70" s="655" t="str">
        <f t="shared" si="71"/>
        <v>50</v>
      </c>
      <c r="S70" s="656">
        <f t="shared" si="71"/>
        <v>0</v>
      </c>
      <c r="T70" s="658" t="str">
        <f>+VLOOKUP($L70,Data_Validation!$A:$D,1,0)</f>
        <v>524</v>
      </c>
      <c r="U70" s="658">
        <f>+VLOOKUP($L70,Data_Validation!$A:$D,3,0)</f>
        <v>0</v>
      </c>
      <c r="V70" s="658">
        <f>+VLOOKUP($L70,Data_Validation!$A:$D,4,0)</f>
        <v>0</v>
      </c>
      <c r="W70" s="658" t="str">
        <f>+VLOOKUP($L70,Data_Validation!$A:$E,5,0)</f>
        <v>$</v>
      </c>
      <c r="X70" s="658">
        <f>+VLOOKUP($L70,Data_Validation!$A:$F,6,0)</f>
        <v>0</v>
      </c>
    </row>
    <row r="71" spans="1:24" ht="15" customHeight="1">
      <c r="A71" s="1055" t="s">
        <v>795</v>
      </c>
      <c r="B71" s="1055" t="s">
        <v>2135</v>
      </c>
      <c r="C71" s="1056"/>
      <c r="D71" s="1056"/>
      <c r="E71" s="1056"/>
      <c r="F71" s="1055" t="s">
        <v>2</v>
      </c>
      <c r="G71" s="1055" t="s">
        <v>787</v>
      </c>
      <c r="H71" s="1056"/>
      <c r="I71" s="1057">
        <v>1</v>
      </c>
      <c r="J71" s="1057">
        <v>0</v>
      </c>
      <c r="K71" s="1057">
        <v>1</v>
      </c>
      <c r="L71" s="655" t="str">
        <f t="shared" si="67"/>
        <v>527</v>
      </c>
      <c r="M71" s="656" t="str">
        <f t="shared" si="0"/>
        <v>DIR. SERVICE PIECES</v>
      </c>
      <c r="N71" s="657">
        <f>+IF(OR($Q71=Parametres!$G$2,$Q71=Parametres!$G$3),I71,C71)</f>
        <v>1</v>
      </c>
      <c r="O71" s="661">
        <f>+IF(OR($Q71=Parametres!$G$2,$Q71=Parametres!$G$3),J71,D71)</f>
        <v>0</v>
      </c>
      <c r="P71" s="657">
        <f>+IF(OR($Q71=Parametres!$G$2,$Q71=Parametres!$G$3),K71,E71)</f>
        <v>1</v>
      </c>
      <c r="Q71" s="656" t="str">
        <f t="shared" ref="Q71:S71" si="72">+F71</f>
        <v>1-Mémo</v>
      </c>
      <c r="R71" s="655" t="str">
        <f t="shared" si="72"/>
        <v>50</v>
      </c>
      <c r="S71" s="656">
        <f t="shared" si="72"/>
        <v>0</v>
      </c>
      <c r="T71" s="658" t="str">
        <f>+VLOOKUP($L71,Data_Validation!$A:$D,1,0)</f>
        <v>527</v>
      </c>
      <c r="U71" s="658">
        <f>+VLOOKUP($L71,Data_Validation!$A:$D,3,0)</f>
        <v>0</v>
      </c>
      <c r="V71" s="658">
        <f>+VLOOKUP($L71,Data_Validation!$A:$D,4,0)</f>
        <v>0</v>
      </c>
      <c r="W71" s="658" t="str">
        <f>+VLOOKUP($L71,Data_Validation!$A:$E,5,0)</f>
        <v>$</v>
      </c>
      <c r="X71" s="658">
        <f>+VLOOKUP($L71,Data_Validation!$A:$F,6,0)</f>
        <v>0</v>
      </c>
    </row>
    <row r="72" spans="1:24" ht="15" customHeight="1">
      <c r="A72" s="1055" t="s">
        <v>796</v>
      </c>
      <c r="B72" s="1055" t="s">
        <v>2159</v>
      </c>
      <c r="C72" s="1056"/>
      <c r="D72" s="1056"/>
      <c r="E72" s="1056"/>
      <c r="F72" s="1055" t="s">
        <v>2</v>
      </c>
      <c r="G72" s="1055" t="s">
        <v>3333</v>
      </c>
      <c r="H72" s="1056"/>
      <c r="I72" s="1057">
        <v>6</v>
      </c>
      <c r="J72" s="1057">
        <v>0</v>
      </c>
      <c r="K72" s="1057">
        <v>6</v>
      </c>
      <c r="L72" s="655" t="str">
        <f t="shared" si="67"/>
        <v>541</v>
      </c>
      <c r="M72" s="656" t="str">
        <f t="shared" si="0"/>
        <v>VW REP. DES VENTES - NEUF</v>
      </c>
      <c r="N72" s="657">
        <f>+IF(OR($Q72=Parametres!$G$2,$Q72=Parametres!$G$3),I72,C72)</f>
        <v>6</v>
      </c>
      <c r="O72" s="657">
        <f>+IF(OR($Q72=Parametres!$G$2,$Q72=Parametres!$G$3),J72,D72)</f>
        <v>0</v>
      </c>
      <c r="P72" s="657">
        <f>+IF(OR($Q72=Parametres!$G$2,$Q72=Parametres!$G$3),K72,E72)</f>
        <v>6</v>
      </c>
      <c r="Q72" s="656" t="str">
        <f t="shared" ref="Q72:S72" si="73">+F72</f>
        <v>1-Mémo</v>
      </c>
      <c r="R72" s="655" t="str">
        <f t="shared" si="73"/>
        <v>54</v>
      </c>
      <c r="S72" s="656">
        <f t="shared" si="73"/>
        <v>0</v>
      </c>
      <c r="T72" s="658" t="str">
        <f>+VLOOKUP($L72,Data_Validation!$A:$D,1,0)</f>
        <v>541</v>
      </c>
      <c r="U72" s="658">
        <f>+VLOOKUP($L72,Data_Validation!$A:$D,3,0)</f>
        <v>0</v>
      </c>
      <c r="V72" s="658">
        <f>+VLOOKUP($L72,Data_Validation!$A:$D,4,0)</f>
        <v>0</v>
      </c>
      <c r="W72" s="658" t="str">
        <f>+VLOOKUP($L72,Data_Validation!$A:$E,5,0)</f>
        <v>$</v>
      </c>
      <c r="X72" s="658">
        <f>+VLOOKUP($L72,Data_Validation!$A:$F,6,0)</f>
        <v>0</v>
      </c>
    </row>
    <row r="73" spans="1:24" ht="15" customHeight="1">
      <c r="A73" s="1055" t="s">
        <v>797</v>
      </c>
      <c r="B73" s="1055" t="s">
        <v>2165</v>
      </c>
      <c r="C73" s="1056"/>
      <c r="D73" s="1056"/>
      <c r="E73" s="1056"/>
      <c r="F73" s="1055" t="s">
        <v>2</v>
      </c>
      <c r="G73" s="1055" t="s">
        <v>787</v>
      </c>
      <c r="H73" s="1056"/>
      <c r="I73" s="1057">
        <v>3</v>
      </c>
      <c r="J73" s="1057">
        <v>0</v>
      </c>
      <c r="K73" s="1057">
        <v>3</v>
      </c>
      <c r="L73" s="655" t="str">
        <f t="shared" si="67"/>
        <v>542</v>
      </c>
      <c r="M73" s="656" t="str">
        <f t="shared" si="0"/>
        <v>VW REP. DES VENTES - OCC.</v>
      </c>
      <c r="N73" s="657">
        <f>+IF(OR($Q73=Parametres!$G$2,$Q73=Parametres!$G$3),I73,C73)</f>
        <v>3</v>
      </c>
      <c r="O73" s="657">
        <f>+IF(OR($Q73=Parametres!$G$2,$Q73=Parametres!$G$3),J73,D73)</f>
        <v>0</v>
      </c>
      <c r="P73" s="657">
        <f>+IF(OR($Q73=Parametres!$G$2,$Q73=Parametres!$G$3),K73,E73)</f>
        <v>3</v>
      </c>
      <c r="Q73" s="656" t="str">
        <f t="shared" ref="Q73:S73" si="74">+F73</f>
        <v>1-Mémo</v>
      </c>
      <c r="R73" s="655" t="str">
        <f t="shared" si="74"/>
        <v>50</v>
      </c>
      <c r="S73" s="656">
        <f t="shared" si="74"/>
        <v>0</v>
      </c>
      <c r="T73" s="658" t="str">
        <f>+VLOOKUP($L73,Data_Validation!$A:$D,1,0)</f>
        <v>542</v>
      </c>
      <c r="U73" s="658">
        <f>+VLOOKUP($L73,Data_Validation!$A:$D,3,0)</f>
        <v>0</v>
      </c>
      <c r="V73" s="658">
        <f>+VLOOKUP($L73,Data_Validation!$A:$D,4,0)</f>
        <v>0</v>
      </c>
      <c r="W73" s="658" t="str">
        <f>+VLOOKUP($L73,Data_Validation!$A:$E,5,0)</f>
        <v>$</v>
      </c>
      <c r="X73" s="658">
        <f>+VLOOKUP($L73,Data_Validation!$A:$F,6,0)</f>
        <v>0</v>
      </c>
    </row>
    <row r="74" spans="1:24" ht="15" customHeight="1">
      <c r="A74" s="1055" t="s">
        <v>798</v>
      </c>
      <c r="B74" s="1055" t="s">
        <v>2180</v>
      </c>
      <c r="C74" s="1056"/>
      <c r="D74" s="1056"/>
      <c r="E74" s="1056"/>
      <c r="F74" s="1055" t="s">
        <v>2</v>
      </c>
      <c r="G74" s="1055" t="s">
        <v>787</v>
      </c>
      <c r="H74" s="1056"/>
      <c r="I74" s="1057">
        <v>1.5</v>
      </c>
      <c r="J74" s="1057">
        <v>0</v>
      </c>
      <c r="K74" s="1057">
        <v>1.5</v>
      </c>
      <c r="L74" s="655" t="str">
        <f t="shared" si="67"/>
        <v>551</v>
      </c>
      <c r="M74" s="656" t="str">
        <f t="shared" si="0"/>
        <v>DIR. COMMERCIAL NEUFS</v>
      </c>
      <c r="N74" s="657">
        <f>+IF(OR($Q74=Parametres!$G$2,$Q74=Parametres!$G$3),I74,C74)</f>
        <v>1.5</v>
      </c>
      <c r="O74" s="657">
        <f>+IF(OR($Q74=Parametres!$G$2,$Q74=Parametres!$G$3),J74,D74)</f>
        <v>0</v>
      </c>
      <c r="P74" s="657">
        <f>+IF(OR($Q74=Parametres!$G$2,$Q74=Parametres!$G$3),K74,E74)</f>
        <v>1.5</v>
      </c>
      <c r="Q74" s="656" t="str">
        <f t="shared" ref="Q74:S74" si="75">+F74</f>
        <v>1-Mémo</v>
      </c>
      <c r="R74" s="655" t="str">
        <f t="shared" si="75"/>
        <v>50</v>
      </c>
      <c r="S74" s="656">
        <f t="shared" si="75"/>
        <v>0</v>
      </c>
      <c r="T74" s="658" t="str">
        <f>+VLOOKUP($L74,Data_Validation!$A:$D,1,0)</f>
        <v>551</v>
      </c>
      <c r="U74" s="658">
        <f>+VLOOKUP($L74,Data_Validation!$A:$D,3,0)</f>
        <v>0</v>
      </c>
      <c r="V74" s="658">
        <f>+VLOOKUP($L74,Data_Validation!$A:$D,4,0)</f>
        <v>0</v>
      </c>
      <c r="W74" s="658" t="str">
        <f>+VLOOKUP($L74,Data_Validation!$A:$E,5,0)</f>
        <v>$</v>
      </c>
      <c r="X74" s="658">
        <f>+VLOOKUP($L74,Data_Validation!$A:$F,6,0)</f>
        <v>0</v>
      </c>
    </row>
    <row r="75" spans="1:24" ht="15" customHeight="1">
      <c r="A75" s="1055" t="s">
        <v>799</v>
      </c>
      <c r="B75" s="1055" t="s">
        <v>2183</v>
      </c>
      <c r="C75" s="1056"/>
      <c r="D75" s="1056"/>
      <c r="E75" s="1056"/>
      <c r="F75" s="1055" t="s">
        <v>2</v>
      </c>
      <c r="G75" s="1055" t="s">
        <v>787</v>
      </c>
      <c r="H75" s="1056"/>
      <c r="I75" s="1057">
        <v>1.5</v>
      </c>
      <c r="J75" s="1057">
        <v>0</v>
      </c>
      <c r="K75" s="1057">
        <v>1.5</v>
      </c>
      <c r="L75" s="655" t="str">
        <f t="shared" si="67"/>
        <v>552</v>
      </c>
      <c r="M75" s="656" t="str">
        <f t="shared" si="0"/>
        <v>DIR. COMMERCIAL USAGES</v>
      </c>
      <c r="N75" s="657">
        <f>+IF(OR($Q75=Parametres!$G$2,$Q75=Parametres!$G$3),I75,C75)</f>
        <v>1.5</v>
      </c>
      <c r="O75" s="657">
        <f>+IF(OR($Q75=Parametres!$G$2,$Q75=Parametres!$G$3),J75,D75)</f>
        <v>0</v>
      </c>
      <c r="P75" s="657">
        <f>+IF(OR($Q75=Parametres!$G$2,$Q75=Parametres!$G$3),K75,E75)</f>
        <v>1.5</v>
      </c>
      <c r="Q75" s="656" t="str">
        <f t="shared" ref="Q75:S75" si="76">+F75</f>
        <v>1-Mémo</v>
      </c>
      <c r="R75" s="655" t="str">
        <f t="shared" si="76"/>
        <v>50</v>
      </c>
      <c r="S75" s="656">
        <f t="shared" si="76"/>
        <v>0</v>
      </c>
      <c r="T75" s="658" t="str">
        <f>+VLOOKUP($L75,Data_Validation!$A:$D,1,0)</f>
        <v>552</v>
      </c>
      <c r="U75" s="658">
        <f>+VLOOKUP($L75,Data_Validation!$A:$D,3,0)</f>
        <v>0</v>
      </c>
      <c r="V75" s="658">
        <f>+VLOOKUP($L75,Data_Validation!$A:$D,4,0)</f>
        <v>0</v>
      </c>
      <c r="W75" s="658" t="str">
        <f>+VLOOKUP($L75,Data_Validation!$A:$E,5,0)</f>
        <v>$</v>
      </c>
      <c r="X75" s="658">
        <f>+VLOOKUP($L75,Data_Validation!$A:$F,6,0)</f>
        <v>0</v>
      </c>
    </row>
    <row r="76" spans="1:24" ht="15" customHeight="1">
      <c r="A76" s="1055" t="s">
        <v>800</v>
      </c>
      <c r="B76" s="1055" t="s">
        <v>3359</v>
      </c>
      <c r="C76" s="1056"/>
      <c r="D76" s="1056"/>
      <c r="E76" s="1056"/>
      <c r="F76" s="1055" t="s">
        <v>2</v>
      </c>
      <c r="G76" s="1055" t="s">
        <v>787</v>
      </c>
      <c r="H76" s="1056"/>
      <c r="I76" s="1057">
        <v>1</v>
      </c>
      <c r="J76" s="1057">
        <v>0</v>
      </c>
      <c r="K76" s="1057">
        <v>1</v>
      </c>
      <c r="L76" s="655" t="str">
        <f t="shared" si="67"/>
        <v>564</v>
      </c>
      <c r="M76" s="656" t="str">
        <f t="shared" si="0"/>
        <v>CONTREMAITRE SERVICE</v>
      </c>
      <c r="N76" s="657">
        <f>+IF(OR($Q76=Parametres!$G$2,$Q76=Parametres!$G$3),I76,C76)</f>
        <v>1</v>
      </c>
      <c r="O76" s="657">
        <f>+IF(OR($Q76=Parametres!$G$2,$Q76=Parametres!$G$3),J76,D76)</f>
        <v>0</v>
      </c>
      <c r="P76" s="657">
        <f>+IF(OR($Q76=Parametres!$G$2,$Q76=Parametres!$G$3),K76,E76)</f>
        <v>1</v>
      </c>
      <c r="Q76" s="656" t="str">
        <f t="shared" ref="Q76:S76" si="77">+F76</f>
        <v>1-Mémo</v>
      </c>
      <c r="R76" s="655" t="str">
        <f t="shared" si="77"/>
        <v>50</v>
      </c>
      <c r="S76" s="656">
        <f t="shared" si="77"/>
        <v>0</v>
      </c>
      <c r="T76" s="658" t="str">
        <f>+VLOOKUP($L76,Data_Validation!$A:$D,1,0)</f>
        <v>564</v>
      </c>
      <c r="U76" s="658">
        <f>+VLOOKUP($L76,Data_Validation!$A:$D,3,0)</f>
        <v>0</v>
      </c>
      <c r="V76" s="658">
        <f>+VLOOKUP($L76,Data_Validation!$A:$D,4,0)</f>
        <v>0</v>
      </c>
      <c r="W76" s="658" t="str">
        <f>+VLOOKUP($L76,Data_Validation!$A:$E,5,0)</f>
        <v>$</v>
      </c>
      <c r="X76" s="658">
        <f>+VLOOKUP($L76,Data_Validation!$A:$F,6,0)</f>
        <v>0</v>
      </c>
    </row>
    <row r="77" spans="1:24" ht="15" customHeight="1">
      <c r="A77" s="1055" t="s">
        <v>801</v>
      </c>
      <c r="B77" s="1055" t="s">
        <v>2278</v>
      </c>
      <c r="C77" s="1056"/>
      <c r="D77" s="1056"/>
      <c r="E77" s="1056"/>
      <c r="F77" s="1055" t="s">
        <v>2</v>
      </c>
      <c r="G77" s="1055" t="s">
        <v>3334</v>
      </c>
      <c r="H77" s="1056"/>
      <c r="I77" s="1057">
        <v>5</v>
      </c>
      <c r="J77" s="1057">
        <v>0</v>
      </c>
      <c r="K77" s="1057">
        <v>5</v>
      </c>
      <c r="L77" s="655" t="str">
        <f t="shared" si="67"/>
        <v>614</v>
      </c>
      <c r="M77" s="656" t="str">
        <f t="shared" si="0"/>
        <v>VW CONSEILLERS SERVICE -SERVICE</v>
      </c>
      <c r="N77" s="657">
        <f>+IF(OR($Q77=Parametres!$G$2,$Q77=Parametres!$G$3),I77,C77)</f>
        <v>5</v>
      </c>
      <c r="O77" s="657">
        <f>+IF(OR($Q77=Parametres!$G$2,$Q77=Parametres!$G$3),J77,D77)</f>
        <v>0</v>
      </c>
      <c r="P77" s="657">
        <f>+IF(OR($Q77=Parametres!$G$2,$Q77=Parametres!$G$3),K77,E77)</f>
        <v>5</v>
      </c>
      <c r="Q77" s="656" t="str">
        <f t="shared" ref="Q77:S77" si="78">+F77</f>
        <v>1-Mémo</v>
      </c>
      <c r="R77" s="655" t="str">
        <f t="shared" si="78"/>
        <v>61</v>
      </c>
      <c r="S77" s="656">
        <f t="shared" si="78"/>
        <v>0</v>
      </c>
      <c r="T77" s="658" t="str">
        <f>+VLOOKUP($L77,Data_Validation!$A:$D,1,0)</f>
        <v>614</v>
      </c>
      <c r="U77" s="658">
        <f>+VLOOKUP($L77,Data_Validation!$A:$D,3,0)</f>
        <v>0</v>
      </c>
      <c r="V77" s="658">
        <f>+VLOOKUP($L77,Data_Validation!$A:$D,4,0)</f>
        <v>0</v>
      </c>
      <c r="W77" s="658" t="str">
        <f>+VLOOKUP($L77,Data_Validation!$A:$E,5,0)</f>
        <v>$</v>
      </c>
      <c r="X77" s="658">
        <f>+VLOOKUP($L77,Data_Validation!$A:$F,6,0)</f>
        <v>0</v>
      </c>
    </row>
    <row r="78" spans="1:24" ht="15" customHeight="1">
      <c r="A78" s="1055" t="s">
        <v>802</v>
      </c>
      <c r="B78" s="1055" t="s">
        <v>1210</v>
      </c>
      <c r="C78" s="1056"/>
      <c r="D78" s="1056"/>
      <c r="E78" s="1056"/>
      <c r="F78" s="1055" t="s">
        <v>2</v>
      </c>
      <c r="G78" s="1055" t="s">
        <v>3334</v>
      </c>
      <c r="H78" s="1056"/>
      <c r="I78" s="1057">
        <v>1</v>
      </c>
      <c r="J78" s="1057">
        <v>0</v>
      </c>
      <c r="K78" s="1057">
        <v>1</v>
      </c>
      <c r="L78" s="655" t="str">
        <f t="shared" si="67"/>
        <v>615</v>
      </c>
      <c r="M78" s="656" t="str">
        <f t="shared" si="0"/>
        <v>VW CONSEILLERS SERVICE - PIEC. &amp; CARR.&lt;</v>
      </c>
      <c r="N78" s="657">
        <f>+IF(OR($Q78=Parametres!$G$2,$Q78=Parametres!$G$3),I78,C78)</f>
        <v>1</v>
      </c>
      <c r="O78" s="661">
        <f>+IF(OR($Q78=Parametres!$G$2,$Q78=Parametres!$G$3),J78,D78)</f>
        <v>0</v>
      </c>
      <c r="P78" s="657">
        <f>+IF(OR($Q78=Parametres!$G$2,$Q78=Parametres!$G$3),K78,E78)</f>
        <v>1</v>
      </c>
      <c r="Q78" s="656" t="str">
        <f t="shared" ref="Q78:S78" si="79">+F78</f>
        <v>1-Mémo</v>
      </c>
      <c r="R78" s="655" t="str">
        <f t="shared" si="79"/>
        <v>61</v>
      </c>
      <c r="S78" s="656">
        <f t="shared" si="79"/>
        <v>0</v>
      </c>
      <c r="T78" s="658" t="str">
        <f>+VLOOKUP($L78,Data_Validation!$A:$D,1,0)</f>
        <v>615</v>
      </c>
      <c r="U78" s="658">
        <f>+VLOOKUP($L78,Data_Validation!$A:$D,3,0)</f>
        <v>0</v>
      </c>
      <c r="V78" s="658">
        <f>+VLOOKUP($L78,Data_Validation!$A:$D,4,0)</f>
        <v>0</v>
      </c>
      <c r="W78" s="658" t="str">
        <f>+VLOOKUP($L78,Data_Validation!$A:$E,5,0)</f>
        <v>$</v>
      </c>
      <c r="X78" s="658">
        <f>+VLOOKUP($L78,Data_Validation!$A:$F,6,0)</f>
        <v>0</v>
      </c>
    </row>
    <row r="79" spans="1:24" ht="15" customHeight="1">
      <c r="A79" s="1055" t="s">
        <v>803</v>
      </c>
      <c r="B79" s="1055" t="s">
        <v>2339</v>
      </c>
      <c r="C79" s="1056"/>
      <c r="D79" s="1056"/>
      <c r="E79" s="1056"/>
      <c r="F79" s="1055" t="s">
        <v>2</v>
      </c>
      <c r="G79" s="1055" t="s">
        <v>787</v>
      </c>
      <c r="H79" s="1056"/>
      <c r="I79" s="1057">
        <v>1</v>
      </c>
      <c r="J79" s="1057">
        <v>0</v>
      </c>
      <c r="K79" s="1057">
        <v>1</v>
      </c>
      <c r="L79" s="655" t="str">
        <f t="shared" si="67"/>
        <v>621</v>
      </c>
      <c r="M79" s="656" t="str">
        <f t="shared" si="0"/>
        <v>LAVEURS NEUFS</v>
      </c>
      <c r="N79" s="657">
        <f>+IF(OR($Q79=Parametres!$G$2,$Q79=Parametres!$G$3),I79,C79)</f>
        <v>1</v>
      </c>
      <c r="O79" s="657">
        <f>+IF(OR($Q79=Parametres!$G$2,$Q79=Parametres!$G$3),J79,D79)</f>
        <v>0</v>
      </c>
      <c r="P79" s="657">
        <f>+IF(OR($Q79=Parametres!$G$2,$Q79=Parametres!$G$3),K79,E79)</f>
        <v>1</v>
      </c>
      <c r="Q79" s="656" t="str">
        <f t="shared" ref="Q79:S79" si="80">+F79</f>
        <v>1-Mémo</v>
      </c>
      <c r="R79" s="655" t="str">
        <f t="shared" si="80"/>
        <v>50</v>
      </c>
      <c r="S79" s="656">
        <f t="shared" si="80"/>
        <v>0</v>
      </c>
      <c r="T79" s="658" t="str">
        <f>+VLOOKUP($L79,Data_Validation!$A:$D,1,0)</f>
        <v>621</v>
      </c>
      <c r="U79" s="658">
        <f>+VLOOKUP($L79,Data_Validation!$A:$D,3,0)</f>
        <v>0</v>
      </c>
      <c r="V79" s="658">
        <f>+VLOOKUP($L79,Data_Validation!$A:$D,4,0)</f>
        <v>0</v>
      </c>
      <c r="W79" s="658" t="str">
        <f>+VLOOKUP($L79,Data_Validation!$A:$E,5,0)</f>
        <v>$</v>
      </c>
      <c r="X79" s="658">
        <f>+VLOOKUP($L79,Data_Validation!$A:$F,6,0)</f>
        <v>0</v>
      </c>
    </row>
    <row r="80" spans="1:24" ht="15.75" customHeight="1">
      <c r="A80" s="1055" t="s">
        <v>804</v>
      </c>
      <c r="B80" s="1055" t="s">
        <v>2348</v>
      </c>
      <c r="C80" s="1056"/>
      <c r="D80" s="1056"/>
      <c r="E80" s="1056"/>
      <c r="F80" s="1055" t="s">
        <v>2</v>
      </c>
      <c r="G80" s="1055" t="s">
        <v>787</v>
      </c>
      <c r="H80" s="1056"/>
      <c r="I80" s="1057">
        <v>1</v>
      </c>
      <c r="J80" s="1057">
        <v>0</v>
      </c>
      <c r="K80" s="1057">
        <v>1</v>
      </c>
      <c r="L80" s="655" t="str">
        <f t="shared" si="67"/>
        <v>622</v>
      </c>
      <c r="M80" s="656" t="str">
        <f t="shared" si="0"/>
        <v>LAVEURS USAGES</v>
      </c>
      <c r="N80" s="657">
        <f>+IF(OR($Q80=Parametres!$G$2,$Q80=Parametres!$G$3),I80,C80)</f>
        <v>1</v>
      </c>
      <c r="O80" s="657">
        <f>+IF(OR($Q80=Parametres!$G$2,$Q80=Parametres!$G$3),J80,D80)</f>
        <v>0</v>
      </c>
      <c r="P80" s="657">
        <f>+IF(OR($Q80=Parametres!$G$2,$Q80=Parametres!$G$3),K80,E80)</f>
        <v>1</v>
      </c>
      <c r="Q80" s="656" t="str">
        <f t="shared" ref="Q80:S80" si="81">+F80</f>
        <v>1-Mémo</v>
      </c>
      <c r="R80" s="655" t="str">
        <f t="shared" si="81"/>
        <v>50</v>
      </c>
      <c r="S80" s="656">
        <f t="shared" si="81"/>
        <v>0</v>
      </c>
      <c r="T80" s="658" t="str">
        <f>+VLOOKUP($L80,Data_Validation!$A:$D,1,0)</f>
        <v>622</v>
      </c>
      <c r="U80" s="658">
        <f>+VLOOKUP($L80,Data_Validation!$A:$D,3,0)</f>
        <v>0</v>
      </c>
      <c r="V80" s="658">
        <f>+VLOOKUP($L80,Data_Validation!$A:$D,4,0)</f>
        <v>0</v>
      </c>
      <c r="W80" s="658" t="str">
        <f>+VLOOKUP($L80,Data_Validation!$A:$E,5,0)</f>
        <v>$</v>
      </c>
      <c r="X80" s="658">
        <f>+VLOOKUP($L80,Data_Validation!$A:$F,6,0)</f>
        <v>0</v>
      </c>
    </row>
    <row r="81" spans="1:24" ht="15" customHeight="1">
      <c r="A81" s="1055" t="s">
        <v>805</v>
      </c>
      <c r="B81" s="1055" t="s">
        <v>2373</v>
      </c>
      <c r="C81" s="1056"/>
      <c r="D81" s="1056"/>
      <c r="E81" s="1056"/>
      <c r="F81" s="1055" t="s">
        <v>2</v>
      </c>
      <c r="G81" s="1055" t="s">
        <v>787</v>
      </c>
      <c r="H81" s="1056"/>
      <c r="I81" s="1057">
        <v>7</v>
      </c>
      <c r="J81" s="1057">
        <v>0</v>
      </c>
      <c r="K81" s="1057">
        <v>7</v>
      </c>
      <c r="L81" s="655" t="str">
        <f t="shared" si="67"/>
        <v>624</v>
      </c>
      <c r="M81" s="656" t="str">
        <f t="shared" si="0"/>
        <v>LAVEURS SERVICE</v>
      </c>
      <c r="N81" s="657">
        <f>+IF(OR($Q81=Parametres!$G$2,$Q81=Parametres!$G$3),I81,C81)</f>
        <v>7</v>
      </c>
      <c r="O81" s="657">
        <f>+IF(OR($Q81=Parametres!$G$2,$Q81=Parametres!$G$3),J81,D81)</f>
        <v>0</v>
      </c>
      <c r="P81" s="657">
        <f>+IF(OR($Q81=Parametres!$G$2,$Q81=Parametres!$G$3),K81,E81)</f>
        <v>7</v>
      </c>
      <c r="Q81" s="656" t="str">
        <f t="shared" ref="Q81:S81" si="82">+F81</f>
        <v>1-Mémo</v>
      </c>
      <c r="R81" s="655" t="str">
        <f t="shared" si="82"/>
        <v>50</v>
      </c>
      <c r="S81" s="656">
        <f t="shared" si="82"/>
        <v>0</v>
      </c>
      <c r="T81" s="658" t="str">
        <f>+VLOOKUP($L81,Data_Validation!$A:$D,1,0)</f>
        <v>624</v>
      </c>
      <c r="U81" s="658">
        <f>+VLOOKUP($L81,Data_Validation!$A:$D,3,0)</f>
        <v>0</v>
      </c>
      <c r="V81" s="658">
        <f>+VLOOKUP($L81,Data_Validation!$A:$D,4,0)</f>
        <v>0</v>
      </c>
      <c r="W81" s="658" t="str">
        <f>+VLOOKUP($L81,Data_Validation!$A:$E,5,0)</f>
        <v>$</v>
      </c>
      <c r="X81" s="658">
        <f>+VLOOKUP($L81,Data_Validation!$A:$F,6,0)</f>
        <v>0</v>
      </c>
    </row>
    <row r="82" spans="1:24" ht="15" customHeight="1">
      <c r="A82" s="1055" t="s">
        <v>806</v>
      </c>
      <c r="B82" s="1055" t="s">
        <v>2471</v>
      </c>
      <c r="C82" s="1056"/>
      <c r="D82" s="1056"/>
      <c r="E82" s="1056"/>
      <c r="F82" s="1055" t="s">
        <v>2</v>
      </c>
      <c r="G82" s="1055" t="s">
        <v>3335</v>
      </c>
      <c r="H82" s="1056"/>
      <c r="I82" s="1057">
        <v>12</v>
      </c>
      <c r="J82" s="1057">
        <v>0</v>
      </c>
      <c r="K82" s="1057">
        <v>12</v>
      </c>
      <c r="L82" s="655" t="str">
        <f t="shared" si="67"/>
        <v>644</v>
      </c>
      <c r="M82" s="656" t="str">
        <f t="shared" si="0"/>
        <v>VW TECHNICIENS - SERVICE</v>
      </c>
      <c r="N82" s="657">
        <f>+IF(OR($Q82=Parametres!$G$2,$Q82=Parametres!$G$3),I82,C82)</f>
        <v>12</v>
      </c>
      <c r="O82" s="657">
        <f>+IF(OR($Q82=Parametres!$G$2,$Q82=Parametres!$G$3),J82,D82)</f>
        <v>0</v>
      </c>
      <c r="P82" s="657">
        <f>+IF(OR($Q82=Parametres!$G$2,$Q82=Parametres!$G$3),K82,E82)</f>
        <v>12</v>
      </c>
      <c r="Q82" s="656" t="str">
        <f t="shared" ref="Q82:S82" si="83">+F82</f>
        <v>1-Mémo</v>
      </c>
      <c r="R82" s="655" t="str">
        <f t="shared" si="83"/>
        <v>64</v>
      </c>
      <c r="S82" s="656">
        <f t="shared" si="83"/>
        <v>0</v>
      </c>
      <c r="T82" s="658" t="str">
        <f>+VLOOKUP($L82,Data_Validation!$A:$D,1,0)</f>
        <v>644</v>
      </c>
      <c r="U82" s="658">
        <f>+VLOOKUP($L82,Data_Validation!$A:$D,3,0)</f>
        <v>0</v>
      </c>
      <c r="V82" s="658">
        <f>+VLOOKUP($L82,Data_Validation!$A:$D,4,0)</f>
        <v>0</v>
      </c>
      <c r="W82" s="658" t="str">
        <f>+VLOOKUP($L82,Data_Validation!$A:$E,5,0)</f>
        <v>$</v>
      </c>
      <c r="X82" s="658">
        <f>+VLOOKUP($L82,Data_Validation!$A:$F,6,0)</f>
        <v>0</v>
      </c>
    </row>
    <row r="83" spans="1:24" ht="15" customHeight="1">
      <c r="A83" s="1055" t="s">
        <v>807</v>
      </c>
      <c r="B83" s="1055" t="s">
        <v>2540</v>
      </c>
      <c r="C83" s="1056"/>
      <c r="D83" s="1056"/>
      <c r="E83" s="1056"/>
      <c r="F83" s="1055" t="s">
        <v>2</v>
      </c>
      <c r="G83" s="1055" t="s">
        <v>787</v>
      </c>
      <c r="H83" s="1056"/>
      <c r="I83" s="1057">
        <v>0.2</v>
      </c>
      <c r="J83" s="1057">
        <v>0</v>
      </c>
      <c r="K83" s="1057">
        <v>0.2</v>
      </c>
      <c r="L83" s="655" t="str">
        <f t="shared" si="67"/>
        <v>651</v>
      </c>
      <c r="M83" s="656" t="str">
        <f t="shared" si="0"/>
        <v>DIR. ADMINIS. NEUFS</v>
      </c>
      <c r="N83" s="657">
        <f>+IF(OR($Q83=Parametres!$G$2,$Q83=Parametres!$G$3),I83,C83)</f>
        <v>0.2</v>
      </c>
      <c r="O83" s="657">
        <f>+IF(OR($Q83=Parametres!$G$2,$Q83=Parametres!$G$3),J83,D83)</f>
        <v>0</v>
      </c>
      <c r="P83" s="657">
        <f>+IF(OR($Q83=Parametres!$G$2,$Q83=Parametres!$G$3),K83,E83)</f>
        <v>0.2</v>
      </c>
      <c r="Q83" s="656" t="str">
        <f t="shared" ref="Q83:S83" si="84">+F83</f>
        <v>1-Mémo</v>
      </c>
      <c r="R83" s="655" t="str">
        <f t="shared" si="84"/>
        <v>50</v>
      </c>
      <c r="S83" s="656">
        <f t="shared" si="84"/>
        <v>0</v>
      </c>
      <c r="T83" s="658" t="str">
        <f>+VLOOKUP($L83,Data_Validation!$A:$D,1,0)</f>
        <v>651</v>
      </c>
      <c r="U83" s="658">
        <f>+VLOOKUP($L83,Data_Validation!$A:$D,3,0)</f>
        <v>0</v>
      </c>
      <c r="V83" s="658">
        <f>+VLOOKUP($L83,Data_Validation!$A:$D,4,0)</f>
        <v>0</v>
      </c>
      <c r="W83" s="658" t="str">
        <f>+VLOOKUP($L83,Data_Validation!$A:$E,5,0)</f>
        <v>$</v>
      </c>
      <c r="X83" s="658">
        <f>+VLOOKUP($L83,Data_Validation!$A:$F,6,0)</f>
        <v>0</v>
      </c>
    </row>
    <row r="84" spans="1:24" ht="15.75" customHeight="1">
      <c r="A84" s="1055" t="s">
        <v>808</v>
      </c>
      <c r="B84" s="1055" t="s">
        <v>2546</v>
      </c>
      <c r="C84" s="1056"/>
      <c r="D84" s="1056"/>
      <c r="E84" s="1056"/>
      <c r="F84" s="1055" t="s">
        <v>2</v>
      </c>
      <c r="G84" s="1055" t="s">
        <v>787</v>
      </c>
      <c r="H84" s="1056"/>
      <c r="I84" s="1057">
        <v>0.2</v>
      </c>
      <c r="J84" s="1057">
        <v>0</v>
      </c>
      <c r="K84" s="1057">
        <v>0.2</v>
      </c>
      <c r="L84" s="655" t="str">
        <f t="shared" si="67"/>
        <v>652</v>
      </c>
      <c r="M84" s="656" t="str">
        <f t="shared" si="0"/>
        <v>DIR. ADMINIS. USAGES</v>
      </c>
      <c r="N84" s="657">
        <f>+IF(OR($Q84=Parametres!$G$2,$Q84=Parametres!$G$3),I84,C84)</f>
        <v>0.2</v>
      </c>
      <c r="O84" s="661">
        <f>+IF(OR($Q84=Parametres!$G$2,$Q84=Parametres!$G$3),J84,D84)</f>
        <v>0</v>
      </c>
      <c r="P84" s="657">
        <f>+IF(OR($Q84=Parametres!$G$2,$Q84=Parametres!$G$3),K84,E84)</f>
        <v>0.2</v>
      </c>
      <c r="Q84" s="656" t="str">
        <f t="shared" ref="Q84:S84" si="85">+F84</f>
        <v>1-Mémo</v>
      </c>
      <c r="R84" s="655" t="str">
        <f t="shared" si="85"/>
        <v>50</v>
      </c>
      <c r="S84" s="656">
        <f t="shared" si="85"/>
        <v>0</v>
      </c>
      <c r="T84" s="658" t="str">
        <f>+VLOOKUP($L84,Data_Validation!$A:$D,1,0)</f>
        <v>652</v>
      </c>
      <c r="U84" s="658">
        <f>+VLOOKUP($L84,Data_Validation!$A:$D,3,0)</f>
        <v>0</v>
      </c>
      <c r="V84" s="658">
        <f>+VLOOKUP($L84,Data_Validation!$A:$D,4,0)</f>
        <v>0</v>
      </c>
      <c r="W84" s="658" t="str">
        <f>+VLOOKUP($L84,Data_Validation!$A:$E,5,0)</f>
        <v>$</v>
      </c>
      <c r="X84" s="658">
        <f>+VLOOKUP($L84,Data_Validation!$A:$F,6,0)</f>
        <v>0</v>
      </c>
    </row>
    <row r="85" spans="1:24" ht="15" customHeight="1">
      <c r="A85" s="1055" t="s">
        <v>809</v>
      </c>
      <c r="B85" s="1055" t="s">
        <v>2576</v>
      </c>
      <c r="C85" s="1056"/>
      <c r="D85" s="1056"/>
      <c r="E85" s="1056"/>
      <c r="F85" s="1055" t="s">
        <v>2</v>
      </c>
      <c r="G85" s="1055" t="s">
        <v>787</v>
      </c>
      <c r="H85" s="1056"/>
      <c r="I85" s="1057">
        <v>0.2</v>
      </c>
      <c r="J85" s="1057">
        <v>0</v>
      </c>
      <c r="K85" s="1057">
        <v>0.2</v>
      </c>
      <c r="L85" s="655" t="str">
        <f t="shared" si="67"/>
        <v>654</v>
      </c>
      <c r="M85" s="656" t="str">
        <f t="shared" si="0"/>
        <v>DIR. ADMINIS. SERVICE</v>
      </c>
      <c r="N85" s="657">
        <f>+IF(OR($Q85=Parametres!$G$2,$Q85=Parametres!$G$3),I85,C85)</f>
        <v>0.2</v>
      </c>
      <c r="O85" s="661">
        <f>+IF(OR($Q85=Parametres!$G$2,$Q85=Parametres!$G$3),J85,D85)</f>
        <v>0</v>
      </c>
      <c r="P85" s="657">
        <f>+IF(OR($Q85=Parametres!$G$2,$Q85=Parametres!$G$3),K85,E85)</f>
        <v>0.2</v>
      </c>
      <c r="Q85" s="656" t="str">
        <f t="shared" ref="Q85:S85" si="86">+F85</f>
        <v>1-Mémo</v>
      </c>
      <c r="R85" s="655" t="str">
        <f t="shared" si="86"/>
        <v>50</v>
      </c>
      <c r="S85" s="656">
        <f t="shared" si="86"/>
        <v>0</v>
      </c>
      <c r="T85" s="658" t="str">
        <f>+VLOOKUP($L85,Data_Validation!$A:$D,1,0)</f>
        <v>654</v>
      </c>
      <c r="U85" s="658">
        <f>+VLOOKUP($L85,Data_Validation!$A:$D,3,0)</f>
        <v>0</v>
      </c>
      <c r="V85" s="658">
        <f>+VLOOKUP($L85,Data_Validation!$A:$D,4,0)</f>
        <v>0</v>
      </c>
      <c r="W85" s="658" t="str">
        <f>+VLOOKUP($L85,Data_Validation!$A:$E,5,0)</f>
        <v>$</v>
      </c>
      <c r="X85" s="658">
        <f>+VLOOKUP($L85,Data_Validation!$A:$F,6,0)</f>
        <v>0</v>
      </c>
    </row>
    <row r="86" spans="1:24" ht="15" customHeight="1">
      <c r="A86" s="1055" t="s">
        <v>810</v>
      </c>
      <c r="B86" s="1055" t="s">
        <v>1269</v>
      </c>
      <c r="C86" s="1056"/>
      <c r="D86" s="1056"/>
      <c r="E86" s="1056"/>
      <c r="F86" s="1055" t="s">
        <v>2</v>
      </c>
      <c r="G86" s="1055" t="s">
        <v>787</v>
      </c>
      <c r="H86" s="1056"/>
      <c r="I86" s="1057">
        <v>0.2</v>
      </c>
      <c r="J86" s="1057">
        <v>0</v>
      </c>
      <c r="K86" s="1057">
        <v>0.2</v>
      </c>
      <c r="L86" s="655" t="str">
        <f t="shared" si="67"/>
        <v>655</v>
      </c>
      <c r="M86" s="656" t="str">
        <f t="shared" si="0"/>
        <v>DIR. ADMINIS. CARROSS.</v>
      </c>
      <c r="N86" s="657">
        <f>+IF(OR($Q86=Parametres!$G$2,$Q86=Parametres!$G$3),I86,C86)</f>
        <v>0.2</v>
      </c>
      <c r="O86" s="657">
        <f>+IF(OR($Q86=Parametres!$G$2,$Q86=Parametres!$G$3),J86,D86)</f>
        <v>0</v>
      </c>
      <c r="P86" s="657">
        <f>+IF(OR($Q86=Parametres!$G$2,$Q86=Parametres!$G$3),K86,E86)</f>
        <v>0.2</v>
      </c>
      <c r="Q86" s="656" t="str">
        <f t="shared" ref="Q86:S86" si="87">+F86</f>
        <v>1-Mémo</v>
      </c>
      <c r="R86" s="655" t="str">
        <f t="shared" si="87"/>
        <v>50</v>
      </c>
      <c r="S86" s="656">
        <f t="shared" si="87"/>
        <v>0</v>
      </c>
      <c r="T86" s="658" t="str">
        <f>+VLOOKUP($L86,Data_Validation!$A:$D,1,0)</f>
        <v>655</v>
      </c>
      <c r="U86" s="658">
        <f>+VLOOKUP($L86,Data_Validation!$A:$D,3,0)</f>
        <v>0</v>
      </c>
      <c r="V86" s="658">
        <f>+VLOOKUP($L86,Data_Validation!$A:$D,4,0)</f>
        <v>0</v>
      </c>
      <c r="W86" s="658" t="str">
        <f>+VLOOKUP($L86,Data_Validation!$A:$E,5,0)</f>
        <v>$</v>
      </c>
      <c r="X86" s="658">
        <f>+VLOOKUP($L86,Data_Validation!$A:$F,6,0)</f>
        <v>0</v>
      </c>
    </row>
    <row r="87" spans="1:24" ht="15" customHeight="1">
      <c r="A87" s="1055" t="s">
        <v>811</v>
      </c>
      <c r="B87" s="1055" t="s">
        <v>2619</v>
      </c>
      <c r="C87" s="1056"/>
      <c r="D87" s="1056"/>
      <c r="E87" s="1056"/>
      <c r="F87" s="1055" t="s">
        <v>2</v>
      </c>
      <c r="G87" s="1055" t="s">
        <v>787</v>
      </c>
      <c r="H87" s="1056"/>
      <c r="I87" s="1057">
        <v>0.2</v>
      </c>
      <c r="J87" s="1057">
        <v>0</v>
      </c>
      <c r="K87" s="1057">
        <v>0.2</v>
      </c>
      <c r="L87" s="655" t="str">
        <f t="shared" si="67"/>
        <v>657</v>
      </c>
      <c r="M87" s="656" t="str">
        <f t="shared" si="0"/>
        <v>DIR. ADMINIS. PIECES</v>
      </c>
      <c r="N87" s="657">
        <f>+IF(OR($Q87=Parametres!$G$2,$Q87=Parametres!$G$3),I87,C87)</f>
        <v>0.2</v>
      </c>
      <c r="O87" s="657">
        <f>+IF(OR($Q87=Parametres!$G$2,$Q87=Parametres!$G$3),J87,D87)</f>
        <v>0</v>
      </c>
      <c r="P87" s="657">
        <f>+IF(OR($Q87=Parametres!$G$2,$Q87=Parametres!$G$3),K87,E87)</f>
        <v>0.2</v>
      </c>
      <c r="Q87" s="656" t="str">
        <f t="shared" ref="Q87:S87" si="88">+F87</f>
        <v>1-Mémo</v>
      </c>
      <c r="R87" s="655" t="str">
        <f t="shared" si="88"/>
        <v>50</v>
      </c>
      <c r="S87" s="656">
        <f t="shared" si="88"/>
        <v>0</v>
      </c>
      <c r="T87" s="658" t="str">
        <f>+VLOOKUP($L87,Data_Validation!$A:$D,1,0)</f>
        <v>657</v>
      </c>
      <c r="U87" s="658">
        <f>+VLOOKUP($L87,Data_Validation!$A:$D,3,0)</f>
        <v>0</v>
      </c>
      <c r="V87" s="658">
        <f>+VLOOKUP($L87,Data_Validation!$A:$D,4,0)</f>
        <v>0</v>
      </c>
      <c r="W87" s="658" t="str">
        <f>+VLOOKUP($L87,Data_Validation!$A:$E,5,0)</f>
        <v>$</v>
      </c>
      <c r="X87" s="658">
        <f>+VLOOKUP($L87,Data_Validation!$A:$F,6,0)</f>
        <v>0</v>
      </c>
    </row>
    <row r="88" spans="1:24" ht="15" customHeight="1">
      <c r="A88" s="1055" t="s">
        <v>812</v>
      </c>
      <c r="B88" s="1055" t="s">
        <v>2637</v>
      </c>
      <c r="C88" s="1056"/>
      <c r="D88" s="1056"/>
      <c r="E88" s="1056"/>
      <c r="F88" s="1055" t="s">
        <v>2</v>
      </c>
      <c r="G88" s="1055" t="s">
        <v>787</v>
      </c>
      <c r="H88" s="1056"/>
      <c r="I88" s="1057">
        <v>1</v>
      </c>
      <c r="J88" s="1057">
        <v>0</v>
      </c>
      <c r="K88" s="1057">
        <v>1</v>
      </c>
      <c r="L88" s="655" t="str">
        <f t="shared" si="67"/>
        <v>661</v>
      </c>
      <c r="M88" s="656" t="str">
        <f t="shared" si="0"/>
        <v>PERSONELS CLER. NEUFS</v>
      </c>
      <c r="N88" s="657">
        <f>+IF(OR($Q88=Parametres!$G$2,$Q88=Parametres!$G$3),I88,C88)</f>
        <v>1</v>
      </c>
      <c r="O88" s="661">
        <f>+IF(OR($Q88=Parametres!$G$2,$Q88=Parametres!$G$3),J88,D88)</f>
        <v>0</v>
      </c>
      <c r="P88" s="657">
        <f>+IF(OR($Q88=Parametres!$G$2,$Q88=Parametres!$G$3),K88,E88)</f>
        <v>1</v>
      </c>
      <c r="Q88" s="656" t="str">
        <f t="shared" ref="Q88:S88" si="89">+F88</f>
        <v>1-Mémo</v>
      </c>
      <c r="R88" s="655" t="str">
        <f t="shared" si="89"/>
        <v>50</v>
      </c>
      <c r="S88" s="656">
        <f t="shared" si="89"/>
        <v>0</v>
      </c>
      <c r="T88" s="658" t="str">
        <f>+VLOOKUP($L88,Data_Validation!$A:$D,1,0)</f>
        <v>661</v>
      </c>
      <c r="U88" s="658">
        <f>+VLOOKUP($L88,Data_Validation!$A:$D,3,0)</f>
        <v>0</v>
      </c>
      <c r="V88" s="658">
        <f>+VLOOKUP($L88,Data_Validation!$A:$D,4,0)</f>
        <v>0</v>
      </c>
      <c r="W88" s="658" t="str">
        <f>+VLOOKUP($L88,Data_Validation!$A:$E,5,0)</f>
        <v>$</v>
      </c>
      <c r="X88" s="658">
        <f>+VLOOKUP($L88,Data_Validation!$A:$F,6,0)</f>
        <v>0</v>
      </c>
    </row>
    <row r="89" spans="1:24" ht="15" customHeight="1">
      <c r="A89" s="1055" t="s">
        <v>813</v>
      </c>
      <c r="B89" s="1055" t="s">
        <v>2640</v>
      </c>
      <c r="C89" s="1056"/>
      <c r="D89" s="1056"/>
      <c r="E89" s="1056"/>
      <c r="F89" s="1055" t="s">
        <v>2</v>
      </c>
      <c r="G89" s="1055" t="s">
        <v>787</v>
      </c>
      <c r="H89" s="1056"/>
      <c r="I89" s="1057">
        <v>1</v>
      </c>
      <c r="J89" s="1057">
        <v>0</v>
      </c>
      <c r="K89" s="1057">
        <v>1</v>
      </c>
      <c r="L89" s="655" t="str">
        <f t="shared" si="67"/>
        <v>662</v>
      </c>
      <c r="M89" s="656" t="str">
        <f t="shared" si="0"/>
        <v>PERSONELS CLER. USAGES</v>
      </c>
      <c r="N89" s="657">
        <f>+IF(OR($Q89=Parametres!$G$2,$Q89=Parametres!$G$3),I89,C89)</f>
        <v>1</v>
      </c>
      <c r="O89" s="657">
        <f>+IF(OR($Q89=Parametres!$G$2,$Q89=Parametres!$G$3),J89,D89)</f>
        <v>0</v>
      </c>
      <c r="P89" s="657">
        <f>+IF(OR($Q89=Parametres!$G$2,$Q89=Parametres!$G$3),K89,E89)</f>
        <v>1</v>
      </c>
      <c r="Q89" s="656" t="str">
        <f t="shared" ref="Q89:S89" si="90">+F89</f>
        <v>1-Mémo</v>
      </c>
      <c r="R89" s="655" t="str">
        <f t="shared" si="90"/>
        <v>50</v>
      </c>
      <c r="S89" s="656">
        <f t="shared" si="90"/>
        <v>0</v>
      </c>
      <c r="T89" s="658" t="str">
        <f>+VLOOKUP($L89,Data_Validation!$A:$D,1,0)</f>
        <v>662</v>
      </c>
      <c r="U89" s="658">
        <f>+VLOOKUP($L89,Data_Validation!$A:$D,3,0)</f>
        <v>0</v>
      </c>
      <c r="V89" s="658">
        <f>+VLOOKUP($L89,Data_Validation!$A:$D,4,0)</f>
        <v>0</v>
      </c>
      <c r="W89" s="658" t="str">
        <f>+VLOOKUP($L89,Data_Validation!$A:$E,5,0)</f>
        <v>$</v>
      </c>
      <c r="X89" s="658">
        <f>+VLOOKUP($L89,Data_Validation!$A:$F,6,0)</f>
        <v>0</v>
      </c>
    </row>
    <row r="90" spans="1:24" ht="15" customHeight="1">
      <c r="A90" s="1055" t="s">
        <v>814</v>
      </c>
      <c r="B90" s="1055" t="s">
        <v>2643</v>
      </c>
      <c r="C90" s="1056"/>
      <c r="D90" s="1056"/>
      <c r="E90" s="1056"/>
      <c r="F90" s="1055" t="s">
        <v>2</v>
      </c>
      <c r="G90" s="1055" t="s">
        <v>787</v>
      </c>
      <c r="H90" s="1056"/>
      <c r="I90" s="1057">
        <v>1</v>
      </c>
      <c r="J90" s="1057">
        <v>0</v>
      </c>
      <c r="K90" s="1057">
        <v>1</v>
      </c>
      <c r="L90" s="655" t="str">
        <f t="shared" si="67"/>
        <v>664</v>
      </c>
      <c r="M90" s="656" t="str">
        <f t="shared" si="0"/>
        <v>PERSONELS CLER. SERVICE</v>
      </c>
      <c r="N90" s="657">
        <f>+IF(OR($Q90=Parametres!$G$2,$Q90=Parametres!$G$3),I90,C90)</f>
        <v>1</v>
      </c>
      <c r="O90" s="657">
        <f>+IF(OR($Q90=Parametres!$G$2,$Q90=Parametres!$G$3),J90,D90)</f>
        <v>0</v>
      </c>
      <c r="P90" s="657">
        <f>+IF(OR($Q90=Parametres!$G$2,$Q90=Parametres!$G$3),K90,E90)</f>
        <v>1</v>
      </c>
      <c r="Q90" s="656" t="str">
        <f t="shared" ref="Q90:S90" si="91">+F90</f>
        <v>1-Mémo</v>
      </c>
      <c r="R90" s="655" t="str">
        <f t="shared" si="91"/>
        <v>50</v>
      </c>
      <c r="S90" s="656">
        <f t="shared" si="91"/>
        <v>0</v>
      </c>
      <c r="T90" s="658" t="str">
        <f>+VLOOKUP($L90,Data_Validation!$A:$D,1,0)</f>
        <v>664</v>
      </c>
      <c r="U90" s="658">
        <f>+VLOOKUP($L90,Data_Validation!$A:$D,3,0)</f>
        <v>0</v>
      </c>
      <c r="V90" s="658">
        <f>+VLOOKUP($L90,Data_Validation!$A:$D,4,0)</f>
        <v>0</v>
      </c>
      <c r="W90" s="658" t="str">
        <f>+VLOOKUP($L90,Data_Validation!$A:$E,5,0)</f>
        <v>$</v>
      </c>
      <c r="X90" s="658">
        <f>+VLOOKUP($L90,Data_Validation!$A:$F,6,0)</f>
        <v>0</v>
      </c>
    </row>
    <row r="91" spans="1:24" ht="15" customHeight="1">
      <c r="A91" s="1055" t="s">
        <v>815</v>
      </c>
      <c r="B91" s="1055" t="s">
        <v>2646</v>
      </c>
      <c r="C91" s="1056"/>
      <c r="D91" s="1056"/>
      <c r="E91" s="1056"/>
      <c r="F91" s="1055" t="s">
        <v>2</v>
      </c>
      <c r="G91" s="1055" t="s">
        <v>787</v>
      </c>
      <c r="H91" s="1056"/>
      <c r="I91" s="1057">
        <v>1</v>
      </c>
      <c r="J91" s="1057">
        <v>0</v>
      </c>
      <c r="K91" s="1057">
        <v>1</v>
      </c>
      <c r="L91" s="655" t="str">
        <f t="shared" si="67"/>
        <v>667</v>
      </c>
      <c r="M91" s="656" t="str">
        <f t="shared" si="0"/>
        <v>PERSONELS CLER. PIECES</v>
      </c>
      <c r="N91" s="657">
        <f>+IF(OR($Q91=Parametres!$G$2,$Q91=Parametres!$G$3),I91,C91)</f>
        <v>1</v>
      </c>
      <c r="O91" s="657">
        <f>+IF(OR($Q91=Parametres!$G$2,$Q91=Parametres!$G$3),J91,D91)</f>
        <v>0</v>
      </c>
      <c r="P91" s="657">
        <f>+IF(OR($Q91=Parametres!$G$2,$Q91=Parametres!$G$3),K91,E91)</f>
        <v>1</v>
      </c>
      <c r="Q91" s="656" t="str">
        <f t="shared" ref="Q91:S91" si="92">+F91</f>
        <v>1-Mémo</v>
      </c>
      <c r="R91" s="655" t="str">
        <f t="shared" si="92"/>
        <v>50</v>
      </c>
      <c r="S91" s="656">
        <f t="shared" si="92"/>
        <v>0</v>
      </c>
      <c r="T91" s="658" t="str">
        <f>+VLOOKUP($L91,Data_Validation!$A:$D,1,0)</f>
        <v>667</v>
      </c>
      <c r="U91" s="658">
        <f>+VLOOKUP($L91,Data_Validation!$A:$D,3,0)</f>
        <v>0</v>
      </c>
      <c r="V91" s="658">
        <f>+VLOOKUP($L91,Data_Validation!$A:$D,4,0)</f>
        <v>0</v>
      </c>
      <c r="W91" s="658" t="str">
        <f>+VLOOKUP($L91,Data_Validation!$A:$E,5,0)</f>
        <v>$</v>
      </c>
      <c r="X91" s="658">
        <f>+VLOOKUP($L91,Data_Validation!$A:$F,6,0)</f>
        <v>0</v>
      </c>
    </row>
    <row r="92" spans="1:24" ht="15" customHeight="1">
      <c r="A92" s="1055" t="s">
        <v>816</v>
      </c>
      <c r="B92" s="1055" t="s">
        <v>2724</v>
      </c>
      <c r="C92" s="1056"/>
      <c r="D92" s="1056"/>
      <c r="E92" s="1056"/>
      <c r="F92" s="1055" t="s">
        <v>2</v>
      </c>
      <c r="G92" s="1055" t="s">
        <v>3336</v>
      </c>
      <c r="H92" s="1056"/>
      <c r="I92" s="1057">
        <v>3</v>
      </c>
      <c r="J92" s="1057">
        <v>0</v>
      </c>
      <c r="K92" s="1057">
        <v>3</v>
      </c>
      <c r="L92" s="655" t="str">
        <f t="shared" si="67"/>
        <v>677</v>
      </c>
      <c r="M92" s="656" t="str">
        <f t="shared" si="0"/>
        <v>VW PIECES</v>
      </c>
      <c r="N92" s="657">
        <f>+IF(OR($Q92=Parametres!$G$2,$Q92=Parametres!$G$3),I92,C92)</f>
        <v>3</v>
      </c>
      <c r="O92" s="657">
        <f>+IF(OR($Q92=Parametres!$G$2,$Q92=Parametres!$G$3),J92,D92)</f>
        <v>0</v>
      </c>
      <c r="P92" s="657">
        <f>+IF(OR($Q92=Parametres!$G$2,$Q92=Parametres!$G$3),K92,E92)</f>
        <v>3</v>
      </c>
      <c r="Q92" s="656" t="str">
        <f t="shared" ref="Q92:S92" si="93">+F92</f>
        <v>1-Mémo</v>
      </c>
      <c r="R92" s="655" t="str">
        <f t="shared" si="93"/>
        <v>67</v>
      </c>
      <c r="S92" s="656">
        <f t="shared" si="93"/>
        <v>0</v>
      </c>
      <c r="T92" s="658" t="str">
        <f>+VLOOKUP($L92,Data_Validation!$A:$D,1,0)</f>
        <v>677</v>
      </c>
      <c r="U92" s="658">
        <f>+VLOOKUP($L92,Data_Validation!$A:$D,3,0)</f>
        <v>0</v>
      </c>
      <c r="V92" s="658">
        <f>+VLOOKUP($L92,Data_Validation!$A:$D,4,0)</f>
        <v>0</v>
      </c>
      <c r="W92" s="658" t="str">
        <f>+VLOOKUP($L92,Data_Validation!$A:$E,5,0)</f>
        <v>$</v>
      </c>
      <c r="X92" s="658">
        <f>+VLOOKUP($L92,Data_Validation!$A:$F,6,0)</f>
        <v>0</v>
      </c>
    </row>
    <row r="93" spans="1:24" ht="15" customHeight="1">
      <c r="A93" s="1055" t="s">
        <v>817</v>
      </c>
      <c r="B93" s="1055" t="s">
        <v>819</v>
      </c>
      <c r="C93" s="1057">
        <v>966471.7</v>
      </c>
      <c r="D93" s="1057">
        <v>35273.9</v>
      </c>
      <c r="E93" s="1057">
        <v>1001745.6</v>
      </c>
      <c r="F93" s="1055" t="s">
        <v>818</v>
      </c>
      <c r="G93" s="1055" t="s">
        <v>819</v>
      </c>
      <c r="H93" s="1056"/>
      <c r="I93" s="1056"/>
      <c r="J93" s="1056"/>
      <c r="K93" s="1056"/>
      <c r="L93" s="655" t="str">
        <f t="shared" si="67"/>
        <v>1102</v>
      </c>
      <c r="M93" s="656" t="str">
        <f t="shared" si="0"/>
        <v>BANQUE DE COMMERCE C/C</v>
      </c>
      <c r="N93" s="657">
        <f>+IF(OR($Q93=Parametres!$G$2,$Q93=Parametres!$G$3),I93,C93)</f>
        <v>966471.7</v>
      </c>
      <c r="O93" s="661">
        <f>+IF(OR($Q93=Parametres!$G$2,$Q93=Parametres!$G$3),J93,D93)</f>
        <v>35273.9</v>
      </c>
      <c r="P93" s="657">
        <f>+IF(OR($Q93=Parametres!$G$2,$Q93=Parametres!$G$3),K93,E93)</f>
        <v>1001745.6</v>
      </c>
      <c r="Q93" s="656" t="str">
        <f t="shared" ref="Q93:S93" si="94">+F93</f>
        <v>2-Actifs</v>
      </c>
      <c r="R93" s="655" t="str">
        <f t="shared" si="94"/>
        <v>1102</v>
      </c>
      <c r="S93" s="656">
        <f t="shared" si="94"/>
        <v>0</v>
      </c>
      <c r="T93" s="658" t="str">
        <f>+VLOOKUP($L93,Data_Validation!$A:$D,1,0)</f>
        <v>1102</v>
      </c>
      <c r="U93" s="658" t="str">
        <f>+VLOOKUP($L93,Data_Validation!$A:$D,3,0)</f>
        <v>Bilan</v>
      </c>
      <c r="V93" s="658" t="str">
        <f>+VLOOKUP($L93,Data_Validation!$A:$D,4,0)</f>
        <v>Encaisse</v>
      </c>
      <c r="W93" s="658" t="str">
        <f>+VLOOKUP($L93,Data_Validation!$A:$E,5,0)</f>
        <v>$</v>
      </c>
      <c r="X93" s="658">
        <f>+VLOOKUP($L93,Data_Validation!$A:$F,6,0)</f>
        <v>0</v>
      </c>
    </row>
    <row r="94" spans="1:24" ht="15.75" customHeight="1">
      <c r="A94" s="1055" t="s">
        <v>820</v>
      </c>
      <c r="B94" s="1055" t="s">
        <v>3361</v>
      </c>
      <c r="C94" s="1057">
        <v>0</v>
      </c>
      <c r="D94" s="1057">
        <v>0.01</v>
      </c>
      <c r="E94" s="1057">
        <v>0.01</v>
      </c>
      <c r="F94" s="1055" t="s">
        <v>818</v>
      </c>
      <c r="G94" s="1055" t="s">
        <v>819</v>
      </c>
      <c r="H94" s="1056"/>
      <c r="I94" s="1056"/>
      <c r="J94" s="1056"/>
      <c r="K94" s="1056"/>
      <c r="L94" s="655" t="str">
        <f t="shared" si="67"/>
        <v>1104</v>
      </c>
      <c r="M94" s="656" t="str">
        <f t="shared" si="0"/>
        <v>MASTER CARD (CANADA TRUST)</v>
      </c>
      <c r="N94" s="657">
        <f>+IF(OR($Q94=Parametres!$G$2,$Q94=Parametres!$G$3),I94,C94)</f>
        <v>0</v>
      </c>
      <c r="O94" s="657">
        <f>+IF(OR($Q94=Parametres!$G$2,$Q94=Parametres!$G$3),J94,D94)</f>
        <v>0.01</v>
      </c>
      <c r="P94" s="657">
        <f>+IF(OR($Q94=Parametres!$G$2,$Q94=Parametres!$G$3),K94,E94)</f>
        <v>0.01</v>
      </c>
      <c r="Q94" s="656" t="str">
        <f t="shared" ref="Q94:S94" si="95">+F94</f>
        <v>2-Actifs</v>
      </c>
      <c r="R94" s="655" t="str">
        <f t="shared" si="95"/>
        <v>1102</v>
      </c>
      <c r="S94" s="656">
        <f t="shared" si="95"/>
        <v>0</v>
      </c>
      <c r="T94" s="658" t="str">
        <f>+VLOOKUP($L94,Data_Validation!$A:$D,1,0)</f>
        <v>1104</v>
      </c>
      <c r="U94" s="658" t="str">
        <f>+VLOOKUP($L94,Data_Validation!$A:$D,3,0)</f>
        <v>Bilan</v>
      </c>
      <c r="V94" s="658" t="str">
        <f>+VLOOKUP($L94,Data_Validation!$A:$D,4,0)</f>
        <v>Encaisse</v>
      </c>
      <c r="W94" s="658" t="str">
        <f>+VLOOKUP($L94,Data_Validation!$A:$E,5,0)</f>
        <v>$</v>
      </c>
      <c r="X94" s="658">
        <f>+VLOOKUP($L94,Data_Validation!$A:$F,6,0)</f>
        <v>0</v>
      </c>
    </row>
    <row r="95" spans="1:24" ht="15" customHeight="1">
      <c r="A95" s="1055" t="s">
        <v>821</v>
      </c>
      <c r="B95" s="1055" t="s">
        <v>3364</v>
      </c>
      <c r="C95" s="1057">
        <v>850000</v>
      </c>
      <c r="D95" s="1057">
        <v>0</v>
      </c>
      <c r="E95" s="1057">
        <v>850000</v>
      </c>
      <c r="F95" s="1055" t="s">
        <v>818</v>
      </c>
      <c r="G95" s="1055" t="s">
        <v>819</v>
      </c>
      <c r="H95" s="1056"/>
      <c r="I95" s="1056"/>
      <c r="J95" s="1056"/>
      <c r="K95" s="1056"/>
      <c r="L95" s="655" t="str">
        <f t="shared" si="67"/>
        <v>1111</v>
      </c>
      <c r="M95" s="656" t="str">
        <f t="shared" si="0"/>
        <v>REMBOURSEMENTS FLOORPLAN</v>
      </c>
      <c r="N95" s="657">
        <f>+IF(OR($Q95=Parametres!$G$2,$Q95=Parametres!$G$3),I95,C95)</f>
        <v>850000</v>
      </c>
      <c r="O95" s="657">
        <f>+IF(OR($Q95=Parametres!$G$2,$Q95=Parametres!$G$3),J95,D95)</f>
        <v>0</v>
      </c>
      <c r="P95" s="657">
        <f>+IF(OR($Q95=Parametres!$G$2,$Q95=Parametres!$G$3),K95,E95)</f>
        <v>850000</v>
      </c>
      <c r="Q95" s="656" t="str">
        <f t="shared" ref="Q95:S95" si="96">+F95</f>
        <v>2-Actifs</v>
      </c>
      <c r="R95" s="655" t="str">
        <f t="shared" si="96"/>
        <v>1102</v>
      </c>
      <c r="S95" s="656">
        <f t="shared" si="96"/>
        <v>0</v>
      </c>
      <c r="T95" s="658" t="str">
        <f>+VLOOKUP($L95,Data_Validation!$A:$D,1,0)</f>
        <v>1111</v>
      </c>
      <c r="U95" s="658" t="str">
        <f>+VLOOKUP($L95,Data_Validation!$A:$D,3,0)</f>
        <v>Bilan</v>
      </c>
      <c r="V95" s="658" t="str">
        <f>+VLOOKUP($L95,Data_Validation!$A:$D,4,0)</f>
        <v>Encaisse</v>
      </c>
      <c r="W95" s="658" t="str">
        <f>+VLOOKUP($L95,Data_Validation!$A:$E,5,0)</f>
        <v>$</v>
      </c>
      <c r="X95" s="658">
        <f>+VLOOKUP($L95,Data_Validation!$A:$F,6,0)</f>
        <v>0</v>
      </c>
    </row>
    <row r="96" spans="1:24" ht="15" customHeight="1">
      <c r="A96" s="1055" t="s">
        <v>822</v>
      </c>
      <c r="B96" s="1055" t="s">
        <v>1454</v>
      </c>
      <c r="C96" s="1057">
        <v>220.85</v>
      </c>
      <c r="D96" s="1057">
        <v>0</v>
      </c>
      <c r="E96" s="1057">
        <v>220.85</v>
      </c>
      <c r="F96" s="1055" t="s">
        <v>818</v>
      </c>
      <c r="G96" s="1055" t="s">
        <v>819</v>
      </c>
      <c r="H96" s="1056"/>
      <c r="I96" s="1056"/>
      <c r="J96" s="1056"/>
      <c r="K96" s="1056"/>
      <c r="L96" s="655" t="str">
        <f t="shared" si="67"/>
        <v>1182</v>
      </c>
      <c r="M96" s="656" t="str">
        <f t="shared" si="0"/>
        <v>PETITE CAISSE</v>
      </c>
      <c r="N96" s="657">
        <f>+IF(OR($Q96=Parametres!$G$2,$Q96=Parametres!$G$3),I96,C96)</f>
        <v>220.85</v>
      </c>
      <c r="O96" s="657">
        <f>+IF(OR($Q96=Parametres!$G$2,$Q96=Parametres!$G$3),J96,D96)</f>
        <v>0</v>
      </c>
      <c r="P96" s="657">
        <f>+IF(OR($Q96=Parametres!$G$2,$Q96=Parametres!$G$3),K96,E96)</f>
        <v>220.85</v>
      </c>
      <c r="Q96" s="656" t="str">
        <f t="shared" ref="Q96:S96" si="97">+F96</f>
        <v>2-Actifs</v>
      </c>
      <c r="R96" s="655" t="str">
        <f t="shared" si="97"/>
        <v>1102</v>
      </c>
      <c r="S96" s="656">
        <f t="shared" si="97"/>
        <v>0</v>
      </c>
      <c r="T96" s="658" t="str">
        <f>+VLOOKUP($L96,Data_Validation!$A:$D,1,0)</f>
        <v>1182</v>
      </c>
      <c r="U96" s="658" t="str">
        <f>+VLOOKUP($L96,Data_Validation!$A:$D,3,0)</f>
        <v>Bilan</v>
      </c>
      <c r="V96" s="658" t="str">
        <f>+VLOOKUP($L96,Data_Validation!$A:$D,4,0)</f>
        <v>Encaisse</v>
      </c>
      <c r="W96" s="658" t="str">
        <f>+VLOOKUP($L96,Data_Validation!$A:$E,5,0)</f>
        <v>$</v>
      </c>
      <c r="X96" s="658">
        <f>+VLOOKUP($L96,Data_Validation!$A:$F,6,0)</f>
        <v>0</v>
      </c>
    </row>
    <row r="97" spans="1:24" ht="15" customHeight="1">
      <c r="A97" s="1055" t="s">
        <v>3670</v>
      </c>
      <c r="B97" s="1055" t="s">
        <v>3366</v>
      </c>
      <c r="C97" s="1057">
        <v>0</v>
      </c>
      <c r="D97" s="1057">
        <v>69.33</v>
      </c>
      <c r="E97" s="1057">
        <v>69.33</v>
      </c>
      <c r="F97" s="1055" t="s">
        <v>818</v>
      </c>
      <c r="G97" s="1055" t="s">
        <v>823</v>
      </c>
      <c r="H97" s="1034"/>
      <c r="I97" s="1034"/>
      <c r="J97" s="1034"/>
      <c r="K97" s="1034"/>
      <c r="L97" s="655" t="str">
        <f t="shared" si="67"/>
        <v>1189</v>
      </c>
      <c r="M97" s="656" t="str">
        <f t="shared" si="0"/>
        <v>VENTE AU COMPTANT (PIECES)</v>
      </c>
      <c r="N97" s="657">
        <f>+IF(OR($Q97=Parametres!$G$2,$Q97=Parametres!$G$3),I97,C97)</f>
        <v>0</v>
      </c>
      <c r="O97" s="657">
        <f>+IF(OR($Q97=Parametres!$G$2,$Q97=Parametres!$G$3),J97,D97)</f>
        <v>69.33</v>
      </c>
      <c r="P97" s="657">
        <f>+IF(OR($Q97=Parametres!$G$2,$Q97=Parametres!$G$3),K97,E97)</f>
        <v>69.33</v>
      </c>
      <c r="Q97" s="656" t="str">
        <f t="shared" ref="Q97:S97" si="98">+F97</f>
        <v>2-Actifs</v>
      </c>
      <c r="R97" s="655" t="str">
        <f t="shared" si="98"/>
        <v>1382</v>
      </c>
      <c r="S97" s="656">
        <f t="shared" si="98"/>
        <v>0</v>
      </c>
      <c r="T97" s="658" t="str">
        <f>+VLOOKUP($L97,Data_Validation!$A:$D,1,0)</f>
        <v>1189</v>
      </c>
      <c r="U97" s="658" t="str">
        <f>+VLOOKUP($L97,Data_Validation!$A:$D,3,0)</f>
        <v>Bilan</v>
      </c>
      <c r="V97" s="658" t="str">
        <f>+VLOOKUP($L97,Data_Validation!$A:$D,4,0)</f>
        <v>Encaisse</v>
      </c>
      <c r="W97" s="658" t="str">
        <f>+VLOOKUP($L97,Data_Validation!$A:$E,5,0)</f>
        <v>$</v>
      </c>
      <c r="X97" s="658">
        <f>+VLOOKUP($L97,Data_Validation!$A:$F,6,0)</f>
        <v>0</v>
      </c>
    </row>
    <row r="98" spans="1:24" ht="15" customHeight="1">
      <c r="A98" s="1055" t="s">
        <v>824</v>
      </c>
      <c r="B98" s="1055" t="s">
        <v>825</v>
      </c>
      <c r="C98" s="1057">
        <v>924558.89</v>
      </c>
      <c r="D98" s="1057">
        <v>-342698.95</v>
      </c>
      <c r="E98" s="1057">
        <v>581859.93999999994</v>
      </c>
      <c r="F98" s="1055" t="s">
        <v>818</v>
      </c>
      <c r="G98" s="1055" t="s">
        <v>825</v>
      </c>
      <c r="H98" s="1034"/>
      <c r="I98" s="1034"/>
      <c r="J98" s="1034"/>
      <c r="K98" s="1034"/>
      <c r="L98" s="655" t="str">
        <f t="shared" si="67"/>
        <v>1202</v>
      </c>
      <c r="M98" s="656" t="str">
        <f t="shared" si="0"/>
        <v>CONTRATS EN TRANSIT</v>
      </c>
      <c r="N98" s="657">
        <f>+IF(OR($Q98=Parametres!$G$2,$Q98=Parametres!$G$3),I98,C98)</f>
        <v>924558.89</v>
      </c>
      <c r="O98" s="657">
        <f>+IF(OR($Q98=Parametres!$G$2,$Q98=Parametres!$G$3),J98,D98)</f>
        <v>-342698.95</v>
      </c>
      <c r="P98" s="657">
        <f>+IF(OR($Q98=Parametres!$G$2,$Q98=Parametres!$G$3),K98,E98)</f>
        <v>581859.93999999994</v>
      </c>
      <c r="Q98" s="656" t="str">
        <f t="shared" ref="Q98:S98" si="99">+F98</f>
        <v>2-Actifs</v>
      </c>
      <c r="R98" s="655" t="str">
        <f t="shared" si="99"/>
        <v>1202</v>
      </c>
      <c r="S98" s="656">
        <f t="shared" si="99"/>
        <v>0</v>
      </c>
      <c r="T98" s="658" t="str">
        <f>+VLOOKUP($L98,Data_Validation!$A:$D,1,0)</f>
        <v>1202</v>
      </c>
      <c r="U98" s="658" t="str">
        <f>+VLOOKUP($L98,Data_Validation!$A:$D,3,0)</f>
        <v>Bilan</v>
      </c>
      <c r="V98" s="658" t="str">
        <f>+VLOOKUP($L98,Data_Validation!$A:$D,4,0)</f>
        <v>Recevables Contrats en Transit</v>
      </c>
      <c r="W98" s="658" t="str">
        <f>+VLOOKUP($L98,Data_Validation!$A:$E,5,0)</f>
        <v>$</v>
      </c>
      <c r="X98" s="658">
        <f>+VLOOKUP($L98,Data_Validation!$A:$F,6,0)</f>
        <v>0</v>
      </c>
    </row>
    <row r="99" spans="1:24" ht="15.75" customHeight="1">
      <c r="A99" s="1055" t="s">
        <v>826</v>
      </c>
      <c r="B99" s="1055" t="s">
        <v>827</v>
      </c>
      <c r="C99" s="1057">
        <v>-10369.950000000001</v>
      </c>
      <c r="D99" s="1057">
        <v>18688.14</v>
      </c>
      <c r="E99" s="1057">
        <v>8318.19</v>
      </c>
      <c r="F99" s="1055" t="s">
        <v>818</v>
      </c>
      <c r="G99" s="1055" t="s">
        <v>827</v>
      </c>
      <c r="H99" s="1034"/>
      <c r="I99" s="1034"/>
      <c r="J99" s="1034"/>
      <c r="K99" s="1034"/>
      <c r="L99" s="655" t="str">
        <f t="shared" si="67"/>
        <v>1302</v>
      </c>
      <c r="M99" s="656" t="str">
        <f t="shared" si="0"/>
        <v>RECEVABLE-CLIENT-VEHICULE</v>
      </c>
      <c r="N99" s="657">
        <f>+IF(OR($Q99=Parametres!$G$2,$Q99=Parametres!$G$3),I99,C99)</f>
        <v>-10369.950000000001</v>
      </c>
      <c r="O99" s="657">
        <f>+IF(OR($Q99=Parametres!$G$2,$Q99=Parametres!$G$3),J99,D99)</f>
        <v>18688.14</v>
      </c>
      <c r="P99" s="657">
        <f>+IF(OR($Q99=Parametres!$G$2,$Q99=Parametres!$G$3),K99,E99)</f>
        <v>8318.19</v>
      </c>
      <c r="Q99" s="656" t="str">
        <f t="shared" ref="Q99:S99" si="100">+F99</f>
        <v>2-Actifs</v>
      </c>
      <c r="R99" s="655" t="str">
        <f t="shared" si="100"/>
        <v>1302</v>
      </c>
      <c r="S99" s="656">
        <f t="shared" si="100"/>
        <v>0</v>
      </c>
      <c r="T99" s="658" t="str">
        <f>+VLOOKUP($L99,Data_Validation!$A:$D,1,0)</f>
        <v>1302</v>
      </c>
      <c r="U99" s="658" t="str">
        <f>+VLOOKUP($L99,Data_Validation!$A:$D,3,0)</f>
        <v>Bilan</v>
      </c>
      <c r="V99" s="658" t="str">
        <f>+VLOOKUP($L99,Data_Validation!$A:$D,4,0)</f>
        <v>Recevables Véhicules</v>
      </c>
      <c r="W99" s="658" t="str">
        <f>+VLOOKUP($L99,Data_Validation!$A:$E,5,0)</f>
        <v>$</v>
      </c>
      <c r="X99" s="658">
        <f>+VLOOKUP($L99,Data_Validation!$A:$F,6,0)</f>
        <v>0</v>
      </c>
    </row>
    <row r="100" spans="1:24" ht="15" customHeight="1">
      <c r="A100" s="1055" t="s">
        <v>828</v>
      </c>
      <c r="B100" s="1055" t="s">
        <v>1461</v>
      </c>
      <c r="C100" s="1057">
        <v>714333.52</v>
      </c>
      <c r="D100" s="1057">
        <v>-562398.52</v>
      </c>
      <c r="E100" s="1057">
        <v>151935</v>
      </c>
      <c r="F100" s="1055" t="s">
        <v>818</v>
      </c>
      <c r="G100" s="1055" t="s">
        <v>827</v>
      </c>
      <c r="H100" s="1034"/>
      <c r="I100" s="1034"/>
      <c r="J100" s="1034"/>
      <c r="K100" s="1034"/>
      <c r="L100" s="655" t="str">
        <f t="shared" si="67"/>
        <v>1303</v>
      </c>
      <c r="M100" s="656" t="str">
        <f t="shared" si="0"/>
        <v>RECEVABLES LPA ET AU GROS</v>
      </c>
      <c r="N100" s="657">
        <f>+IF(OR($Q100=Parametres!$G$2,$Q100=Parametres!$G$3),I100,C100)</f>
        <v>714333.52</v>
      </c>
      <c r="O100" s="657">
        <f>+IF(OR($Q100=Parametres!$G$2,$Q100=Parametres!$G$3),J100,D100)</f>
        <v>-562398.52</v>
      </c>
      <c r="P100" s="657">
        <f>+IF(OR($Q100=Parametres!$G$2,$Q100=Parametres!$G$3),K100,E100)</f>
        <v>151935</v>
      </c>
      <c r="Q100" s="656" t="str">
        <f t="shared" ref="Q100:S100" si="101">+F100</f>
        <v>2-Actifs</v>
      </c>
      <c r="R100" s="655" t="str">
        <f t="shared" si="101"/>
        <v>1302</v>
      </c>
      <c r="S100" s="656">
        <f t="shared" si="101"/>
        <v>0</v>
      </c>
      <c r="T100" s="658" t="str">
        <f>+VLOOKUP($L100,Data_Validation!$A:$D,1,0)</f>
        <v>1303</v>
      </c>
      <c r="U100" s="658" t="str">
        <f>+VLOOKUP($L100,Data_Validation!$A:$D,3,0)</f>
        <v>Bilan</v>
      </c>
      <c r="V100" s="658" t="str">
        <f>+VLOOKUP($L100,Data_Validation!$A:$D,4,0)</f>
        <v>Recevables Véhicules</v>
      </c>
      <c r="W100" s="658" t="str">
        <f>+VLOOKUP($L100,Data_Validation!$A:$E,5,0)</f>
        <v>$</v>
      </c>
      <c r="X100" s="658">
        <f>+VLOOKUP($L100,Data_Validation!$A:$F,6,0)</f>
        <v>0</v>
      </c>
    </row>
    <row r="101" spans="1:24" ht="15" customHeight="1">
      <c r="A101" s="1055" t="s">
        <v>829</v>
      </c>
      <c r="B101" s="1055" t="s">
        <v>830</v>
      </c>
      <c r="C101" s="1057">
        <v>167891.3</v>
      </c>
      <c r="D101" s="1057">
        <v>-38032.120000000003</v>
      </c>
      <c r="E101" s="1057">
        <v>129859.18</v>
      </c>
      <c r="F101" s="1055" t="s">
        <v>818</v>
      </c>
      <c r="G101" s="1055" t="s">
        <v>830</v>
      </c>
      <c r="H101" s="1034"/>
      <c r="I101" s="1034"/>
      <c r="J101" s="1034"/>
      <c r="K101" s="1034"/>
      <c r="L101" s="655" t="str">
        <f t="shared" si="67"/>
        <v>1304</v>
      </c>
      <c r="M101" s="656" t="str">
        <f t="shared" si="0"/>
        <v>RECEVABLES PIECES &amp; SERVICE</v>
      </c>
      <c r="N101" s="657">
        <f>+IF(OR($Q101=Parametres!$G$2,$Q101=Parametres!$G$3),I101,C101)</f>
        <v>167891.3</v>
      </c>
      <c r="O101" s="657">
        <f>+IF(OR($Q101=Parametres!$G$2,$Q101=Parametres!$G$3),J101,D101)</f>
        <v>-38032.120000000003</v>
      </c>
      <c r="P101" s="657">
        <f>+IF(OR($Q101=Parametres!$G$2,$Q101=Parametres!$G$3),K101,E101)</f>
        <v>129859.18</v>
      </c>
      <c r="Q101" s="656" t="str">
        <f t="shared" ref="Q101:S101" si="102">+F101</f>
        <v>2-Actifs</v>
      </c>
      <c r="R101" s="655" t="str">
        <f t="shared" si="102"/>
        <v>1304</v>
      </c>
      <c r="S101" s="656">
        <f t="shared" si="102"/>
        <v>0</v>
      </c>
      <c r="T101" s="658" t="str">
        <f>+VLOOKUP($L101,Data_Validation!$A:$D,1,0)</f>
        <v>1304</v>
      </c>
      <c r="U101" s="658" t="str">
        <f>+VLOOKUP($L101,Data_Validation!$A:$D,3,0)</f>
        <v>Bilan</v>
      </c>
      <c r="V101" s="658" t="str">
        <f>+VLOOKUP($L101,Data_Validation!$A:$D,4,0)</f>
        <v>Recevables Pièces et Service</v>
      </c>
      <c r="W101" s="658" t="str">
        <f>+VLOOKUP($L101,Data_Validation!$A:$E,5,0)</f>
        <v>$</v>
      </c>
      <c r="X101" s="658">
        <f>+VLOOKUP($L101,Data_Validation!$A:$F,6,0)</f>
        <v>0</v>
      </c>
    </row>
    <row r="102" spans="1:24" ht="15" customHeight="1">
      <c r="A102" s="1055" t="s">
        <v>831</v>
      </c>
      <c r="B102" s="1055" t="s">
        <v>1466</v>
      </c>
      <c r="C102" s="1057">
        <v>91192.84</v>
      </c>
      <c r="D102" s="1057">
        <v>-20264.66</v>
      </c>
      <c r="E102" s="1057">
        <v>70928.179999999993</v>
      </c>
      <c r="F102" s="1055" t="s">
        <v>818</v>
      </c>
      <c r="G102" s="1055" t="s">
        <v>830</v>
      </c>
      <c r="H102" s="1034"/>
      <c r="I102" s="1034"/>
      <c r="J102" s="1034"/>
      <c r="K102" s="1034"/>
      <c r="L102" s="655" t="str">
        <f t="shared" si="67"/>
        <v>1305</v>
      </c>
      <c r="M102" s="656" t="str">
        <f t="shared" si="0"/>
        <v>RECEVABLES CARROSSERIE</v>
      </c>
      <c r="N102" s="657">
        <f>+IF(OR($Q102=Parametres!$G$2,$Q102=Parametres!$G$3),I102,C102)</f>
        <v>91192.84</v>
      </c>
      <c r="O102" s="661">
        <f>+IF(OR($Q102=Parametres!$G$2,$Q102=Parametres!$G$3),J102,D102)</f>
        <v>-20264.66</v>
      </c>
      <c r="P102" s="657">
        <f>+IF(OR($Q102=Parametres!$G$2,$Q102=Parametres!$G$3),K102,E102)</f>
        <v>70928.179999999993</v>
      </c>
      <c r="Q102" s="656" t="str">
        <f t="shared" ref="Q102:S102" si="103">+F102</f>
        <v>2-Actifs</v>
      </c>
      <c r="R102" s="655" t="str">
        <f t="shared" si="103"/>
        <v>1304</v>
      </c>
      <c r="S102" s="656">
        <f t="shared" si="103"/>
        <v>0</v>
      </c>
      <c r="T102" s="658" t="str">
        <f>+VLOOKUP($L102,Data_Validation!$A:$D,1,0)</f>
        <v>1305</v>
      </c>
      <c r="U102" s="658" t="str">
        <f>+VLOOKUP($L102,Data_Validation!$A:$D,3,0)</f>
        <v>Bilan</v>
      </c>
      <c r="V102" s="658" t="str">
        <f>+VLOOKUP($L102,Data_Validation!$A:$D,4,0)</f>
        <v>Recevables Carrosserie</v>
      </c>
      <c r="W102" s="658" t="str">
        <f>+VLOOKUP($L102,Data_Validation!$A:$E,5,0)</f>
        <v>$</v>
      </c>
      <c r="X102" s="658">
        <f>+VLOOKUP($L102,Data_Validation!$A:$F,6,0)</f>
        <v>0</v>
      </c>
    </row>
    <row r="103" spans="1:24" ht="15.75" customHeight="1">
      <c r="A103" s="1055" t="s">
        <v>832</v>
      </c>
      <c r="B103" s="1055" t="s">
        <v>3367</v>
      </c>
      <c r="C103" s="1057">
        <v>3928.91</v>
      </c>
      <c r="D103" s="1057">
        <v>5887.87</v>
      </c>
      <c r="E103" s="1057">
        <v>9816.7800000000007</v>
      </c>
      <c r="F103" s="1055" t="s">
        <v>818</v>
      </c>
      <c r="G103" s="1055" t="s">
        <v>830</v>
      </c>
      <c r="H103" s="1034"/>
      <c r="I103" s="1035"/>
      <c r="J103" s="1035"/>
      <c r="K103" s="1035"/>
      <c r="L103" s="655" t="str">
        <f t="shared" si="67"/>
        <v>1306</v>
      </c>
      <c r="M103" s="656" t="str">
        <f t="shared" si="0"/>
        <v>RECEVABLES INTERCO</v>
      </c>
      <c r="N103" s="657">
        <f>+IF(OR($Q103=Parametres!$G$2,$Q103=Parametres!$G$3),I103,C103)</f>
        <v>3928.91</v>
      </c>
      <c r="O103" s="657">
        <f>+IF(OR($Q103=Parametres!$G$2,$Q103=Parametres!$G$3),J103,D103)</f>
        <v>5887.87</v>
      </c>
      <c r="P103" s="657">
        <f>+IF(OR($Q103=Parametres!$G$2,$Q103=Parametres!$G$3),K103,E103)</f>
        <v>9816.7800000000007</v>
      </c>
      <c r="Q103" s="656" t="str">
        <f t="shared" ref="Q103:S103" si="104">+F103</f>
        <v>2-Actifs</v>
      </c>
      <c r="R103" s="655" t="str">
        <f t="shared" si="104"/>
        <v>1304</v>
      </c>
      <c r="S103" s="656">
        <f t="shared" si="104"/>
        <v>0</v>
      </c>
      <c r="T103" s="658" t="str">
        <f>+VLOOKUP($L103,Data_Validation!$A:$D,1,0)</f>
        <v>1306</v>
      </c>
      <c r="U103" s="658" t="str">
        <f>+VLOOKUP($L103,Data_Validation!$A:$D,3,0)</f>
        <v>Bilan</v>
      </c>
      <c r="V103" s="658" t="str">
        <f>+VLOOKUP($L103,Data_Validation!$A:$D,4,0)</f>
        <v>Recevables Intercos</v>
      </c>
      <c r="W103" s="658" t="str">
        <f>+VLOOKUP($L103,Data_Validation!$A:$E,5,0)</f>
        <v>$</v>
      </c>
      <c r="X103" s="658">
        <f>+VLOOKUP($L103,Data_Validation!$A:$F,6,0)</f>
        <v>0</v>
      </c>
    </row>
    <row r="104" spans="1:24" ht="15" customHeight="1">
      <c r="A104" s="1055" t="s">
        <v>833</v>
      </c>
      <c r="B104" s="1055" t="s">
        <v>3368</v>
      </c>
      <c r="C104" s="1057">
        <v>24300</v>
      </c>
      <c r="D104" s="1057">
        <v>14700</v>
      </c>
      <c r="E104" s="1057">
        <v>39000</v>
      </c>
      <c r="F104" s="1055" t="s">
        <v>818</v>
      </c>
      <c r="G104" s="1055" t="s">
        <v>827</v>
      </c>
      <c r="H104" s="1034"/>
      <c r="I104" s="1035"/>
      <c r="J104" s="1035"/>
      <c r="K104" s="1035"/>
      <c r="L104" s="655" t="str">
        <f t="shared" si="67"/>
        <v>1307</v>
      </c>
      <c r="M104" s="656" t="str">
        <f t="shared" si="0"/>
        <v>RECEVABLES INTERCO VEHICULE</v>
      </c>
      <c r="N104" s="657">
        <f>+IF(OR($Q104=Parametres!$G$2,$Q104=Parametres!$G$3),I104,C104)</f>
        <v>24300</v>
      </c>
      <c r="O104" s="657">
        <f>+IF(OR($Q104=Parametres!$G$2,$Q104=Parametres!$G$3),J104,D104)</f>
        <v>14700</v>
      </c>
      <c r="P104" s="657">
        <f>+IF(OR($Q104=Parametres!$G$2,$Q104=Parametres!$G$3),K104,E104)</f>
        <v>39000</v>
      </c>
      <c r="Q104" s="656" t="str">
        <f t="shared" ref="Q104:S104" si="105">+F104</f>
        <v>2-Actifs</v>
      </c>
      <c r="R104" s="655" t="str">
        <f t="shared" si="105"/>
        <v>1302</v>
      </c>
      <c r="S104" s="656">
        <f t="shared" si="105"/>
        <v>0</v>
      </c>
      <c r="T104" s="658" t="str">
        <f>+VLOOKUP($L104,Data_Validation!$A:$D,1,0)</f>
        <v>1307</v>
      </c>
      <c r="U104" s="658" t="str">
        <f>+VLOOKUP($L104,Data_Validation!$A:$D,3,0)</f>
        <v>Bilan</v>
      </c>
      <c r="V104" s="658" t="str">
        <f>+VLOOKUP($L104,Data_Validation!$A:$D,4,0)</f>
        <v>Recevables Intercos</v>
      </c>
      <c r="W104" s="658" t="str">
        <f>+VLOOKUP($L104,Data_Validation!$A:$E,5,0)</f>
        <v>$</v>
      </c>
      <c r="X104" s="658">
        <f>+VLOOKUP($L104,Data_Validation!$A:$F,6,0)</f>
        <v>0</v>
      </c>
    </row>
    <row r="105" spans="1:24" ht="15" customHeight="1">
      <c r="A105" s="1055" t="s">
        <v>834</v>
      </c>
      <c r="B105" s="1055" t="s">
        <v>1469</v>
      </c>
      <c r="C105" s="1057">
        <v>88115</v>
      </c>
      <c r="D105" s="1057">
        <v>-73870</v>
      </c>
      <c r="E105" s="1057">
        <v>14245</v>
      </c>
      <c r="F105" s="1055" t="s">
        <v>818</v>
      </c>
      <c r="G105" s="1055" t="s">
        <v>835</v>
      </c>
      <c r="H105" s="1034"/>
      <c r="I105" s="1035"/>
      <c r="J105" s="1035"/>
      <c r="K105" s="1035"/>
      <c r="L105" s="655" t="str">
        <f t="shared" si="67"/>
        <v>1312</v>
      </c>
      <c r="M105" s="656" t="str">
        <f t="shared" si="0"/>
        <v>RESEVE VOLKS</v>
      </c>
      <c r="N105" s="657">
        <f>+IF(OR($Q105=Parametres!$G$2,$Q105=Parametres!$G$3),I105,C105)</f>
        <v>88115</v>
      </c>
      <c r="O105" s="657">
        <f>+IF(OR($Q105=Parametres!$G$2,$Q105=Parametres!$G$3),J105,D105)</f>
        <v>-73870</v>
      </c>
      <c r="P105" s="657">
        <f>+IF(OR($Q105=Parametres!$G$2,$Q105=Parametres!$G$3),K105,E105)</f>
        <v>14245</v>
      </c>
      <c r="Q105" s="656" t="str">
        <f t="shared" ref="Q105:S105" si="106">+F105</f>
        <v>2-Actifs</v>
      </c>
      <c r="R105" s="655" t="str">
        <f t="shared" si="106"/>
        <v>1314</v>
      </c>
      <c r="S105" s="656">
        <f t="shared" si="106"/>
        <v>0</v>
      </c>
      <c r="T105" s="658" t="str">
        <f>+VLOOKUP($L105,Data_Validation!$A:$D,1,0)</f>
        <v>1312</v>
      </c>
      <c r="U105" s="658" t="str">
        <f>+VLOOKUP($L105,Data_Validation!$A:$D,3,0)</f>
        <v>Bilan</v>
      </c>
      <c r="V105" s="658" t="str">
        <f>+VLOOKUP($L105,Data_Validation!$A:$D,4,0)</f>
        <v>Recevables Manufacturier</v>
      </c>
      <c r="W105" s="658" t="str">
        <f>+VLOOKUP($L105,Data_Validation!$A:$E,5,0)</f>
        <v>$</v>
      </c>
      <c r="X105" s="658">
        <f>+VLOOKUP($L105,Data_Validation!$A:$F,6,0)</f>
        <v>0</v>
      </c>
    </row>
    <row r="106" spans="1:24" ht="15" customHeight="1">
      <c r="A106" s="1055" t="s">
        <v>836</v>
      </c>
      <c r="B106" s="1055" t="s">
        <v>837</v>
      </c>
      <c r="C106" s="1057">
        <v>81514.460000000006</v>
      </c>
      <c r="D106" s="1057">
        <v>-78097.36</v>
      </c>
      <c r="E106" s="1057">
        <v>3417.1</v>
      </c>
      <c r="F106" s="1055" t="s">
        <v>818</v>
      </c>
      <c r="G106" s="1055" t="s">
        <v>837</v>
      </c>
      <c r="H106" s="1034"/>
      <c r="I106" s="1035"/>
      <c r="J106" s="1035"/>
      <c r="K106" s="1035"/>
      <c r="L106" s="655" t="str">
        <f t="shared" si="67"/>
        <v>1332</v>
      </c>
      <c r="M106" s="656" t="str">
        <f t="shared" si="0"/>
        <v>RECLAM. RECEVABLE-GARANTIE</v>
      </c>
      <c r="N106" s="657">
        <f>+IF(OR($Q106=Parametres!$G$2,$Q106=Parametres!$G$3),I106,C106)</f>
        <v>81514.460000000006</v>
      </c>
      <c r="O106" s="661">
        <f>+IF(OR($Q106=Parametres!$G$2,$Q106=Parametres!$G$3),J106,D106)</f>
        <v>-78097.36</v>
      </c>
      <c r="P106" s="657">
        <f>+IF(OR($Q106=Parametres!$G$2,$Q106=Parametres!$G$3),K106,E106)</f>
        <v>3417.1</v>
      </c>
      <c r="Q106" s="656" t="str">
        <f t="shared" ref="Q106:S106" si="107">+F106</f>
        <v>2-Actifs</v>
      </c>
      <c r="R106" s="655" t="str">
        <f t="shared" si="107"/>
        <v>1332</v>
      </c>
      <c r="S106" s="656">
        <f t="shared" si="107"/>
        <v>0</v>
      </c>
      <c r="T106" s="658" t="str">
        <f>+VLOOKUP($L106,Data_Validation!$A:$D,1,0)</f>
        <v>1332</v>
      </c>
      <c r="U106" s="658" t="str">
        <f>+VLOOKUP($L106,Data_Validation!$A:$D,3,0)</f>
        <v>Bilan</v>
      </c>
      <c r="V106" s="658" t="str">
        <f>+VLOOKUP($L106,Data_Validation!$A:$D,4,0)</f>
        <v>Recevables Garantie Manufacturier</v>
      </c>
      <c r="W106" s="658" t="str">
        <f>+VLOOKUP($L106,Data_Validation!$A:$E,5,0)</f>
        <v>$</v>
      </c>
      <c r="X106" s="658">
        <f>+VLOOKUP($L106,Data_Validation!$A:$F,6,0)</f>
        <v>0</v>
      </c>
    </row>
    <row r="107" spans="1:24" ht="15" customHeight="1">
      <c r="A107" s="1055" t="s">
        <v>838</v>
      </c>
      <c r="B107" s="1055" t="s">
        <v>1474</v>
      </c>
      <c r="C107" s="1057">
        <v>9050.6200000000008</v>
      </c>
      <c r="D107" s="1057">
        <v>3198.86</v>
      </c>
      <c r="E107" s="1057">
        <v>12249.48</v>
      </c>
      <c r="F107" s="1055" t="s">
        <v>818</v>
      </c>
      <c r="G107" s="1055" t="s">
        <v>823</v>
      </c>
      <c r="H107" s="1034"/>
      <c r="I107" s="1035"/>
      <c r="J107" s="1035"/>
      <c r="K107" s="1035"/>
      <c r="L107" s="655" t="str">
        <f t="shared" si="67"/>
        <v>1340</v>
      </c>
      <c r="M107" s="656" t="str">
        <f t="shared" si="0"/>
        <v>GARANTIE PPM</v>
      </c>
      <c r="N107" s="657">
        <f>+IF(OR($Q107=Parametres!$G$2,$Q107=Parametres!$G$3),I107,C107)</f>
        <v>9050.6200000000008</v>
      </c>
      <c r="O107" s="657">
        <f>+IF(OR($Q107=Parametres!$G$2,$Q107=Parametres!$G$3),J107,D107)</f>
        <v>3198.86</v>
      </c>
      <c r="P107" s="657">
        <f>+IF(OR($Q107=Parametres!$G$2,$Q107=Parametres!$G$3),K107,E107)</f>
        <v>12249.48</v>
      </c>
      <c r="Q107" s="656" t="str">
        <f t="shared" ref="Q107:S107" si="108">+F107</f>
        <v>2-Actifs</v>
      </c>
      <c r="R107" s="655" t="str">
        <f t="shared" si="108"/>
        <v>1382</v>
      </c>
      <c r="S107" s="656">
        <f t="shared" si="108"/>
        <v>0</v>
      </c>
      <c r="T107" s="658" t="str">
        <f>+VLOOKUP($L107,Data_Validation!$A:$D,1,0)</f>
        <v>1340</v>
      </c>
      <c r="U107" s="658" t="str">
        <f>+VLOOKUP($L107,Data_Validation!$A:$D,3,0)</f>
        <v>Bilan</v>
      </c>
      <c r="V107" s="658" t="str">
        <f>+VLOOKUP($L107,Data_Validation!$A:$D,4,0)</f>
        <v>recevables Autres</v>
      </c>
      <c r="W107" s="658" t="str">
        <f>+VLOOKUP($L107,Data_Validation!$A:$E,5,0)</f>
        <v>$</v>
      </c>
      <c r="X107" s="658">
        <f>+VLOOKUP($L107,Data_Validation!$A:$F,6,0)</f>
        <v>0</v>
      </c>
    </row>
    <row r="108" spans="1:24" ht="15" customHeight="1">
      <c r="A108" s="1055" t="s">
        <v>839</v>
      </c>
      <c r="B108" s="1055" t="s">
        <v>1477</v>
      </c>
      <c r="C108" s="1057">
        <v>-54183.66</v>
      </c>
      <c r="D108" s="1057">
        <v>17044</v>
      </c>
      <c r="E108" s="1057">
        <v>-37139.660000000003</v>
      </c>
      <c r="F108" s="1055" t="s">
        <v>818</v>
      </c>
      <c r="G108" s="1055" t="s">
        <v>835</v>
      </c>
      <c r="H108" s="1034"/>
      <c r="I108" s="1035"/>
      <c r="J108" s="1035"/>
      <c r="K108" s="1035"/>
      <c r="L108" s="655" t="str">
        <f t="shared" si="67"/>
        <v>1352</v>
      </c>
      <c r="M108" s="656" t="str">
        <f t="shared" si="0"/>
        <v>RECEV. MANUFACTURIER VOLKS</v>
      </c>
      <c r="N108" s="657">
        <f>+IF(OR($Q108=Parametres!$G$2,$Q108=Parametres!$G$3),I108,C108)</f>
        <v>-54183.66</v>
      </c>
      <c r="O108" s="657">
        <f>+IF(OR($Q108=Parametres!$G$2,$Q108=Parametres!$G$3),J108,D108)</f>
        <v>17044</v>
      </c>
      <c r="P108" s="657">
        <f>+IF(OR($Q108=Parametres!$G$2,$Q108=Parametres!$G$3),K108,E108)</f>
        <v>-37139.660000000003</v>
      </c>
      <c r="Q108" s="656" t="str">
        <f t="shared" ref="Q108:S108" si="109">+F108</f>
        <v>2-Actifs</v>
      </c>
      <c r="R108" s="655" t="str">
        <f t="shared" si="109"/>
        <v>1314</v>
      </c>
      <c r="S108" s="656">
        <f t="shared" si="109"/>
        <v>0</v>
      </c>
      <c r="T108" s="658" t="str">
        <f>+VLOOKUP($L108,Data_Validation!$A:$D,1,0)</f>
        <v>1352</v>
      </c>
      <c r="U108" s="658" t="str">
        <f>+VLOOKUP($L108,Data_Validation!$A:$D,3,0)</f>
        <v>Bilan</v>
      </c>
      <c r="V108" s="658" t="str">
        <f>+VLOOKUP($L108,Data_Validation!$A:$D,4,0)</f>
        <v>Recevables Manufacturier</v>
      </c>
      <c r="W108" s="658" t="str">
        <f>+VLOOKUP($L108,Data_Validation!$A:$E,5,0)</f>
        <v>$</v>
      </c>
      <c r="X108" s="658">
        <f>+VLOOKUP($L108,Data_Validation!$A:$F,6,0)</f>
        <v>0</v>
      </c>
    </row>
    <row r="109" spans="1:24" ht="15.75" customHeight="1">
      <c r="A109" s="1055" t="s">
        <v>840</v>
      </c>
      <c r="B109" s="1055" t="s">
        <v>841</v>
      </c>
      <c r="C109" s="1057">
        <v>-2655.24</v>
      </c>
      <c r="D109" s="1057">
        <v>0</v>
      </c>
      <c r="E109" s="1057">
        <v>-2655.24</v>
      </c>
      <c r="F109" s="1055" t="s">
        <v>818</v>
      </c>
      <c r="G109" s="1055" t="s">
        <v>841</v>
      </c>
      <c r="H109" s="1034"/>
      <c r="I109" s="1035"/>
      <c r="J109" s="1035"/>
      <c r="K109" s="1035"/>
      <c r="L109" s="655" t="str">
        <f t="shared" si="67"/>
        <v>1399</v>
      </c>
      <c r="M109" s="656" t="str">
        <f t="shared" si="0"/>
        <v>RESERVE CREANCE DOUTEUSES</v>
      </c>
      <c r="N109" s="657">
        <f>+IF(OR($Q109=Parametres!$G$2,$Q109=Parametres!$G$3),I109,C109)</f>
        <v>-2655.24</v>
      </c>
      <c r="O109" s="661">
        <f>+IF(OR($Q109=Parametres!$G$2,$Q109=Parametres!$G$3),J109,D109)</f>
        <v>0</v>
      </c>
      <c r="P109" s="657">
        <f>+IF(OR($Q109=Parametres!$G$2,$Q109=Parametres!$G$3),K109,E109)</f>
        <v>-2655.24</v>
      </c>
      <c r="Q109" s="656" t="str">
        <f t="shared" ref="Q109:S109" si="110">+F109</f>
        <v>2-Actifs</v>
      </c>
      <c r="R109" s="655" t="str">
        <f t="shared" si="110"/>
        <v>1399</v>
      </c>
      <c r="S109" s="656">
        <f t="shared" si="110"/>
        <v>0</v>
      </c>
      <c r="T109" s="658" t="str">
        <f>+VLOOKUP($L109,Data_Validation!$A:$D,1,0)</f>
        <v>1399</v>
      </c>
      <c r="U109" s="658" t="str">
        <f>+VLOOKUP($L109,Data_Validation!$A:$D,3,0)</f>
        <v>Bilan</v>
      </c>
      <c r="V109" s="658" t="str">
        <f>+VLOOKUP($L109,Data_Validation!$A:$D,4,0)</f>
        <v>Recevables Pièces et Service</v>
      </c>
      <c r="W109" s="658" t="str">
        <f>+VLOOKUP($L109,Data_Validation!$A:$E,5,0)</f>
        <v>$</v>
      </c>
      <c r="X109" s="658">
        <f>+VLOOKUP($L109,Data_Validation!$A:$F,6,0)</f>
        <v>0</v>
      </c>
    </row>
    <row r="110" spans="1:24" ht="15" customHeight="1">
      <c r="A110" s="1055" t="s">
        <v>842</v>
      </c>
      <c r="B110" s="1055" t="s">
        <v>843</v>
      </c>
      <c r="C110" s="1057">
        <v>2737483.13</v>
      </c>
      <c r="D110" s="1057">
        <v>-483507.75</v>
      </c>
      <c r="E110" s="1057">
        <v>2253975.38</v>
      </c>
      <c r="F110" s="1055" t="s">
        <v>818</v>
      </c>
      <c r="G110" s="1055" t="s">
        <v>843</v>
      </c>
      <c r="H110" s="1034"/>
      <c r="I110" s="1035"/>
      <c r="J110" s="1035"/>
      <c r="K110" s="1035"/>
      <c r="L110" s="655" t="str">
        <f t="shared" si="67"/>
        <v>1402</v>
      </c>
      <c r="M110" s="656" t="str">
        <f t="shared" si="0"/>
        <v>VEHIC. NEUFS VOLKS</v>
      </c>
      <c r="N110" s="657">
        <f>+IF(OR($Q110=Parametres!$G$2,$Q110=Parametres!$G$3),I110,C110)</f>
        <v>2737483.13</v>
      </c>
      <c r="O110" s="657">
        <f>+IF(OR($Q110=Parametres!$G$2,$Q110=Parametres!$G$3),J110,D110)</f>
        <v>-483507.75</v>
      </c>
      <c r="P110" s="657">
        <f>+IF(OR($Q110=Parametres!$G$2,$Q110=Parametres!$G$3),K110,E110)</f>
        <v>2253975.38</v>
      </c>
      <c r="Q110" s="656" t="str">
        <f t="shared" ref="Q110:S110" si="111">+F110</f>
        <v>2-Actifs</v>
      </c>
      <c r="R110" s="655" t="str">
        <f t="shared" si="111"/>
        <v>1402</v>
      </c>
      <c r="S110" s="656">
        <f t="shared" si="111"/>
        <v>0</v>
      </c>
      <c r="T110" s="658" t="str">
        <f>+VLOOKUP($L110,Data_Validation!$A:$D,1,0)</f>
        <v>1402</v>
      </c>
      <c r="U110" s="658" t="str">
        <f>+VLOOKUP($L110,Data_Validation!$A:$D,3,0)</f>
        <v>Bilan</v>
      </c>
      <c r="V110" s="658" t="str">
        <f>+VLOOKUP($L110,Data_Validation!$A:$D,4,0)</f>
        <v>Inventaire Véhicules Neufs</v>
      </c>
      <c r="W110" s="658" t="str">
        <f>+VLOOKUP($L110,Data_Validation!$A:$E,5,0)</f>
        <v>$</v>
      </c>
      <c r="X110" s="658">
        <f>+VLOOKUP($L110,Data_Validation!$A:$F,6,0)</f>
        <v>0</v>
      </c>
    </row>
    <row r="111" spans="1:24" ht="15" customHeight="1">
      <c r="A111" s="1055" t="s">
        <v>846</v>
      </c>
      <c r="B111" s="1055" t="s">
        <v>1489</v>
      </c>
      <c r="C111" s="1057">
        <v>-57100</v>
      </c>
      <c r="D111" s="1057">
        <v>-1875</v>
      </c>
      <c r="E111" s="1057">
        <v>-58975</v>
      </c>
      <c r="F111" s="1055" t="s">
        <v>818</v>
      </c>
      <c r="G111" s="1055" t="s">
        <v>843</v>
      </c>
      <c r="H111" s="1034"/>
      <c r="I111" s="1035"/>
      <c r="J111" s="1035"/>
      <c r="K111" s="1035"/>
      <c r="L111" s="655" t="str">
        <f t="shared" si="67"/>
        <v>1403</v>
      </c>
      <c r="M111" s="656" t="str">
        <f t="shared" si="0"/>
        <v>BRUISING VOLKS VEH. NEUFS</v>
      </c>
      <c r="N111" s="657">
        <f>+IF(OR($Q111=Parametres!$G$2,$Q111=Parametres!$G$3),I111,C111)</f>
        <v>-57100</v>
      </c>
      <c r="O111" s="657">
        <f>+IF(OR($Q111=Parametres!$G$2,$Q111=Parametres!$G$3),J111,D111)</f>
        <v>-1875</v>
      </c>
      <c r="P111" s="657">
        <f>+IF(OR($Q111=Parametres!$G$2,$Q111=Parametres!$G$3),K111,E111)</f>
        <v>-58975</v>
      </c>
      <c r="Q111" s="656" t="str">
        <f t="shared" ref="Q111:S111" si="112">+F111</f>
        <v>2-Actifs</v>
      </c>
      <c r="R111" s="655" t="str">
        <f t="shared" si="112"/>
        <v>1402</v>
      </c>
      <c r="S111" s="656">
        <f t="shared" si="112"/>
        <v>0</v>
      </c>
      <c r="T111" s="658" t="str">
        <f>+VLOOKUP($L111,Data_Validation!$A:$D,1,0)</f>
        <v>1403</v>
      </c>
      <c r="U111" s="658" t="str">
        <f>+VLOOKUP($L111,Data_Validation!$A:$D,3,0)</f>
        <v>Bilan</v>
      </c>
      <c r="V111" s="658" t="str">
        <f>+VLOOKUP($L111,Data_Validation!$A:$D,4,0)</f>
        <v>Inventaire Véhicules Neufs</v>
      </c>
      <c r="W111" s="658" t="str">
        <f>+VLOOKUP($L111,Data_Validation!$A:$E,5,0)</f>
        <v>$</v>
      </c>
      <c r="X111" s="658">
        <f>+VLOOKUP($L111,Data_Validation!$A:$F,6,0)</f>
        <v>0</v>
      </c>
    </row>
    <row r="112" spans="1:24" ht="15" customHeight="1">
      <c r="A112" s="1055" t="s">
        <v>847</v>
      </c>
      <c r="B112" s="1055" t="s">
        <v>848</v>
      </c>
      <c r="C112" s="1057">
        <v>-5312</v>
      </c>
      <c r="D112" s="1057">
        <v>-2400</v>
      </c>
      <c r="E112" s="1057">
        <v>-7712</v>
      </c>
      <c r="F112" s="1055" t="s">
        <v>818</v>
      </c>
      <c r="G112" s="1055" t="s">
        <v>848</v>
      </c>
      <c r="H112" s="1034"/>
      <c r="I112" s="1035"/>
      <c r="J112" s="1035"/>
      <c r="K112" s="1035"/>
      <c r="L112" s="655" t="str">
        <f t="shared" si="67"/>
        <v>1413</v>
      </c>
      <c r="M112" s="656" t="str">
        <f t="shared" si="0"/>
        <v>BRUISING USED CAR</v>
      </c>
      <c r="N112" s="657">
        <f>+IF(OR($Q112=Parametres!$G$2,$Q112=Parametres!$G$3),I112,C112)</f>
        <v>-5312</v>
      </c>
      <c r="O112" s="657">
        <f>+IF(OR($Q112=Parametres!$G$2,$Q112=Parametres!$G$3),J112,D112)</f>
        <v>-2400</v>
      </c>
      <c r="P112" s="657">
        <f>+IF(OR($Q112=Parametres!$G$2,$Q112=Parametres!$G$3),K112,E112)</f>
        <v>-7712</v>
      </c>
      <c r="Q112" s="656" t="str">
        <f t="shared" ref="Q112:S112" si="113">+F112</f>
        <v>2-Actifs</v>
      </c>
      <c r="R112" s="655" t="str">
        <f t="shared" si="113"/>
        <v>1413</v>
      </c>
      <c r="S112" s="656">
        <f t="shared" si="113"/>
        <v>0</v>
      </c>
      <c r="T112" s="658" t="str">
        <f>+VLOOKUP($L112,Data_Validation!$A:$D,1,0)</f>
        <v>1413</v>
      </c>
      <c r="U112" s="658" t="str">
        <f>+VLOOKUP($L112,Data_Validation!$A:$D,3,0)</f>
        <v>Bilan</v>
      </c>
      <c r="V112" s="658" t="str">
        <f>+VLOOKUP($L112,Data_Validation!$A:$D,4,0)</f>
        <v>Inventaire Véhicules Usagés</v>
      </c>
      <c r="W112" s="658" t="str">
        <f>+VLOOKUP($L112,Data_Validation!$A:$E,5,0)</f>
        <v>$</v>
      </c>
      <c r="X112" s="658">
        <f>+VLOOKUP($L112,Data_Validation!$A:$F,6,0)</f>
        <v>0</v>
      </c>
    </row>
    <row r="113" spans="1:24" ht="15.75" customHeight="1">
      <c r="A113" s="1055" t="s">
        <v>849</v>
      </c>
      <c r="B113" s="1055" t="s">
        <v>850</v>
      </c>
      <c r="C113" s="1057">
        <v>2836520.29</v>
      </c>
      <c r="D113" s="1057">
        <v>-348389.8</v>
      </c>
      <c r="E113" s="1057">
        <v>2488130.4900000002</v>
      </c>
      <c r="F113" s="1055" t="s">
        <v>818</v>
      </c>
      <c r="G113" s="1055" t="s">
        <v>850</v>
      </c>
      <c r="H113" s="1034"/>
      <c r="I113" s="1035"/>
      <c r="J113" s="1035"/>
      <c r="K113" s="1035"/>
      <c r="L113" s="655" t="str">
        <f t="shared" si="67"/>
        <v>1416</v>
      </c>
      <c r="M113" s="656" t="str">
        <f t="shared" si="0"/>
        <v>INV. VEH. USAGE VW</v>
      </c>
      <c r="N113" s="657">
        <f>+IF(OR($Q113=Parametres!$G$2,$Q113=Parametres!$G$3),I113,C113)</f>
        <v>2836520.29</v>
      </c>
      <c r="O113" s="661">
        <f>+IF(OR($Q113=Parametres!$G$2,$Q113=Parametres!$G$3),J113,D113)</f>
        <v>-348389.8</v>
      </c>
      <c r="P113" s="657">
        <f>+IF(OR($Q113=Parametres!$G$2,$Q113=Parametres!$G$3),K113,E113)</f>
        <v>2488130.4900000002</v>
      </c>
      <c r="Q113" s="656" t="str">
        <f t="shared" ref="Q113:S113" si="114">+F113</f>
        <v>2-Actifs</v>
      </c>
      <c r="R113" s="655" t="str">
        <f t="shared" si="114"/>
        <v>1416</v>
      </c>
      <c r="S113" s="656">
        <f t="shared" si="114"/>
        <v>0</v>
      </c>
      <c r="T113" s="658" t="str">
        <f>+VLOOKUP($L113,Data_Validation!$A:$D,1,0)</f>
        <v>1416</v>
      </c>
      <c r="U113" s="658" t="str">
        <f>+VLOOKUP($L113,Data_Validation!$A:$D,3,0)</f>
        <v>Bilan</v>
      </c>
      <c r="V113" s="658" t="str">
        <f>+VLOOKUP($L113,Data_Validation!$A:$D,4,0)</f>
        <v>Inventaire Véhicules Usagés</v>
      </c>
      <c r="W113" s="658" t="str">
        <f>+VLOOKUP($L113,Data_Validation!$A:$E,5,0)</f>
        <v>$</v>
      </c>
      <c r="X113" s="658">
        <f>+VLOOKUP($L113,Data_Validation!$A:$F,6,0)</f>
        <v>0</v>
      </c>
    </row>
    <row r="114" spans="1:24" ht="15" customHeight="1">
      <c r="A114" s="1055" t="s">
        <v>853</v>
      </c>
      <c r="B114" s="1055" t="s">
        <v>854</v>
      </c>
      <c r="C114" s="1057">
        <v>-11095.25</v>
      </c>
      <c r="D114" s="1057">
        <v>-7064.46</v>
      </c>
      <c r="E114" s="1057">
        <v>-18159.71</v>
      </c>
      <c r="F114" s="1055" t="s">
        <v>818</v>
      </c>
      <c r="G114" s="1055" t="s">
        <v>854</v>
      </c>
      <c r="H114" s="1034"/>
      <c r="I114" s="1035"/>
      <c r="J114" s="1035"/>
      <c r="K114" s="1035"/>
      <c r="L114" s="655" t="str">
        <f t="shared" si="67"/>
        <v>1423</v>
      </c>
      <c r="M114" s="670" t="str">
        <f t="shared" si="0"/>
        <v>RESERVE DEMO</v>
      </c>
      <c r="N114" s="657">
        <f>+IF(OR($Q114=Parametres!$G$2,$Q114=Parametres!$G$3),I114,C114)</f>
        <v>-11095.25</v>
      </c>
      <c r="O114" s="714">
        <f>+IF(OR($Q114=Parametres!$G$2,$Q114=Parametres!$G$3),J114,D114)</f>
        <v>-7064.46</v>
      </c>
      <c r="P114" s="671">
        <f>+IF(OR($Q114=Parametres!$G$2,$Q114=Parametres!$G$3),K114,E114)</f>
        <v>-18159.71</v>
      </c>
      <c r="Q114" s="656" t="str">
        <f t="shared" ref="Q114:S114" si="115">+F114</f>
        <v>2-Actifs</v>
      </c>
      <c r="R114" s="655" t="str">
        <f t="shared" si="115"/>
        <v>1423</v>
      </c>
      <c r="S114" s="656">
        <f t="shared" si="115"/>
        <v>0</v>
      </c>
      <c r="T114" s="658" t="str">
        <f>+VLOOKUP($L114,Data_Validation!$A:$D,1,0)</f>
        <v>1423</v>
      </c>
      <c r="U114" s="658" t="str">
        <f>+VLOOKUP($L114,Data_Validation!$A:$D,3,0)</f>
        <v>Bilan</v>
      </c>
      <c r="V114" s="658" t="str">
        <f>+VLOOKUP($L114,Data_Validation!$A:$D,4,0)</f>
        <v>Inventaire Véhicules Neufs</v>
      </c>
      <c r="W114" s="658" t="str">
        <f>+VLOOKUP($L114,Data_Validation!$A:$E,5,0)</f>
        <v>$</v>
      </c>
      <c r="X114" s="658">
        <f>+VLOOKUP($L114,Data_Validation!$A:$F,6,0)</f>
        <v>0</v>
      </c>
    </row>
    <row r="115" spans="1:24" ht="15" customHeight="1">
      <c r="A115" s="1055" t="s">
        <v>855</v>
      </c>
      <c r="B115" s="1055" t="s">
        <v>3370</v>
      </c>
      <c r="C115" s="1057">
        <v>-36318.639999999999</v>
      </c>
      <c r="D115" s="1057">
        <v>6920.62</v>
      </c>
      <c r="E115" s="1057">
        <v>-29398.02</v>
      </c>
      <c r="F115" s="1055" t="s">
        <v>818</v>
      </c>
      <c r="G115" s="1055" t="s">
        <v>856</v>
      </c>
      <c r="H115" s="1034"/>
      <c r="I115" s="1035"/>
      <c r="J115" s="1035"/>
      <c r="K115" s="1035"/>
      <c r="L115" s="655" t="str">
        <f t="shared" si="67"/>
        <v>1433</v>
      </c>
      <c r="M115" s="656" t="str">
        <f t="shared" si="0"/>
        <v>RESERVE COURTOISIE</v>
      </c>
      <c r="N115" s="657">
        <f>+IF(OR($Q115=Parametres!$G$2,$Q115=Parametres!$G$3),I115,C115)</f>
        <v>-36318.639999999999</v>
      </c>
      <c r="O115" s="657">
        <f>+IF(OR($Q115=Parametres!$G$2,$Q115=Parametres!$G$3),J115,D115)</f>
        <v>6920.62</v>
      </c>
      <c r="P115" s="657">
        <f>+IF(OR($Q115=Parametres!$G$2,$Q115=Parametres!$G$3),K115,E115)</f>
        <v>-29398.02</v>
      </c>
      <c r="Q115" s="656" t="str">
        <f t="shared" ref="Q115:S115" si="116">+F115</f>
        <v>2-Actifs</v>
      </c>
      <c r="R115" s="655" t="str">
        <f t="shared" si="116"/>
        <v>143</v>
      </c>
      <c r="S115" s="656">
        <f t="shared" si="116"/>
        <v>0</v>
      </c>
      <c r="T115" s="673" t="str">
        <f>+VLOOKUP($L115,Data_Validation!$A:$D,1,0)</f>
        <v>1433</v>
      </c>
      <c r="U115" s="658" t="str">
        <f>+VLOOKUP($L115,Data_Validation!$A:$D,3,0)</f>
        <v>Bilan</v>
      </c>
      <c r="V115" s="658" t="str">
        <f>+VLOOKUP($L115,Data_Validation!$A:$D,4,0)</f>
        <v>Inventaire Véhicules Neufs</v>
      </c>
      <c r="W115" s="658" t="str">
        <f>+VLOOKUP($L115,Data_Validation!$A:$E,5,0)</f>
        <v>$</v>
      </c>
      <c r="X115" s="658">
        <f>+VLOOKUP($L115,Data_Validation!$A:$F,6,0)</f>
        <v>0</v>
      </c>
    </row>
    <row r="116" spans="1:24" ht="15" customHeight="1">
      <c r="A116" s="1055" t="s">
        <v>857</v>
      </c>
      <c r="B116" s="1055" t="s">
        <v>858</v>
      </c>
      <c r="C116" s="1057">
        <v>65871.789999999994</v>
      </c>
      <c r="D116" s="1057">
        <v>-10711.08</v>
      </c>
      <c r="E116" s="1057">
        <v>55160.71</v>
      </c>
      <c r="F116" s="1055" t="s">
        <v>818</v>
      </c>
      <c r="G116" s="1055" t="s">
        <v>858</v>
      </c>
      <c r="H116" s="1034"/>
      <c r="I116" s="1035"/>
      <c r="J116" s="1035"/>
      <c r="K116" s="1035"/>
      <c r="L116" s="655" t="str">
        <f t="shared" si="67"/>
        <v>1442</v>
      </c>
      <c r="M116" s="656" t="str">
        <f t="shared" si="0"/>
        <v>PIECES &amp; ACCESSOIRES NEUFS</v>
      </c>
      <c r="N116" s="657">
        <f>+IF(OR($Q116=Parametres!$G$2,$Q116=Parametres!$G$3),I116,C116)</f>
        <v>65871.789999999994</v>
      </c>
      <c r="O116" s="657">
        <f>+IF(OR($Q116=Parametres!$G$2,$Q116=Parametres!$G$3),J116,D116)</f>
        <v>-10711.08</v>
      </c>
      <c r="P116" s="657">
        <f>+IF(OR($Q116=Parametres!$G$2,$Q116=Parametres!$G$3),K116,E116)</f>
        <v>55160.71</v>
      </c>
      <c r="Q116" s="656" t="str">
        <f t="shared" ref="Q116:S116" si="117">+F116</f>
        <v>2-Actifs</v>
      </c>
      <c r="R116" s="655" t="str">
        <f t="shared" si="117"/>
        <v>1442</v>
      </c>
      <c r="S116" s="656">
        <f t="shared" si="117"/>
        <v>0</v>
      </c>
      <c r="T116" s="658" t="str">
        <f>+VLOOKUP($L116,Data_Validation!$A:$D,1,0)</f>
        <v>1442</v>
      </c>
      <c r="U116" s="658" t="str">
        <f>+VLOOKUP($L116,Data_Validation!$A:$D,3,0)</f>
        <v>Bilan</v>
      </c>
      <c r="V116" s="658" t="str">
        <f>+VLOOKUP($L116,Data_Validation!$A:$D,4,0)</f>
        <v>Inventaire Pièces, Pneus, Huile</v>
      </c>
      <c r="W116" s="658" t="str">
        <f>+VLOOKUP($L116,Data_Validation!$A:$E,5,0)</f>
        <v>$</v>
      </c>
      <c r="X116" s="658">
        <f>+VLOOKUP($L116,Data_Validation!$A:$F,6,0)</f>
        <v>0</v>
      </c>
    </row>
    <row r="117" spans="1:24" ht="15.75" customHeight="1">
      <c r="A117" s="1055" t="s">
        <v>859</v>
      </c>
      <c r="B117" s="1055" t="s">
        <v>3371</v>
      </c>
      <c r="C117" s="1057">
        <v>346.5</v>
      </c>
      <c r="D117" s="1057">
        <v>-346.5</v>
      </c>
      <c r="E117" s="1057">
        <v>0</v>
      </c>
      <c r="F117" s="1055" t="s">
        <v>818</v>
      </c>
      <c r="G117" s="1055" t="s">
        <v>858</v>
      </c>
      <c r="H117" s="1034"/>
      <c r="I117" s="1035"/>
      <c r="J117" s="1035"/>
      <c r="K117" s="1035"/>
      <c r="L117" s="655" t="str">
        <f t="shared" si="67"/>
        <v>1448</v>
      </c>
      <c r="M117" s="670" t="str">
        <f t="shared" si="0"/>
        <v>AUTRES MARQUES P&amp;A</v>
      </c>
      <c r="N117" s="657">
        <f>+IF(OR($Q117=Parametres!$G$2,$Q117=Parametres!$G$3),I117,C117)</f>
        <v>346.5</v>
      </c>
      <c r="O117" s="714">
        <f>+IF(OR($Q117=Parametres!$G$2,$Q117=Parametres!$G$3),J117,D117)</f>
        <v>-346.5</v>
      </c>
      <c r="P117" s="671">
        <f>+IF(OR($Q117=Parametres!$G$2,$Q117=Parametres!$G$3),K117,E117)</f>
        <v>0</v>
      </c>
      <c r="Q117" s="656" t="str">
        <f t="shared" ref="Q117:S117" si="118">+F117</f>
        <v>2-Actifs</v>
      </c>
      <c r="R117" s="655" t="str">
        <f t="shared" si="118"/>
        <v>1442</v>
      </c>
      <c r="S117" s="656">
        <f t="shared" si="118"/>
        <v>0</v>
      </c>
      <c r="T117" s="658" t="str">
        <f>+VLOOKUP($L117,Data_Validation!$A:$D,1,0)</f>
        <v>1448</v>
      </c>
      <c r="U117" s="658" t="str">
        <f>+VLOOKUP($L117,Data_Validation!$A:$D,3,0)</f>
        <v>Bilan</v>
      </c>
      <c r="V117" s="658" t="str">
        <f>+VLOOKUP($L117,Data_Validation!$A:$D,4,0)</f>
        <v>Inventaire Pièces, Pneus, Huile</v>
      </c>
      <c r="W117" s="658" t="str">
        <f>+VLOOKUP($L117,Data_Validation!$A:$E,5,0)</f>
        <v>$</v>
      </c>
      <c r="X117" s="658">
        <f>+VLOOKUP($L117,Data_Validation!$A:$F,6,0)</f>
        <v>0</v>
      </c>
    </row>
    <row r="118" spans="1:24" ht="15" customHeight="1">
      <c r="A118" s="1055" t="s">
        <v>860</v>
      </c>
      <c r="B118" s="1055" t="s">
        <v>1500</v>
      </c>
      <c r="C118" s="1057">
        <v>184295.38</v>
      </c>
      <c r="D118" s="1057">
        <v>6291.44</v>
      </c>
      <c r="E118" s="1057">
        <v>190586.82</v>
      </c>
      <c r="F118" s="1055" t="s">
        <v>818</v>
      </c>
      <c r="G118" s="1055" t="s">
        <v>858</v>
      </c>
      <c r="H118" s="1034"/>
      <c r="I118" s="1035"/>
      <c r="J118" s="1035"/>
      <c r="K118" s="1035"/>
      <c r="L118" s="655" t="str">
        <f t="shared" si="67"/>
        <v>1452</v>
      </c>
      <c r="M118" s="656" t="str">
        <f t="shared" si="0"/>
        <v>PNEUS</v>
      </c>
      <c r="N118" s="657">
        <f>+IF(OR($Q118=Parametres!$G$2,$Q118=Parametres!$G$3),I118,C118)</f>
        <v>184295.38</v>
      </c>
      <c r="O118" s="661">
        <f>+IF(OR($Q118=Parametres!$G$2,$Q118=Parametres!$G$3),J118,D118)</f>
        <v>6291.44</v>
      </c>
      <c r="P118" s="657">
        <f>+IF(OR($Q118=Parametres!$G$2,$Q118=Parametres!$G$3),K118,E118)</f>
        <v>190586.82</v>
      </c>
      <c r="Q118" s="656" t="str">
        <f t="shared" ref="Q118:S118" si="119">+F118</f>
        <v>2-Actifs</v>
      </c>
      <c r="R118" s="655" t="str">
        <f t="shared" si="119"/>
        <v>1442</v>
      </c>
      <c r="S118" s="656">
        <f t="shared" si="119"/>
        <v>0</v>
      </c>
      <c r="T118" s="658" t="str">
        <f>+VLOOKUP($L118,Data_Validation!$A:$D,1,0)</f>
        <v>1452</v>
      </c>
      <c r="U118" s="658" t="str">
        <f>+VLOOKUP($L118,Data_Validation!$A:$D,3,0)</f>
        <v>Bilan</v>
      </c>
      <c r="V118" s="658" t="str">
        <f>+VLOOKUP($L118,Data_Validation!$A:$D,4,0)</f>
        <v>Inventaire Pièces, Pneus, Huile</v>
      </c>
      <c r="W118" s="658" t="str">
        <f>+VLOOKUP($L118,Data_Validation!$A:$E,5,0)</f>
        <v>$</v>
      </c>
      <c r="X118" s="658">
        <f>+VLOOKUP($L118,Data_Validation!$A:$F,6,0)</f>
        <v>0</v>
      </c>
    </row>
    <row r="119" spans="1:24" ht="15" customHeight="1">
      <c r="A119" s="1055" t="s">
        <v>861</v>
      </c>
      <c r="B119" s="1055" t="s">
        <v>862</v>
      </c>
      <c r="C119" s="1057">
        <v>87436.52</v>
      </c>
      <c r="D119" s="1057">
        <v>4161.88</v>
      </c>
      <c r="E119" s="1057">
        <v>91598.399999999994</v>
      </c>
      <c r="F119" s="1055" t="s">
        <v>818</v>
      </c>
      <c r="G119" s="1055" t="s">
        <v>862</v>
      </c>
      <c r="H119" s="1034"/>
      <c r="I119" s="1035"/>
      <c r="J119" s="1035"/>
      <c r="K119" s="1035"/>
      <c r="L119" s="655" t="str">
        <f t="shared" si="67"/>
        <v>1456</v>
      </c>
      <c r="M119" s="656" t="str">
        <f t="shared" si="0"/>
        <v>PIECES VW NON ORIGINE</v>
      </c>
      <c r="N119" s="657">
        <f>+IF(OR($Q119=Parametres!$G$2,$Q119=Parametres!$G$3),I119,C119)</f>
        <v>87436.52</v>
      </c>
      <c r="O119" s="661">
        <f>+IF(OR($Q119=Parametres!$G$2,$Q119=Parametres!$G$3),J119,D119)</f>
        <v>4161.88</v>
      </c>
      <c r="P119" s="657">
        <f>+IF(OR($Q119=Parametres!$G$2,$Q119=Parametres!$G$3),K119,E119)</f>
        <v>91598.399999999994</v>
      </c>
      <c r="Q119" s="656" t="str">
        <f t="shared" ref="Q119:S119" si="120">+F119</f>
        <v>2-Actifs</v>
      </c>
      <c r="R119" s="655" t="str">
        <f t="shared" si="120"/>
        <v>1456</v>
      </c>
      <c r="S119" s="656">
        <f t="shared" si="120"/>
        <v>0</v>
      </c>
      <c r="T119" s="658" t="str">
        <f>+VLOOKUP($L119,Data_Validation!$A:$D,1,0)</f>
        <v>1456</v>
      </c>
      <c r="U119" s="658" t="str">
        <f>+VLOOKUP($L119,Data_Validation!$A:$D,3,0)</f>
        <v>Bilan</v>
      </c>
      <c r="V119" s="658" t="str">
        <f>+VLOOKUP($L119,Data_Validation!$A:$D,4,0)</f>
        <v>Inventaire Pièces, Pneus, Huile</v>
      </c>
      <c r="W119" s="658" t="str">
        <f>+VLOOKUP($L119,Data_Validation!$A:$E,5,0)</f>
        <v>$</v>
      </c>
      <c r="X119" s="658">
        <f>+VLOOKUP($L119,Data_Validation!$A:$F,6,0)</f>
        <v>0</v>
      </c>
    </row>
    <row r="120" spans="1:24" ht="15" customHeight="1">
      <c r="A120" s="1055" t="s">
        <v>863</v>
      </c>
      <c r="B120" s="1055" t="s">
        <v>864</v>
      </c>
      <c r="C120" s="1057">
        <v>6332.7</v>
      </c>
      <c r="D120" s="1057">
        <v>3466.3</v>
      </c>
      <c r="E120" s="1057">
        <v>9799</v>
      </c>
      <c r="F120" s="1055" t="s">
        <v>818</v>
      </c>
      <c r="G120" s="1055" t="s">
        <v>864</v>
      </c>
      <c r="H120" s="1034"/>
      <c r="I120" s="1035"/>
      <c r="J120" s="1035"/>
      <c r="K120" s="1035"/>
      <c r="L120" s="655" t="str">
        <f t="shared" si="67"/>
        <v>1472</v>
      </c>
      <c r="M120" s="656" t="str">
        <f t="shared" si="0"/>
        <v>WIP M-O VW</v>
      </c>
      <c r="N120" s="657">
        <f>+IF(OR($Q120=Parametres!$G$2,$Q120=Parametres!$G$3),I120,C120)</f>
        <v>6332.7</v>
      </c>
      <c r="O120" s="657">
        <f>+IF(OR($Q120=Parametres!$G$2,$Q120=Parametres!$G$3),J120,D120)</f>
        <v>3466.3</v>
      </c>
      <c r="P120" s="657">
        <f>+IF(OR($Q120=Parametres!$G$2,$Q120=Parametres!$G$3),K120,E120)</f>
        <v>9799</v>
      </c>
      <c r="Q120" s="656" t="str">
        <f t="shared" ref="Q120:S120" si="121">+F120</f>
        <v>2-Actifs</v>
      </c>
      <c r="R120" s="655" t="str">
        <f t="shared" si="121"/>
        <v>1472</v>
      </c>
      <c r="S120" s="656">
        <f t="shared" si="121"/>
        <v>0</v>
      </c>
      <c r="T120" s="658" t="str">
        <f>+VLOOKUP($L120,Data_Validation!$A:$D,1,0)</f>
        <v>1472</v>
      </c>
      <c r="U120" s="658" t="str">
        <f>+VLOOKUP($L120,Data_Validation!$A:$D,3,0)</f>
        <v>Bilan</v>
      </c>
      <c r="V120" s="658" t="str">
        <f>+VLOOKUP($L120,Data_Validation!$A:$D,4,0)</f>
        <v>Travaux en Cours</v>
      </c>
      <c r="W120" s="658" t="str">
        <f>+VLOOKUP($L120,Data_Validation!$A:$E,5,0)</f>
        <v>$</v>
      </c>
      <c r="X120" s="658">
        <f>+VLOOKUP($L120,Data_Validation!$A:$F,6,0)</f>
        <v>0</v>
      </c>
    </row>
    <row r="121" spans="1:24" ht="15" customHeight="1">
      <c r="A121" s="1055" t="s">
        <v>865</v>
      </c>
      <c r="B121" s="1055" t="s">
        <v>1507</v>
      </c>
      <c r="C121" s="1057">
        <v>2533.04</v>
      </c>
      <c r="D121" s="1057">
        <v>4139.5600000000004</v>
      </c>
      <c r="E121" s="1057">
        <v>6672.6</v>
      </c>
      <c r="F121" s="1055" t="s">
        <v>818</v>
      </c>
      <c r="G121" s="1055" t="s">
        <v>864</v>
      </c>
      <c r="H121" s="1034"/>
      <c r="I121" s="1035"/>
      <c r="J121" s="1035"/>
      <c r="K121" s="1035"/>
      <c r="L121" s="655" t="str">
        <f t="shared" si="67"/>
        <v>1474</v>
      </c>
      <c r="M121" s="656" t="str">
        <f t="shared" si="0"/>
        <v>INVENTAIRE SOUS-TRAITANTS</v>
      </c>
      <c r="N121" s="657">
        <f>+IF(OR($Q121=Parametres!$G$2,$Q121=Parametres!$G$3),I121,C121)</f>
        <v>2533.04</v>
      </c>
      <c r="O121" s="657">
        <f>+IF(OR($Q121=Parametres!$G$2,$Q121=Parametres!$G$3),J121,D121)</f>
        <v>4139.5600000000004</v>
      </c>
      <c r="P121" s="657">
        <f>+IF(OR($Q121=Parametres!$G$2,$Q121=Parametres!$G$3),K121,E121)</f>
        <v>6672.6</v>
      </c>
      <c r="Q121" s="656" t="str">
        <f t="shared" ref="Q121:S121" si="122">+F121</f>
        <v>2-Actifs</v>
      </c>
      <c r="R121" s="655" t="str">
        <f t="shared" si="122"/>
        <v>1472</v>
      </c>
      <c r="S121" s="656">
        <f t="shared" si="122"/>
        <v>0</v>
      </c>
      <c r="T121" s="658" t="str">
        <f>+VLOOKUP($L121,Data_Validation!$A:$D,1,0)</f>
        <v>1474</v>
      </c>
      <c r="U121" s="658" t="str">
        <f>+VLOOKUP($L121,Data_Validation!$A:$D,3,0)</f>
        <v>Bilan</v>
      </c>
      <c r="V121" s="658" t="str">
        <f>+VLOOKUP($L121,Data_Validation!$A:$D,4,0)</f>
        <v>Sous-Traitance</v>
      </c>
      <c r="W121" s="658" t="str">
        <f>+VLOOKUP($L121,Data_Validation!$A:$E,5,0)</f>
        <v>$</v>
      </c>
      <c r="X121" s="658">
        <f>+VLOOKUP($L121,Data_Validation!$A:$F,6,0)</f>
        <v>0</v>
      </c>
    </row>
    <row r="122" spans="1:24" ht="15" customHeight="1">
      <c r="A122" s="1055" t="s">
        <v>866</v>
      </c>
      <c r="B122" s="1055" t="s">
        <v>1510</v>
      </c>
      <c r="C122" s="1057">
        <v>1932.59</v>
      </c>
      <c r="D122" s="1057">
        <v>15309.97</v>
      </c>
      <c r="E122" s="1057">
        <v>17242.560000000001</v>
      </c>
      <c r="F122" s="1055" t="s">
        <v>818</v>
      </c>
      <c r="G122" s="1055" t="s">
        <v>858</v>
      </c>
      <c r="H122" s="1034"/>
      <c r="I122" s="1035"/>
      <c r="J122" s="1035"/>
      <c r="K122" s="1035"/>
      <c r="L122" s="655" t="str">
        <f t="shared" si="67"/>
        <v>1492</v>
      </c>
      <c r="M122" s="656" t="str">
        <f t="shared" si="0"/>
        <v>CARBURANT, HUILE, GRAISSE</v>
      </c>
      <c r="N122" s="657">
        <f>+IF(OR($Q122=Parametres!$G$2,$Q122=Parametres!$G$3),I122,C122)</f>
        <v>1932.59</v>
      </c>
      <c r="O122" s="657">
        <f>+IF(OR($Q122=Parametres!$G$2,$Q122=Parametres!$G$3),J122,D122)</f>
        <v>15309.97</v>
      </c>
      <c r="P122" s="657">
        <f>+IF(OR($Q122=Parametres!$G$2,$Q122=Parametres!$G$3),K122,E122)</f>
        <v>17242.560000000001</v>
      </c>
      <c r="Q122" s="656" t="str">
        <f t="shared" ref="Q122:S122" si="123">+F122</f>
        <v>2-Actifs</v>
      </c>
      <c r="R122" s="655" t="str">
        <f t="shared" si="123"/>
        <v>1442</v>
      </c>
      <c r="S122" s="656">
        <f t="shared" si="123"/>
        <v>0</v>
      </c>
      <c r="T122" s="658" t="str">
        <f>+VLOOKUP($L122,Data_Validation!$A:$D,1,0)</f>
        <v>1492</v>
      </c>
      <c r="U122" s="658" t="str">
        <f>+VLOOKUP($L122,Data_Validation!$A:$D,3,0)</f>
        <v>Bilan</v>
      </c>
      <c r="V122" s="658" t="str">
        <f>+VLOOKUP($L122,Data_Validation!$A:$D,4,0)</f>
        <v>Inventaire Pièces, Pneus, Huile</v>
      </c>
      <c r="W122" s="658" t="str">
        <f>+VLOOKUP($L122,Data_Validation!$A:$E,5,0)</f>
        <v>$</v>
      </c>
      <c r="X122" s="658">
        <f>+VLOOKUP($L122,Data_Validation!$A:$F,6,0)</f>
        <v>0</v>
      </c>
    </row>
    <row r="123" spans="1:24" ht="15.75" customHeight="1">
      <c r="A123" s="1055" t="s">
        <v>867</v>
      </c>
      <c r="B123" s="1055" t="s">
        <v>868</v>
      </c>
      <c r="C123" s="1057">
        <v>47.1</v>
      </c>
      <c r="D123" s="1057">
        <v>0</v>
      </c>
      <c r="E123" s="1057">
        <v>47.1</v>
      </c>
      <c r="F123" s="1055" t="s">
        <v>818</v>
      </c>
      <c r="G123" s="1055" t="s">
        <v>868</v>
      </c>
      <c r="H123" s="1034"/>
      <c r="I123" s="1035"/>
      <c r="J123" s="1035"/>
      <c r="K123" s="1035"/>
      <c r="L123" s="655" t="str">
        <f t="shared" si="67"/>
        <v>1498</v>
      </c>
      <c r="M123" s="656" t="str">
        <f t="shared" si="0"/>
        <v>AUTRES INVENTAIRES</v>
      </c>
      <c r="N123" s="657">
        <f>+IF(OR($Q123=Parametres!$G$2,$Q123=Parametres!$G$3),I123,C123)</f>
        <v>47.1</v>
      </c>
      <c r="O123" s="657">
        <f>+IF(OR($Q123=Parametres!$G$2,$Q123=Parametres!$G$3),J123,D123)</f>
        <v>0</v>
      </c>
      <c r="P123" s="657">
        <f>+IF(OR($Q123=Parametres!$G$2,$Q123=Parametres!$G$3),K123,E123)</f>
        <v>47.1</v>
      </c>
      <c r="Q123" s="656" t="str">
        <f t="shared" ref="Q123:S123" si="124">+F123</f>
        <v>2-Actifs</v>
      </c>
      <c r="R123" s="655" t="str">
        <f t="shared" si="124"/>
        <v>1498</v>
      </c>
      <c r="S123" s="656">
        <f t="shared" si="124"/>
        <v>0</v>
      </c>
      <c r="T123" s="658" t="str">
        <f>+VLOOKUP($L123,Data_Validation!$A:$D,1,0)</f>
        <v>1498</v>
      </c>
      <c r="U123" s="658" t="str">
        <f>+VLOOKUP($L123,Data_Validation!$A:$D,3,0)</f>
        <v>Bilan</v>
      </c>
      <c r="V123" s="658" t="str">
        <f>+VLOOKUP($L123,Data_Validation!$A:$D,4,0)</f>
        <v>Inventaire Pièces, Pneus, Huile</v>
      </c>
      <c r="W123" s="658" t="str">
        <f>+VLOOKUP($L123,Data_Validation!$A:$E,5,0)</f>
        <v>$</v>
      </c>
      <c r="X123" s="658">
        <f>+VLOOKUP($L123,Data_Validation!$A:$F,6,0)</f>
        <v>0</v>
      </c>
    </row>
    <row r="124" spans="1:24" ht="15" customHeight="1">
      <c r="A124" s="1055" t="s">
        <v>869</v>
      </c>
      <c r="B124" s="1055" t="s">
        <v>1515</v>
      </c>
      <c r="C124" s="1057">
        <v>2228.83</v>
      </c>
      <c r="D124" s="1057">
        <v>-148.26</v>
      </c>
      <c r="E124" s="1057">
        <v>2080.5700000000002</v>
      </c>
      <c r="F124" s="1055" t="s">
        <v>818</v>
      </c>
      <c r="G124" s="1055" t="s">
        <v>870</v>
      </c>
      <c r="H124" s="1034"/>
      <c r="I124" s="1035"/>
      <c r="J124" s="1035"/>
      <c r="K124" s="1035"/>
      <c r="L124" s="655" t="str">
        <f t="shared" si="67"/>
        <v>1502</v>
      </c>
      <c r="M124" s="656" t="str">
        <f t="shared" si="0"/>
        <v>FPA PUB.VEHICULES NEUFS</v>
      </c>
      <c r="N124" s="657">
        <f>+IF(OR($Q124=Parametres!$G$2,$Q124=Parametres!$G$3),I124,C124)</f>
        <v>2228.83</v>
      </c>
      <c r="O124" s="657">
        <f>+IF(OR($Q124=Parametres!$G$2,$Q124=Parametres!$G$3),J124,D124)</f>
        <v>-148.26</v>
      </c>
      <c r="P124" s="657">
        <f>+IF(OR($Q124=Parametres!$G$2,$Q124=Parametres!$G$3),K124,E124)</f>
        <v>2080.5700000000002</v>
      </c>
      <c r="Q124" s="656" t="str">
        <f t="shared" ref="Q124:S124" si="125">+F124</f>
        <v>2-Actifs</v>
      </c>
      <c r="R124" s="655" t="str">
        <f t="shared" si="125"/>
        <v>1500</v>
      </c>
      <c r="S124" s="656">
        <f t="shared" si="125"/>
        <v>0</v>
      </c>
      <c r="T124" s="658" t="str">
        <f>+VLOOKUP($L124,Data_Validation!$A:$D,1,0)</f>
        <v>1502</v>
      </c>
      <c r="U124" s="658" t="str">
        <f>+VLOOKUP($L124,Data_Validation!$A:$D,3,0)</f>
        <v>Bilan</v>
      </c>
      <c r="V124" s="658" t="str">
        <f>+VLOOKUP($L124,Data_Validation!$A:$D,4,0)</f>
        <v>Frais Payés d'Avance</v>
      </c>
      <c r="W124" s="658" t="str">
        <f>+VLOOKUP($L124,Data_Validation!$A:$E,5,0)</f>
        <v>$</v>
      </c>
      <c r="X124" s="658">
        <f>+VLOOKUP($L124,Data_Validation!$A:$F,6,0)</f>
        <v>0</v>
      </c>
    </row>
    <row r="125" spans="1:24" ht="15" customHeight="1">
      <c r="A125" s="1055" t="s">
        <v>871</v>
      </c>
      <c r="B125" s="1055" t="s">
        <v>1518</v>
      </c>
      <c r="C125" s="1057">
        <v>47.35</v>
      </c>
      <c r="D125" s="1057">
        <v>86.97</v>
      </c>
      <c r="E125" s="1057">
        <v>134.32</v>
      </c>
      <c r="F125" s="1055" t="s">
        <v>818</v>
      </c>
      <c r="G125" s="1055" t="s">
        <v>870</v>
      </c>
      <c r="H125" s="1034"/>
      <c r="I125" s="1035"/>
      <c r="J125" s="1035"/>
      <c r="K125" s="1035"/>
      <c r="L125" s="655" t="str">
        <f t="shared" si="67"/>
        <v>1504</v>
      </c>
      <c r="M125" s="656" t="str">
        <f t="shared" si="0"/>
        <v>PUBLICITE VEH USAGES</v>
      </c>
      <c r="N125" s="657">
        <f>+IF(OR($Q125=Parametres!$G$2,$Q125=Parametres!$G$3),I125,C125)</f>
        <v>47.35</v>
      </c>
      <c r="O125" s="661">
        <f>+IF(OR($Q125=Parametres!$G$2,$Q125=Parametres!$G$3),J125,D125)</f>
        <v>86.97</v>
      </c>
      <c r="P125" s="657">
        <f>+IF(OR($Q125=Parametres!$G$2,$Q125=Parametres!$G$3),K125,E125)</f>
        <v>134.32</v>
      </c>
      <c r="Q125" s="656" t="str">
        <f t="shared" ref="Q125:S125" si="126">+F125</f>
        <v>2-Actifs</v>
      </c>
      <c r="R125" s="655" t="str">
        <f t="shared" si="126"/>
        <v>1500</v>
      </c>
      <c r="S125" s="656">
        <f t="shared" si="126"/>
        <v>0</v>
      </c>
      <c r="T125" s="658" t="str">
        <f>+VLOOKUP($L125,Data_Validation!$A:$D,1,0)</f>
        <v>1504</v>
      </c>
      <c r="U125" s="658" t="str">
        <f>+VLOOKUP($L125,Data_Validation!$A:$D,3,0)</f>
        <v>Bilan</v>
      </c>
      <c r="V125" s="658" t="str">
        <f>+VLOOKUP($L125,Data_Validation!$A:$D,4,0)</f>
        <v>Frais Payés d'Avance</v>
      </c>
      <c r="W125" s="658" t="str">
        <f>+VLOOKUP($L125,Data_Validation!$A:$E,5,0)</f>
        <v>$</v>
      </c>
      <c r="X125" s="658">
        <f>+VLOOKUP($L125,Data_Validation!$A:$F,6,0)</f>
        <v>0</v>
      </c>
    </row>
    <row r="126" spans="1:24" ht="15" customHeight="1">
      <c r="A126" s="1055" t="s">
        <v>872</v>
      </c>
      <c r="B126" s="1055" t="s">
        <v>1521</v>
      </c>
      <c r="C126" s="1057">
        <v>-19641.759999999998</v>
      </c>
      <c r="D126" s="1057">
        <v>3804.65</v>
      </c>
      <c r="E126" s="1057">
        <v>-15837.11</v>
      </c>
      <c r="F126" s="1055" t="s">
        <v>818</v>
      </c>
      <c r="G126" s="1055" t="s">
        <v>870</v>
      </c>
      <c r="H126" s="1034"/>
      <c r="I126" s="1035"/>
      <c r="J126" s="1035"/>
      <c r="K126" s="1035"/>
      <c r="L126" s="655" t="str">
        <f t="shared" si="67"/>
        <v>1506</v>
      </c>
      <c r="M126" s="656" t="str">
        <f t="shared" si="0"/>
        <v>FPA PUBLICITE SERVICE</v>
      </c>
      <c r="N126" s="657">
        <f>+IF(OR($Q126=Parametres!$G$2,$Q126=Parametres!$G$3),I126,C126)</f>
        <v>-19641.759999999998</v>
      </c>
      <c r="O126" s="661">
        <f>+IF(OR($Q126=Parametres!$G$2,$Q126=Parametres!$G$3),J126,D126)</f>
        <v>3804.65</v>
      </c>
      <c r="P126" s="657">
        <f>+IF(OR($Q126=Parametres!$G$2,$Q126=Parametres!$G$3),K126,E126)</f>
        <v>-15837.11</v>
      </c>
      <c r="Q126" s="656" t="str">
        <f t="shared" ref="Q126:S126" si="127">+F126</f>
        <v>2-Actifs</v>
      </c>
      <c r="R126" s="655" t="str">
        <f t="shared" si="127"/>
        <v>1500</v>
      </c>
      <c r="S126" s="656">
        <f t="shared" si="127"/>
        <v>0</v>
      </c>
      <c r="T126" s="658" t="str">
        <f>+VLOOKUP($L126,Data_Validation!$A:$D,1,0)</f>
        <v>1506</v>
      </c>
      <c r="U126" s="658" t="str">
        <f>+VLOOKUP($L126,Data_Validation!$A:$D,3,0)</f>
        <v>Bilan</v>
      </c>
      <c r="V126" s="658" t="str">
        <f>+VLOOKUP($L126,Data_Validation!$A:$D,4,0)</f>
        <v>Frais Payés d'Avance</v>
      </c>
      <c r="W126" s="658" t="str">
        <f>+VLOOKUP($L126,Data_Validation!$A:$E,5,0)</f>
        <v>$</v>
      </c>
      <c r="X126" s="658">
        <f>+VLOOKUP($L126,Data_Validation!$A:$F,6,0)</f>
        <v>0</v>
      </c>
    </row>
    <row r="127" spans="1:24" ht="15" customHeight="1">
      <c r="A127" s="1055" t="s">
        <v>873</v>
      </c>
      <c r="B127" s="1055" t="s">
        <v>1527</v>
      </c>
      <c r="C127" s="1057">
        <v>1380</v>
      </c>
      <c r="D127" s="1057">
        <v>-70</v>
      </c>
      <c r="E127" s="1057">
        <v>1310</v>
      </c>
      <c r="F127" s="1055" t="s">
        <v>818</v>
      </c>
      <c r="G127" s="1055" t="s">
        <v>870</v>
      </c>
      <c r="H127" s="1034"/>
      <c r="I127" s="1035"/>
      <c r="J127" s="1035"/>
      <c r="K127" s="1035"/>
      <c r="L127" s="655" t="str">
        <f t="shared" si="67"/>
        <v>1510</v>
      </c>
      <c r="M127" s="656" t="str">
        <f t="shared" si="0"/>
        <v>DIAMOND KOTE (NANO)</v>
      </c>
      <c r="N127" s="657">
        <f>+IF(OR($Q127=Parametres!$G$2,$Q127=Parametres!$G$3),I127,C127)</f>
        <v>1380</v>
      </c>
      <c r="O127" s="657">
        <f>+IF(OR($Q127=Parametres!$G$2,$Q127=Parametres!$G$3),J127,D127)</f>
        <v>-70</v>
      </c>
      <c r="P127" s="657">
        <f>+IF(OR($Q127=Parametres!$G$2,$Q127=Parametres!$G$3),K127,E127)</f>
        <v>1310</v>
      </c>
      <c r="Q127" s="656" t="str">
        <f t="shared" ref="Q127:S127" si="128">+F127</f>
        <v>2-Actifs</v>
      </c>
      <c r="R127" s="655" t="str">
        <f t="shared" si="128"/>
        <v>1500</v>
      </c>
      <c r="S127" s="656">
        <f t="shared" si="128"/>
        <v>0</v>
      </c>
      <c r="T127" s="658" t="str">
        <f>+VLOOKUP($L127,Data_Validation!$A:$D,1,0)</f>
        <v>1510</v>
      </c>
      <c r="U127" s="658" t="str">
        <f>+VLOOKUP($L127,Data_Validation!$A:$D,3,0)</f>
        <v>Bilan</v>
      </c>
      <c r="V127" s="658" t="str">
        <f>+VLOOKUP($L127,Data_Validation!$A:$D,4,0)</f>
        <v>Frais Payés d'Avance</v>
      </c>
      <c r="W127" s="658" t="str">
        <f>+VLOOKUP($L127,Data_Validation!$A:$E,5,0)</f>
        <v>$</v>
      </c>
      <c r="X127" s="658">
        <f>+VLOOKUP($L127,Data_Validation!$A:$F,6,0)</f>
        <v>0</v>
      </c>
    </row>
    <row r="128" spans="1:24" ht="15" customHeight="1">
      <c r="A128" s="1055" t="s">
        <v>874</v>
      </c>
      <c r="B128" s="1055" t="s">
        <v>1530</v>
      </c>
      <c r="C128" s="1057">
        <v>8034.43</v>
      </c>
      <c r="D128" s="1057">
        <v>0</v>
      </c>
      <c r="E128" s="1057">
        <v>8034.43</v>
      </c>
      <c r="F128" s="1055" t="s">
        <v>818</v>
      </c>
      <c r="G128" s="1055" t="s">
        <v>870</v>
      </c>
      <c r="H128" s="1034"/>
      <c r="I128" s="1035"/>
      <c r="J128" s="1035"/>
      <c r="K128" s="1035"/>
      <c r="L128" s="655" t="str">
        <f t="shared" si="67"/>
        <v>1520</v>
      </c>
      <c r="M128" s="670" t="str">
        <f t="shared" si="0"/>
        <v>FPA IMMATRICULATION</v>
      </c>
      <c r="N128" s="657">
        <f>+IF(OR($Q128=Parametres!$G$2,$Q128=Parametres!$G$3),I128,C128)</f>
        <v>8034.43</v>
      </c>
      <c r="O128" s="714">
        <f>+IF(OR($Q128=Parametres!$G$2,$Q128=Parametres!$G$3),J128,D128)</f>
        <v>0</v>
      </c>
      <c r="P128" s="671">
        <f>+IF(OR($Q128=Parametres!$G$2,$Q128=Parametres!$G$3),K128,E128)</f>
        <v>8034.43</v>
      </c>
      <c r="Q128" s="656" t="str">
        <f t="shared" ref="Q128:S128" si="129">+F128</f>
        <v>2-Actifs</v>
      </c>
      <c r="R128" s="655" t="str">
        <f t="shared" si="129"/>
        <v>1500</v>
      </c>
      <c r="S128" s="656">
        <f t="shared" si="129"/>
        <v>0</v>
      </c>
      <c r="T128" s="658" t="str">
        <f>+VLOOKUP($L128,Data_Validation!$A:$D,1,0)</f>
        <v>1520</v>
      </c>
      <c r="U128" s="658" t="str">
        <f>+VLOOKUP($L128,Data_Validation!$A:$D,3,0)</f>
        <v>Bilan</v>
      </c>
      <c r="V128" s="658" t="str">
        <f>+VLOOKUP($L128,Data_Validation!$A:$D,4,0)</f>
        <v>Frais Payés d'Avance</v>
      </c>
      <c r="W128" s="658" t="str">
        <f>+VLOOKUP($L128,Data_Validation!$A:$E,5,0)</f>
        <v>$</v>
      </c>
      <c r="X128" s="658">
        <f>+VLOOKUP($L128,Data_Validation!$A:$F,6,0)</f>
        <v>0</v>
      </c>
    </row>
    <row r="129" spans="1:24" ht="15" customHeight="1">
      <c r="A129" s="1055" t="s">
        <v>875</v>
      </c>
      <c r="B129" s="1055" t="s">
        <v>1542</v>
      </c>
      <c r="C129" s="1057">
        <v>1873</v>
      </c>
      <c r="D129" s="1057">
        <v>2326.5</v>
      </c>
      <c r="E129" s="1057">
        <v>4199.5</v>
      </c>
      <c r="F129" s="1055" t="s">
        <v>818</v>
      </c>
      <c r="G129" s="1055" t="s">
        <v>870</v>
      </c>
      <c r="H129" s="1034"/>
      <c r="I129" s="1035"/>
      <c r="J129" s="1035"/>
      <c r="K129" s="1035"/>
      <c r="L129" s="655" t="str">
        <f t="shared" si="67"/>
        <v>1532</v>
      </c>
      <c r="M129" s="656" t="str">
        <f t="shared" si="0"/>
        <v>FPA C.C.A.M.Q.</v>
      </c>
      <c r="N129" s="657">
        <f>+IF(OR($Q129=Parametres!$G$2,$Q129=Parametres!$G$3),I129,C129)</f>
        <v>1873</v>
      </c>
      <c r="O129" s="657">
        <f>+IF(OR($Q129=Parametres!$G$2,$Q129=Parametres!$G$3),J129,D129)</f>
        <v>2326.5</v>
      </c>
      <c r="P129" s="657">
        <f>+IF(OR($Q129=Parametres!$G$2,$Q129=Parametres!$G$3),K129,E129)</f>
        <v>4199.5</v>
      </c>
      <c r="Q129" s="656" t="str">
        <f t="shared" ref="Q129:S129" si="130">+F129</f>
        <v>2-Actifs</v>
      </c>
      <c r="R129" s="655" t="str">
        <f t="shared" si="130"/>
        <v>1500</v>
      </c>
      <c r="S129" s="656">
        <f t="shared" si="130"/>
        <v>0</v>
      </c>
      <c r="T129" s="658" t="str">
        <f>+VLOOKUP($L129,Data_Validation!$A:$D,1,0)</f>
        <v>1532</v>
      </c>
      <c r="U129" s="658" t="str">
        <f>+VLOOKUP($L129,Data_Validation!$A:$D,3,0)</f>
        <v>Bilan</v>
      </c>
      <c r="V129" s="658" t="str">
        <f>+VLOOKUP($L129,Data_Validation!$A:$D,4,0)</f>
        <v>Frais Payés d'Avance</v>
      </c>
      <c r="W129" s="658" t="str">
        <f>+VLOOKUP($L129,Data_Validation!$A:$E,5,0)</f>
        <v>$</v>
      </c>
      <c r="X129" s="658">
        <f>+VLOOKUP($L129,Data_Validation!$A:$F,6,0)</f>
        <v>0</v>
      </c>
    </row>
    <row r="130" spans="1:24" ht="15" customHeight="1">
      <c r="A130" s="1055" t="s">
        <v>876</v>
      </c>
      <c r="B130" s="1055" t="s">
        <v>1545</v>
      </c>
      <c r="C130" s="1057">
        <v>-130</v>
      </c>
      <c r="D130" s="1057">
        <v>0</v>
      </c>
      <c r="E130" s="1057">
        <v>-130</v>
      </c>
      <c r="F130" s="1055" t="s">
        <v>818</v>
      </c>
      <c r="G130" s="1055" t="s">
        <v>870</v>
      </c>
      <c r="H130" s="1034"/>
      <c r="I130" s="1035"/>
      <c r="J130" s="1035"/>
      <c r="K130" s="1035"/>
      <c r="L130" s="655" t="str">
        <f t="shared" si="67"/>
        <v>1534</v>
      </c>
      <c r="M130" s="656" t="str">
        <f t="shared" si="0"/>
        <v>FPA FOURNITURES LAVAGE</v>
      </c>
      <c r="N130" s="657">
        <f>+IF(OR($Q130=Parametres!$G$2,$Q130=Parametres!$G$3),I130,C130)</f>
        <v>-130</v>
      </c>
      <c r="O130" s="657">
        <f>+IF(OR($Q130=Parametres!$G$2,$Q130=Parametres!$G$3),J130,D130)</f>
        <v>0</v>
      </c>
      <c r="P130" s="657">
        <f>+IF(OR($Q130=Parametres!$G$2,$Q130=Parametres!$G$3),K130,E130)</f>
        <v>-130</v>
      </c>
      <c r="Q130" s="656" t="str">
        <f t="shared" ref="Q130:S130" si="131">+F130</f>
        <v>2-Actifs</v>
      </c>
      <c r="R130" s="655" t="str">
        <f t="shared" si="131"/>
        <v>1500</v>
      </c>
      <c r="S130" s="656">
        <f t="shared" si="131"/>
        <v>0</v>
      </c>
      <c r="T130" s="658" t="str">
        <f>+VLOOKUP($L130,Data_Validation!$A:$D,1,0)</f>
        <v>1534</v>
      </c>
      <c r="U130" s="658" t="str">
        <f>+VLOOKUP($L130,Data_Validation!$A:$D,3,0)</f>
        <v>Bilan</v>
      </c>
      <c r="V130" s="658" t="str">
        <f>+VLOOKUP($L130,Data_Validation!$A:$D,4,0)</f>
        <v>Frais Payés d'Avance</v>
      </c>
      <c r="W130" s="658" t="str">
        <f>+VLOOKUP($L130,Data_Validation!$A:$E,5,0)</f>
        <v>$</v>
      </c>
      <c r="X130" s="658">
        <f>+VLOOKUP($L130,Data_Validation!$A:$F,6,0)</f>
        <v>0</v>
      </c>
    </row>
    <row r="131" spans="1:24" ht="15.75" customHeight="1">
      <c r="A131" s="1055" t="s">
        <v>877</v>
      </c>
      <c r="B131" s="1055" t="s">
        <v>1554</v>
      </c>
      <c r="C131" s="1057">
        <v>125.21</v>
      </c>
      <c r="D131" s="1057">
        <v>0</v>
      </c>
      <c r="E131" s="1057">
        <v>125.21</v>
      </c>
      <c r="F131" s="1055" t="s">
        <v>818</v>
      </c>
      <c r="G131" s="1055" t="s">
        <v>870</v>
      </c>
      <c r="H131" s="1034"/>
      <c r="I131" s="1035"/>
      <c r="J131" s="1035"/>
      <c r="K131" s="1035"/>
      <c r="L131" s="655" t="str">
        <f t="shared" ref="L131:L194" si="132">TEXT(B131,0)</f>
        <v>1540</v>
      </c>
      <c r="M131" s="656" t="str">
        <f t="shared" si="0"/>
        <v>FPA CONTRATS DE SERVICES</v>
      </c>
      <c r="N131" s="657">
        <f>+IF(OR($Q131=Parametres!$G$2,$Q131=Parametres!$G$3),I131,C131)</f>
        <v>125.21</v>
      </c>
      <c r="O131" s="657">
        <f>+IF(OR($Q131=Parametres!$G$2,$Q131=Parametres!$G$3),J131,D131)</f>
        <v>0</v>
      </c>
      <c r="P131" s="657">
        <f>+IF(OR($Q131=Parametres!$G$2,$Q131=Parametres!$G$3),K131,E131)</f>
        <v>125.21</v>
      </c>
      <c r="Q131" s="656" t="str">
        <f t="shared" ref="Q131:S131" si="133">+F131</f>
        <v>2-Actifs</v>
      </c>
      <c r="R131" s="655" t="str">
        <f t="shared" si="133"/>
        <v>1500</v>
      </c>
      <c r="S131" s="656">
        <f t="shared" si="133"/>
        <v>0</v>
      </c>
      <c r="T131" s="658" t="str">
        <f>+VLOOKUP($L131,Data_Validation!$A:$D,1,0)</f>
        <v>1540</v>
      </c>
      <c r="U131" s="658" t="str">
        <f>+VLOOKUP($L131,Data_Validation!$A:$D,3,0)</f>
        <v>Bilan</v>
      </c>
      <c r="V131" s="658" t="str">
        <f>+VLOOKUP($L131,Data_Validation!$A:$D,4,0)</f>
        <v>Frais Payés d'Avance</v>
      </c>
      <c r="W131" s="658" t="str">
        <f>+VLOOKUP($L131,Data_Validation!$A:$E,5,0)</f>
        <v>$</v>
      </c>
      <c r="X131" s="658">
        <f>+VLOOKUP($L131,Data_Validation!$A:$F,6,0)</f>
        <v>0</v>
      </c>
    </row>
    <row r="132" spans="1:24" ht="15" customHeight="1">
      <c r="A132" s="1055" t="s">
        <v>878</v>
      </c>
      <c r="B132" s="1055" t="s">
        <v>1557</v>
      </c>
      <c r="C132" s="1057">
        <v>-13.56</v>
      </c>
      <c r="D132" s="1057">
        <v>13.56</v>
      </c>
      <c r="E132" s="1057">
        <v>0</v>
      </c>
      <c r="F132" s="1055" t="s">
        <v>818</v>
      </c>
      <c r="G132" s="1055" t="s">
        <v>870</v>
      </c>
      <c r="H132" s="1034"/>
      <c r="I132" s="1035"/>
      <c r="J132" s="1035"/>
      <c r="K132" s="1035"/>
      <c r="L132" s="655" t="str">
        <f t="shared" si="132"/>
        <v>1544</v>
      </c>
      <c r="M132" s="656" t="str">
        <f t="shared" si="0"/>
        <v>FPA GAZ METROPOLITAIN</v>
      </c>
      <c r="N132" s="657">
        <f>+IF(OR($Q132=Parametres!$G$2,$Q132=Parametres!$G$3),I132,C132)</f>
        <v>-13.56</v>
      </c>
      <c r="O132" s="657">
        <f>+IF(OR($Q132=Parametres!$G$2,$Q132=Parametres!$G$3),J132,D132)</f>
        <v>13.56</v>
      </c>
      <c r="P132" s="657">
        <f>+IF(OR($Q132=Parametres!$G$2,$Q132=Parametres!$G$3),K132,E132)</f>
        <v>0</v>
      </c>
      <c r="Q132" s="656" t="str">
        <f t="shared" ref="Q132:S132" si="134">+F132</f>
        <v>2-Actifs</v>
      </c>
      <c r="R132" s="655" t="str">
        <f t="shared" si="134"/>
        <v>1500</v>
      </c>
      <c r="S132" s="656">
        <f t="shared" si="134"/>
        <v>0</v>
      </c>
      <c r="T132" s="658" t="str">
        <f>+VLOOKUP($L132,Data_Validation!$A:$D,1,0)</f>
        <v>1544</v>
      </c>
      <c r="U132" s="658" t="str">
        <f>+VLOOKUP($L132,Data_Validation!$A:$D,3,0)</f>
        <v>Bilan</v>
      </c>
      <c r="V132" s="658" t="str">
        <f>+VLOOKUP($L132,Data_Validation!$A:$D,4,0)</f>
        <v>Autres Courus</v>
      </c>
      <c r="W132" s="658" t="str">
        <f>+VLOOKUP($L132,Data_Validation!$A:$E,5,0)</f>
        <v>$</v>
      </c>
      <c r="X132" s="658">
        <f>+VLOOKUP($L132,Data_Validation!$A:$F,6,0)</f>
        <v>0</v>
      </c>
    </row>
    <row r="133" spans="1:24" ht="15" customHeight="1">
      <c r="A133" s="1055" t="s">
        <v>879</v>
      </c>
      <c r="B133" s="1055" t="s">
        <v>1560</v>
      </c>
      <c r="C133" s="1057">
        <v>1834.58</v>
      </c>
      <c r="D133" s="1057">
        <v>0</v>
      </c>
      <c r="E133" s="1057">
        <v>1834.58</v>
      </c>
      <c r="F133" s="1055" t="s">
        <v>818</v>
      </c>
      <c r="G133" s="1055" t="s">
        <v>870</v>
      </c>
      <c r="H133" s="1034"/>
      <c r="I133" s="1035"/>
      <c r="J133" s="1035"/>
      <c r="K133" s="1035"/>
      <c r="L133" s="655" t="str">
        <f t="shared" si="132"/>
        <v>1546</v>
      </c>
      <c r="M133" s="656" t="str">
        <f t="shared" si="0"/>
        <v>FPA ELECTRICITE HYDRO-QUEBEC</v>
      </c>
      <c r="N133" s="657">
        <f>+IF(OR($Q133=Parametres!$G$2,$Q133=Parametres!$G$3),I133,C133)</f>
        <v>1834.58</v>
      </c>
      <c r="O133" s="657">
        <f>+IF(OR($Q133=Parametres!$G$2,$Q133=Parametres!$G$3),J133,D133)</f>
        <v>0</v>
      </c>
      <c r="P133" s="657">
        <f>+IF(OR($Q133=Parametres!$G$2,$Q133=Parametres!$G$3),K133,E133)</f>
        <v>1834.58</v>
      </c>
      <c r="Q133" s="656" t="str">
        <f t="shared" ref="Q133:S133" si="135">+F133</f>
        <v>2-Actifs</v>
      </c>
      <c r="R133" s="655" t="str">
        <f t="shared" si="135"/>
        <v>1500</v>
      </c>
      <c r="S133" s="656">
        <f t="shared" si="135"/>
        <v>0</v>
      </c>
      <c r="T133" s="658" t="str">
        <f>+VLOOKUP($L133,Data_Validation!$A:$D,1,0)</f>
        <v>1546</v>
      </c>
      <c r="U133" s="658" t="str">
        <f>+VLOOKUP($L133,Data_Validation!$A:$D,3,0)</f>
        <v>Bilan</v>
      </c>
      <c r="V133" s="658" t="str">
        <f>+VLOOKUP($L133,Data_Validation!$A:$D,4,0)</f>
        <v>Autres Courus</v>
      </c>
      <c r="W133" s="658" t="str">
        <f>+VLOOKUP($L133,Data_Validation!$A:$E,5,0)</f>
        <v>$</v>
      </c>
      <c r="X133" s="658">
        <f>+VLOOKUP($L133,Data_Validation!$A:$F,6,0)</f>
        <v>0</v>
      </c>
    </row>
    <row r="134" spans="1:24" ht="15" customHeight="1">
      <c r="A134" s="1055" t="s">
        <v>880</v>
      </c>
      <c r="B134" s="1055" t="s">
        <v>1563</v>
      </c>
      <c r="C134" s="1057">
        <v>8590.9599999999991</v>
      </c>
      <c r="D134" s="1057">
        <v>-20211.52</v>
      </c>
      <c r="E134" s="1057">
        <v>-11620.56</v>
      </c>
      <c r="F134" s="1055" t="s">
        <v>818</v>
      </c>
      <c r="G134" s="1055" t="s">
        <v>870</v>
      </c>
      <c r="H134" s="1034"/>
      <c r="I134" s="1035"/>
      <c r="J134" s="1035"/>
      <c r="K134" s="1035"/>
      <c r="L134" s="655" t="str">
        <f t="shared" si="132"/>
        <v>1552</v>
      </c>
      <c r="M134" s="656" t="str">
        <f t="shared" si="0"/>
        <v>FPA C.S.S.T.</v>
      </c>
      <c r="N134" s="657">
        <f>+IF(OR($Q134=Parametres!$G$2,$Q134=Parametres!$G$3),I134,C134)</f>
        <v>8590.9599999999991</v>
      </c>
      <c r="O134" s="657">
        <f>+IF(OR($Q134=Parametres!$G$2,$Q134=Parametres!$G$3),J134,D134)</f>
        <v>-20211.52</v>
      </c>
      <c r="P134" s="657">
        <f>+IF(OR($Q134=Parametres!$G$2,$Q134=Parametres!$G$3),K134,E134)</f>
        <v>-11620.56</v>
      </c>
      <c r="Q134" s="656" t="str">
        <f t="shared" ref="Q134:S134" si="136">+F134</f>
        <v>2-Actifs</v>
      </c>
      <c r="R134" s="655" t="str">
        <f t="shared" si="136"/>
        <v>1500</v>
      </c>
      <c r="S134" s="656">
        <f t="shared" si="136"/>
        <v>0</v>
      </c>
      <c r="T134" s="658" t="str">
        <f>+VLOOKUP($L134,Data_Validation!$A:$D,1,0)</f>
        <v>1552</v>
      </c>
      <c r="U134" s="658" t="str">
        <f>+VLOOKUP($L134,Data_Validation!$A:$D,3,0)</f>
        <v>Bilan</v>
      </c>
      <c r="V134" s="658" t="str">
        <f>+VLOOKUP($L134,Data_Validation!$A:$D,4,0)</f>
        <v>Frais Payés d'Avance</v>
      </c>
      <c r="W134" s="658" t="str">
        <f>+VLOOKUP($L134,Data_Validation!$A:$E,5,0)</f>
        <v>$</v>
      </c>
      <c r="X134" s="658">
        <f>+VLOOKUP($L134,Data_Validation!$A:$F,6,0)</f>
        <v>0</v>
      </c>
    </row>
    <row r="135" spans="1:24" ht="15.75" customHeight="1">
      <c r="A135" s="1055" t="s">
        <v>881</v>
      </c>
      <c r="B135" s="1055" t="s">
        <v>3374</v>
      </c>
      <c r="C135" s="1057">
        <v>-29952</v>
      </c>
      <c r="D135" s="1057">
        <v>0</v>
      </c>
      <c r="E135" s="1057">
        <v>-29952</v>
      </c>
      <c r="F135" s="1055" t="s">
        <v>818</v>
      </c>
      <c r="G135" s="1055" t="s">
        <v>870</v>
      </c>
      <c r="H135" s="1034"/>
      <c r="I135" s="1035"/>
      <c r="J135" s="1035"/>
      <c r="K135" s="1035"/>
      <c r="L135" s="655" t="str">
        <f t="shared" si="132"/>
        <v>1553</v>
      </c>
      <c r="M135" s="656" t="str">
        <f t="shared" si="0"/>
        <v>CSST A PAYER OU RECEVOIR</v>
      </c>
      <c r="N135" s="657">
        <f>+IF(OR($Q135=Parametres!$G$2,$Q135=Parametres!$G$3),I135,C135)</f>
        <v>-29952</v>
      </c>
      <c r="O135" s="657">
        <f>+IF(OR($Q135=Parametres!$G$2,$Q135=Parametres!$G$3),J135,D135)</f>
        <v>0</v>
      </c>
      <c r="P135" s="657">
        <f>+IF(OR($Q135=Parametres!$G$2,$Q135=Parametres!$G$3),K135,E135)</f>
        <v>-29952</v>
      </c>
      <c r="Q135" s="656" t="str">
        <f t="shared" ref="Q135:S135" si="137">+F135</f>
        <v>2-Actifs</v>
      </c>
      <c r="R135" s="655" t="str">
        <f t="shared" si="137"/>
        <v>1500</v>
      </c>
      <c r="S135" s="656">
        <f t="shared" si="137"/>
        <v>0</v>
      </c>
      <c r="T135" s="658" t="str">
        <f>+VLOOKUP($L135,Data_Validation!$A:$D,1,0)</f>
        <v>1553</v>
      </c>
      <c r="U135" s="658" t="str">
        <f>+VLOOKUP($L135,Data_Validation!$A:$D,3,0)</f>
        <v>Bilan</v>
      </c>
      <c r="V135" s="658" t="str">
        <f>+VLOOKUP($L135,Data_Validation!$A:$D,4,0)</f>
        <v>Frais Payés d'Avance</v>
      </c>
      <c r="W135" s="658" t="str">
        <f>+VLOOKUP($L135,Data_Validation!$A:$E,5,0)</f>
        <v>$</v>
      </c>
      <c r="X135" s="658">
        <f>+VLOOKUP($L135,Data_Validation!$A:$F,6,0)</f>
        <v>0</v>
      </c>
    </row>
    <row r="136" spans="1:24" ht="15" customHeight="1">
      <c r="A136" s="1055" t="s">
        <v>882</v>
      </c>
      <c r="B136" s="1055" t="s">
        <v>1566</v>
      </c>
      <c r="C136" s="1057">
        <v>4632.24</v>
      </c>
      <c r="D136" s="1057">
        <v>-4632.24</v>
      </c>
      <c r="E136" s="1057">
        <v>0</v>
      </c>
      <c r="F136" s="1055" t="s">
        <v>818</v>
      </c>
      <c r="G136" s="1055" t="s">
        <v>870</v>
      </c>
      <c r="H136" s="1034"/>
      <c r="I136" s="1035"/>
      <c r="J136" s="1035"/>
      <c r="K136" s="1035"/>
      <c r="L136" s="655" t="str">
        <f t="shared" si="132"/>
        <v>1582</v>
      </c>
      <c r="M136" s="656" t="str">
        <f t="shared" si="0"/>
        <v>FPA TAXES MUNICIPALES</v>
      </c>
      <c r="N136" s="657">
        <f>+IF(OR($Q136=Parametres!$G$2,$Q136=Parametres!$G$3),I136,C136)</f>
        <v>4632.24</v>
      </c>
      <c r="O136" s="657">
        <f>+IF(OR($Q136=Parametres!$G$2,$Q136=Parametres!$G$3),J136,D136)</f>
        <v>-4632.24</v>
      </c>
      <c r="P136" s="657">
        <f>+IF(OR($Q136=Parametres!$G$2,$Q136=Parametres!$G$3),K136,E136)</f>
        <v>0</v>
      </c>
      <c r="Q136" s="656" t="str">
        <f t="shared" ref="Q136:S136" si="138">+F136</f>
        <v>2-Actifs</v>
      </c>
      <c r="R136" s="655" t="str">
        <f t="shared" si="138"/>
        <v>1500</v>
      </c>
      <c r="S136" s="656">
        <f t="shared" si="138"/>
        <v>0</v>
      </c>
      <c r="T136" s="658" t="str">
        <f>+VLOOKUP($L136,Data_Validation!$A:$D,1,0)</f>
        <v>1582</v>
      </c>
      <c r="U136" s="658" t="str">
        <f>+VLOOKUP($L136,Data_Validation!$A:$D,3,0)</f>
        <v>Bilan</v>
      </c>
      <c r="V136" s="658" t="str">
        <f>+VLOOKUP($L136,Data_Validation!$A:$D,4,0)</f>
        <v>Frais Payés d'Avance</v>
      </c>
      <c r="W136" s="658" t="str">
        <f>+VLOOKUP($L136,Data_Validation!$A:$E,5,0)</f>
        <v>$</v>
      </c>
      <c r="X136" s="658">
        <f>+VLOOKUP($L136,Data_Validation!$A:$F,6,0)</f>
        <v>0</v>
      </c>
    </row>
    <row r="137" spans="1:24" ht="15" customHeight="1">
      <c r="A137" s="1055" t="s">
        <v>883</v>
      </c>
      <c r="B137" s="1055" t="s">
        <v>1572</v>
      </c>
      <c r="C137" s="1057">
        <v>2123.83</v>
      </c>
      <c r="D137" s="1057">
        <v>-303.79000000000002</v>
      </c>
      <c r="E137" s="1057">
        <v>1820.04</v>
      </c>
      <c r="F137" s="1055" t="s">
        <v>818</v>
      </c>
      <c r="G137" s="1055" t="s">
        <v>870</v>
      </c>
      <c r="H137" s="1034"/>
      <c r="I137" s="1035"/>
      <c r="J137" s="1035"/>
      <c r="K137" s="1035"/>
      <c r="L137" s="655" t="str">
        <f t="shared" si="132"/>
        <v>1586</v>
      </c>
      <c r="M137" s="656" t="str">
        <f t="shared" si="0"/>
        <v>FPA TAXES SCOLAIRES</v>
      </c>
      <c r="N137" s="657">
        <f>+IF(OR($Q137=Parametres!$G$2,$Q137=Parametres!$G$3),I137,C137)</f>
        <v>2123.83</v>
      </c>
      <c r="O137" s="657">
        <f>+IF(OR($Q137=Parametres!$G$2,$Q137=Parametres!$G$3),J137,D137)</f>
        <v>-303.79000000000002</v>
      </c>
      <c r="P137" s="657">
        <f>+IF(OR($Q137=Parametres!$G$2,$Q137=Parametres!$G$3),K137,E137)</f>
        <v>1820.04</v>
      </c>
      <c r="Q137" s="656" t="str">
        <f t="shared" ref="Q137:S137" si="139">+F137</f>
        <v>2-Actifs</v>
      </c>
      <c r="R137" s="655" t="str">
        <f t="shared" si="139"/>
        <v>1500</v>
      </c>
      <c r="S137" s="656">
        <f t="shared" si="139"/>
        <v>0</v>
      </c>
      <c r="T137" s="658" t="str">
        <f>+VLOOKUP($L137,Data_Validation!$A:$D,1,0)</f>
        <v>1586</v>
      </c>
      <c r="U137" s="658" t="str">
        <f>+VLOOKUP($L137,Data_Validation!$A:$D,3,0)</f>
        <v>Bilan</v>
      </c>
      <c r="V137" s="658" t="str">
        <f>+VLOOKUP($L137,Data_Validation!$A:$D,4,0)</f>
        <v>Frais Payés d'Avance</v>
      </c>
      <c r="W137" s="658" t="str">
        <f>+VLOOKUP($L137,Data_Validation!$A:$E,5,0)</f>
        <v>$</v>
      </c>
      <c r="X137" s="658">
        <f>+VLOOKUP($L137,Data_Validation!$A:$F,6,0)</f>
        <v>0</v>
      </c>
    </row>
    <row r="138" spans="1:24" ht="15" customHeight="1">
      <c r="A138" s="1055" t="s">
        <v>884</v>
      </c>
      <c r="B138" s="1055" t="s">
        <v>3375</v>
      </c>
      <c r="C138" s="1057">
        <v>2330</v>
      </c>
      <c r="D138" s="1057">
        <v>445</v>
      </c>
      <c r="E138" s="1057">
        <v>2775</v>
      </c>
      <c r="F138" s="1055" t="s">
        <v>818</v>
      </c>
      <c r="G138" s="1055" t="s">
        <v>870</v>
      </c>
      <c r="H138" s="1034"/>
      <c r="I138" s="1035"/>
      <c r="J138" s="1035"/>
      <c r="K138" s="1035"/>
      <c r="L138" s="655" t="str">
        <f t="shared" si="132"/>
        <v>1591</v>
      </c>
      <c r="M138" s="656" t="str">
        <f t="shared" si="0"/>
        <v>FPA PAYABLES</v>
      </c>
      <c r="N138" s="657">
        <f>+IF(OR($Q138=Parametres!$G$2,$Q138=Parametres!$G$3),I138,C138)</f>
        <v>2330</v>
      </c>
      <c r="O138" s="657">
        <f>+IF(OR($Q138=Parametres!$G$2,$Q138=Parametres!$G$3),J138,D138)</f>
        <v>445</v>
      </c>
      <c r="P138" s="657">
        <f>+IF(OR($Q138=Parametres!$G$2,$Q138=Parametres!$G$3),K138,E138)</f>
        <v>2775</v>
      </c>
      <c r="Q138" s="656" t="str">
        <f t="shared" ref="Q138:S138" si="140">+F138</f>
        <v>2-Actifs</v>
      </c>
      <c r="R138" s="655" t="str">
        <f t="shared" si="140"/>
        <v>1500</v>
      </c>
      <c r="S138" s="656">
        <f t="shared" si="140"/>
        <v>0</v>
      </c>
      <c r="T138" s="658" t="str">
        <f>+VLOOKUP($L138,Data_Validation!$A:$D,1,0)</f>
        <v>1591</v>
      </c>
      <c r="U138" s="658" t="str">
        <f>+VLOOKUP($L138,Data_Validation!$A:$D,3,0)</f>
        <v>Bilan</v>
      </c>
      <c r="V138" s="658" t="str">
        <f>+VLOOKUP($L138,Data_Validation!$A:$D,4,0)</f>
        <v>Frais Payés d'Avance</v>
      </c>
      <c r="W138" s="658" t="str">
        <f>+VLOOKUP($L138,Data_Validation!$A:$E,5,0)</f>
        <v>$</v>
      </c>
      <c r="X138" s="658">
        <f>+VLOOKUP($L138,Data_Validation!$A:$F,6,0)</f>
        <v>0</v>
      </c>
    </row>
    <row r="139" spans="1:24" ht="15.75" customHeight="1">
      <c r="A139" s="1055" t="s">
        <v>885</v>
      </c>
      <c r="B139" s="1055" t="s">
        <v>1575</v>
      </c>
      <c r="C139" s="1057">
        <v>9405.2900000000009</v>
      </c>
      <c r="D139" s="1057">
        <v>31299.62</v>
      </c>
      <c r="E139" s="1057">
        <v>40704.910000000003</v>
      </c>
      <c r="F139" s="1055" t="s">
        <v>818</v>
      </c>
      <c r="G139" s="1055" t="s">
        <v>870</v>
      </c>
      <c r="H139" s="1034"/>
      <c r="I139" s="1035"/>
      <c r="J139" s="1035"/>
      <c r="K139" s="1035"/>
      <c r="L139" s="655" t="str">
        <f t="shared" si="132"/>
        <v>1592</v>
      </c>
      <c r="M139" s="656" t="str">
        <f t="shared" si="0"/>
        <v>FPA AUTRES</v>
      </c>
      <c r="N139" s="657">
        <f>+IF(OR($Q139=Parametres!$G$2,$Q139=Parametres!$G$3),I139,C139)</f>
        <v>9405.2900000000009</v>
      </c>
      <c r="O139" s="657">
        <f>+IF(OR($Q139=Parametres!$G$2,$Q139=Parametres!$G$3),J139,D139)</f>
        <v>31299.62</v>
      </c>
      <c r="P139" s="657">
        <f>+IF(OR($Q139=Parametres!$G$2,$Q139=Parametres!$G$3),K139,E139)</f>
        <v>40704.910000000003</v>
      </c>
      <c r="Q139" s="656" t="str">
        <f t="shared" ref="Q139:S139" si="141">+F139</f>
        <v>2-Actifs</v>
      </c>
      <c r="R139" s="655" t="str">
        <f t="shared" si="141"/>
        <v>1500</v>
      </c>
      <c r="S139" s="656">
        <f t="shared" si="141"/>
        <v>0</v>
      </c>
      <c r="T139" s="658" t="str">
        <f>+VLOOKUP($L139,Data_Validation!$A:$D,1,0)</f>
        <v>1592</v>
      </c>
      <c r="U139" s="658" t="str">
        <f>+VLOOKUP($L139,Data_Validation!$A:$D,3,0)</f>
        <v>Bilan</v>
      </c>
      <c r="V139" s="658" t="str">
        <f>+VLOOKUP($L139,Data_Validation!$A:$D,4,0)</f>
        <v>Frais Payés d'Avance</v>
      </c>
      <c r="W139" s="658" t="str">
        <f>+VLOOKUP($L139,Data_Validation!$A:$E,5,0)</f>
        <v>$</v>
      </c>
      <c r="X139" s="658">
        <f>+VLOOKUP($L139,Data_Validation!$A:$F,6,0)</f>
        <v>0</v>
      </c>
    </row>
    <row r="140" spans="1:24" ht="15" customHeight="1">
      <c r="A140" s="1055" t="s">
        <v>886</v>
      </c>
      <c r="B140" s="1055" t="s">
        <v>1587</v>
      </c>
      <c r="C140" s="1057">
        <v>144370.28</v>
      </c>
      <c r="D140" s="1057">
        <v>0</v>
      </c>
      <c r="E140" s="1057">
        <v>144370.28</v>
      </c>
      <c r="F140" s="1055" t="s">
        <v>818</v>
      </c>
      <c r="G140" s="1055" t="s">
        <v>887</v>
      </c>
      <c r="H140" s="1034"/>
      <c r="I140" s="1035"/>
      <c r="J140" s="1035"/>
      <c r="K140" s="1035"/>
      <c r="L140" s="655" t="str">
        <f t="shared" si="132"/>
        <v>1732</v>
      </c>
      <c r="M140" s="656" t="str">
        <f t="shared" si="0"/>
        <v>AMELIOR. LOCATIVES</v>
      </c>
      <c r="N140" s="657">
        <f>+IF(OR($Q140=Parametres!$G$2,$Q140=Parametres!$G$3),I140,C140)</f>
        <v>144370.28</v>
      </c>
      <c r="O140" s="657">
        <f>+IF(OR($Q140=Parametres!$G$2,$Q140=Parametres!$G$3),J140,D140)</f>
        <v>0</v>
      </c>
      <c r="P140" s="657">
        <f>+IF(OR($Q140=Parametres!$G$2,$Q140=Parametres!$G$3),K140,E140)</f>
        <v>144370.28</v>
      </c>
      <c r="Q140" s="656" t="str">
        <f t="shared" ref="Q140:S140" si="142">+F140</f>
        <v>2-Actifs</v>
      </c>
      <c r="R140" s="655" t="str">
        <f t="shared" si="142"/>
        <v>1700</v>
      </c>
      <c r="S140" s="656">
        <f t="shared" si="142"/>
        <v>0</v>
      </c>
      <c r="T140" s="658" t="str">
        <f>+VLOOKUP($L140,Data_Validation!$A:$D,1,0)</f>
        <v>1732</v>
      </c>
      <c r="U140" s="658" t="str">
        <f>+VLOOKUP($L140,Data_Validation!$A:$D,3,0)</f>
        <v>Bilan</v>
      </c>
      <c r="V140" s="658" t="str">
        <f>+VLOOKUP($L140,Data_Validation!$A:$D,4,0)</f>
        <v>Améliorations Locatives</v>
      </c>
      <c r="W140" s="658" t="str">
        <f>+VLOOKUP($L140,Data_Validation!$A:$E,5,0)</f>
        <v>$</v>
      </c>
      <c r="X140" s="658">
        <f>+VLOOKUP($L140,Data_Validation!$A:$F,6,0)</f>
        <v>0</v>
      </c>
    </row>
    <row r="141" spans="1:24" ht="15" customHeight="1">
      <c r="A141" s="1055" t="s">
        <v>888</v>
      </c>
      <c r="B141" s="1055" t="s">
        <v>1590</v>
      </c>
      <c r="C141" s="1057">
        <v>-101575.02</v>
      </c>
      <c r="D141" s="1057">
        <v>-225</v>
      </c>
      <c r="E141" s="1057">
        <v>-101800.02</v>
      </c>
      <c r="F141" s="1055" t="s">
        <v>818</v>
      </c>
      <c r="G141" s="1055" t="s">
        <v>887</v>
      </c>
      <c r="H141" s="1034"/>
      <c r="I141" s="1035"/>
      <c r="J141" s="1035"/>
      <c r="K141" s="1035"/>
      <c r="L141" s="655" t="str">
        <f t="shared" si="132"/>
        <v>1733</v>
      </c>
      <c r="M141" s="656" t="str">
        <f t="shared" si="0"/>
        <v>AMORT. CUM. AMEL. LOCAT.</v>
      </c>
      <c r="N141" s="657">
        <f>+IF(OR($Q141=Parametres!$G$2,$Q141=Parametres!$G$3),I141,C141)</f>
        <v>-101575.02</v>
      </c>
      <c r="O141" s="657">
        <f>+IF(OR($Q141=Parametres!$G$2,$Q141=Parametres!$G$3),J141,D141)</f>
        <v>-225</v>
      </c>
      <c r="P141" s="657">
        <f>+IF(OR($Q141=Parametres!$G$2,$Q141=Parametres!$G$3),K141,E141)</f>
        <v>-101800.02</v>
      </c>
      <c r="Q141" s="656" t="str">
        <f t="shared" ref="Q141:S141" si="143">+F141</f>
        <v>2-Actifs</v>
      </c>
      <c r="R141" s="655" t="str">
        <f t="shared" si="143"/>
        <v>1700</v>
      </c>
      <c r="S141" s="656">
        <f t="shared" si="143"/>
        <v>0</v>
      </c>
      <c r="T141" s="658" t="str">
        <f>+VLOOKUP($L141,Data_Validation!$A:$D,1,0)</f>
        <v>1733</v>
      </c>
      <c r="U141" s="658" t="str">
        <f>+VLOOKUP($L141,Data_Validation!$A:$D,3,0)</f>
        <v>Bilan</v>
      </c>
      <c r="V141" s="658" t="str">
        <f>+VLOOKUP($L141,Data_Validation!$A:$D,4,0)</f>
        <v>Améliorations Locatives</v>
      </c>
      <c r="W141" s="658" t="str">
        <f>+VLOOKUP($L141,Data_Validation!$A:$E,5,0)</f>
        <v>$</v>
      </c>
      <c r="X141" s="658">
        <f>+VLOOKUP($L141,Data_Validation!$A:$F,6,0)</f>
        <v>0</v>
      </c>
    </row>
    <row r="142" spans="1:24" ht="15" customHeight="1">
      <c r="A142" s="1055" t="s">
        <v>889</v>
      </c>
      <c r="B142" s="1055" t="s">
        <v>1593</v>
      </c>
      <c r="C142" s="1057">
        <v>957607.11</v>
      </c>
      <c r="D142" s="1057">
        <v>5143.59</v>
      </c>
      <c r="E142" s="1057">
        <v>962750.7</v>
      </c>
      <c r="F142" s="1055" t="s">
        <v>818</v>
      </c>
      <c r="G142" s="1055" t="s">
        <v>887</v>
      </c>
      <c r="H142" s="1034"/>
      <c r="I142" s="1035"/>
      <c r="J142" s="1035"/>
      <c r="K142" s="1035"/>
      <c r="L142" s="655" t="str">
        <f t="shared" si="132"/>
        <v>1742</v>
      </c>
      <c r="M142" s="656" t="str">
        <f t="shared" si="0"/>
        <v>MACHINERIE &amp; EQUIPEMENT</v>
      </c>
      <c r="N142" s="657">
        <f>+IF(OR($Q142=Parametres!$G$2,$Q142=Parametres!$G$3),I142,C142)</f>
        <v>957607.11</v>
      </c>
      <c r="O142" s="657">
        <f>+IF(OR($Q142=Parametres!$G$2,$Q142=Parametres!$G$3),J142,D142)</f>
        <v>5143.59</v>
      </c>
      <c r="P142" s="657">
        <f>+IF(OR($Q142=Parametres!$G$2,$Q142=Parametres!$G$3),K142,E142)</f>
        <v>962750.7</v>
      </c>
      <c r="Q142" s="656" t="str">
        <f t="shared" ref="Q142:S142" si="144">+F142</f>
        <v>2-Actifs</v>
      </c>
      <c r="R142" s="655" t="str">
        <f t="shared" si="144"/>
        <v>1700</v>
      </c>
      <c r="S142" s="656">
        <f t="shared" si="144"/>
        <v>0</v>
      </c>
      <c r="T142" s="658" t="str">
        <f>+VLOOKUP($L142,Data_Validation!$A:$D,1,0)</f>
        <v>1742</v>
      </c>
      <c r="U142" s="658" t="str">
        <f>+VLOOKUP($L142,Data_Validation!$A:$D,3,0)</f>
        <v>Bilan</v>
      </c>
      <c r="V142" s="658" t="str">
        <f>+VLOOKUP($L142,Data_Validation!$A:$D,4,0)</f>
        <v>Équipements Service</v>
      </c>
      <c r="W142" s="658" t="str">
        <f>+VLOOKUP($L142,Data_Validation!$A:$E,5,0)</f>
        <v>$</v>
      </c>
      <c r="X142" s="658">
        <f>+VLOOKUP($L142,Data_Validation!$A:$F,6,0)</f>
        <v>0</v>
      </c>
    </row>
    <row r="143" spans="1:24" ht="15.75" customHeight="1">
      <c r="A143" s="1055" t="s">
        <v>890</v>
      </c>
      <c r="B143" s="1055" t="s">
        <v>1596</v>
      </c>
      <c r="C143" s="1057">
        <v>-813921.08</v>
      </c>
      <c r="D143" s="1057">
        <v>-2612</v>
      </c>
      <c r="E143" s="1057">
        <v>-816533.08</v>
      </c>
      <c r="F143" s="1055" t="s">
        <v>818</v>
      </c>
      <c r="G143" s="1055" t="s">
        <v>887</v>
      </c>
      <c r="H143" s="1034"/>
      <c r="I143" s="1035"/>
      <c r="J143" s="1035"/>
      <c r="K143" s="1035"/>
      <c r="L143" s="655" t="str">
        <f t="shared" si="132"/>
        <v>1743</v>
      </c>
      <c r="M143" s="656" t="str">
        <f t="shared" si="0"/>
        <v>AMORTISS.MACHINERIE &amp; EQUIP.</v>
      </c>
      <c r="N143" s="657">
        <f>+IF(OR($Q143=Parametres!$G$2,$Q143=Parametres!$G$3),I143,C143)</f>
        <v>-813921.08</v>
      </c>
      <c r="O143" s="657">
        <f>+IF(OR($Q143=Parametres!$G$2,$Q143=Parametres!$G$3),J143,D143)</f>
        <v>-2612</v>
      </c>
      <c r="P143" s="657">
        <f>+IF(OR($Q143=Parametres!$G$2,$Q143=Parametres!$G$3),K143,E143)</f>
        <v>-816533.08</v>
      </c>
      <c r="Q143" s="656" t="str">
        <f t="shared" ref="Q143:S143" si="145">+F143</f>
        <v>2-Actifs</v>
      </c>
      <c r="R143" s="655" t="str">
        <f t="shared" si="145"/>
        <v>1700</v>
      </c>
      <c r="S143" s="656">
        <f t="shared" si="145"/>
        <v>0</v>
      </c>
      <c r="T143" s="658" t="str">
        <f>+VLOOKUP($L143,Data_Validation!$A:$D,1,0)</f>
        <v>1743</v>
      </c>
      <c r="U143" s="658" t="str">
        <f>+VLOOKUP($L143,Data_Validation!$A:$D,3,0)</f>
        <v>Bilan</v>
      </c>
      <c r="V143" s="658" t="str">
        <f>+VLOOKUP($L143,Data_Validation!$A:$D,4,0)</f>
        <v>Équipements Service</v>
      </c>
      <c r="W143" s="658" t="str">
        <f>+VLOOKUP($L143,Data_Validation!$A:$E,5,0)</f>
        <v>$</v>
      </c>
      <c r="X143" s="658">
        <f>+VLOOKUP($L143,Data_Validation!$A:$F,6,0)</f>
        <v>0</v>
      </c>
    </row>
    <row r="144" spans="1:24" ht="15" customHeight="1">
      <c r="A144" s="1055" t="s">
        <v>891</v>
      </c>
      <c r="B144" s="1055" t="s">
        <v>1599</v>
      </c>
      <c r="C144" s="1057">
        <v>47461.59</v>
      </c>
      <c r="D144" s="1057">
        <v>0</v>
      </c>
      <c r="E144" s="1057">
        <v>47461.59</v>
      </c>
      <c r="F144" s="1055" t="s">
        <v>818</v>
      </c>
      <c r="G144" s="1055" t="s">
        <v>887</v>
      </c>
      <c r="H144" s="1034"/>
      <c r="I144" s="1035"/>
      <c r="J144" s="1035"/>
      <c r="K144" s="1035"/>
      <c r="L144" s="655" t="str">
        <f t="shared" si="132"/>
        <v>1744</v>
      </c>
      <c r="M144" s="656" t="str">
        <f t="shared" si="0"/>
        <v>EQUIPEMENT PIECES</v>
      </c>
      <c r="N144" s="657">
        <f>+IF(OR($Q144=Parametres!$G$2,$Q144=Parametres!$G$3),I144,C144)</f>
        <v>47461.59</v>
      </c>
      <c r="O144" s="657">
        <f>+IF(OR($Q144=Parametres!$G$2,$Q144=Parametres!$G$3),J144,D144)</f>
        <v>0</v>
      </c>
      <c r="P144" s="657">
        <f>+IF(OR($Q144=Parametres!$G$2,$Q144=Parametres!$G$3),K144,E144)</f>
        <v>47461.59</v>
      </c>
      <c r="Q144" s="656" t="str">
        <f t="shared" ref="Q144:S144" si="146">+F144</f>
        <v>2-Actifs</v>
      </c>
      <c r="R144" s="655" t="str">
        <f t="shared" si="146"/>
        <v>1700</v>
      </c>
      <c r="S144" s="656">
        <f t="shared" si="146"/>
        <v>0</v>
      </c>
      <c r="T144" s="658" t="str">
        <f>+VLOOKUP($L144,Data_Validation!$A:$D,1,0)</f>
        <v>1744</v>
      </c>
      <c r="U144" s="658" t="str">
        <f>+VLOOKUP($L144,Data_Validation!$A:$D,3,0)</f>
        <v>Bilan</v>
      </c>
      <c r="V144" s="658" t="str">
        <f>+VLOOKUP($L144,Data_Validation!$A:$D,4,0)</f>
        <v>Équipements Service</v>
      </c>
      <c r="W144" s="658" t="str">
        <f>+VLOOKUP($L144,Data_Validation!$A:$E,5,0)</f>
        <v>$</v>
      </c>
      <c r="X144" s="658">
        <f>+VLOOKUP($L144,Data_Validation!$A:$F,6,0)</f>
        <v>0</v>
      </c>
    </row>
    <row r="145" spans="1:24" ht="15" customHeight="1">
      <c r="A145" s="1055" t="s">
        <v>892</v>
      </c>
      <c r="B145" s="1055" t="s">
        <v>1602</v>
      </c>
      <c r="C145" s="1057">
        <v>-47494.51</v>
      </c>
      <c r="D145" s="1057">
        <v>-8.5</v>
      </c>
      <c r="E145" s="1057">
        <v>-47503.01</v>
      </c>
      <c r="F145" s="1055" t="s">
        <v>818</v>
      </c>
      <c r="G145" s="1055" t="s">
        <v>887</v>
      </c>
      <c r="H145" s="1034"/>
      <c r="I145" s="1034"/>
      <c r="J145" s="1034"/>
      <c r="K145" s="1034"/>
      <c r="L145" s="655" t="str">
        <f t="shared" si="132"/>
        <v>1745</v>
      </c>
      <c r="M145" s="656" t="str">
        <f t="shared" si="0"/>
        <v>AMORTISS.EQUIPEMENTS PIECES</v>
      </c>
      <c r="N145" s="657">
        <f>+IF(OR($Q145=Parametres!$G$2,$Q145=Parametres!$G$3),I145,C145)</f>
        <v>-47494.51</v>
      </c>
      <c r="O145" s="657">
        <f>+IF(OR($Q145=Parametres!$G$2,$Q145=Parametres!$G$3),J145,D145)</f>
        <v>-8.5</v>
      </c>
      <c r="P145" s="657">
        <f>+IF(OR($Q145=Parametres!$G$2,$Q145=Parametres!$G$3),K145,E145)</f>
        <v>-47503.01</v>
      </c>
      <c r="Q145" s="656" t="str">
        <f t="shared" ref="Q145:S145" si="147">+F145</f>
        <v>2-Actifs</v>
      </c>
      <c r="R145" s="655" t="str">
        <f t="shared" si="147"/>
        <v>1700</v>
      </c>
      <c r="S145" s="656">
        <f t="shared" si="147"/>
        <v>0</v>
      </c>
      <c r="T145" s="658" t="str">
        <f>+VLOOKUP($L145,Data_Validation!$A:$D,1,0)</f>
        <v>1745</v>
      </c>
      <c r="U145" s="658" t="str">
        <f>+VLOOKUP($L145,Data_Validation!$A:$D,3,0)</f>
        <v>Bilan</v>
      </c>
      <c r="V145" s="658" t="str">
        <f>+VLOOKUP($L145,Data_Validation!$A:$D,4,0)</f>
        <v>Équipements Service</v>
      </c>
      <c r="W145" s="658" t="str">
        <f>+VLOOKUP($L145,Data_Validation!$A:$E,5,0)</f>
        <v>$</v>
      </c>
      <c r="X145" s="658">
        <f>+VLOOKUP($L145,Data_Validation!$A:$F,6,0)</f>
        <v>0</v>
      </c>
    </row>
    <row r="146" spans="1:24" ht="15" customHeight="1">
      <c r="A146" s="1055" t="s">
        <v>893</v>
      </c>
      <c r="B146" s="1055" t="s">
        <v>1611</v>
      </c>
      <c r="C146" s="1057">
        <v>440156.49</v>
      </c>
      <c r="D146" s="1057">
        <v>0</v>
      </c>
      <c r="E146" s="1057">
        <v>440156.49</v>
      </c>
      <c r="F146" s="1055" t="s">
        <v>818</v>
      </c>
      <c r="G146" s="1055" t="s">
        <v>887</v>
      </c>
      <c r="H146" s="1034"/>
      <c r="I146" s="1034"/>
      <c r="J146" s="1034"/>
      <c r="K146" s="1034"/>
      <c r="L146" s="655" t="str">
        <f t="shared" si="132"/>
        <v>1762</v>
      </c>
      <c r="M146" s="656" t="str">
        <f t="shared" si="0"/>
        <v>AMEUBLEMENT &amp; INSTR.</v>
      </c>
      <c r="N146" s="657">
        <f>+IF(OR($Q146=Parametres!$G$2,$Q146=Parametres!$G$3),I146,C146)</f>
        <v>440156.49</v>
      </c>
      <c r="O146" s="657">
        <f>+IF(OR($Q146=Parametres!$G$2,$Q146=Parametres!$G$3),J146,D146)</f>
        <v>0</v>
      </c>
      <c r="P146" s="657">
        <f>+IF(OR($Q146=Parametres!$G$2,$Q146=Parametres!$G$3),K146,E146)</f>
        <v>440156.49</v>
      </c>
      <c r="Q146" s="656" t="str">
        <f t="shared" ref="Q146:S146" si="148">+F146</f>
        <v>2-Actifs</v>
      </c>
      <c r="R146" s="655" t="str">
        <f t="shared" si="148"/>
        <v>1700</v>
      </c>
      <c r="S146" s="656">
        <f t="shared" si="148"/>
        <v>0</v>
      </c>
      <c r="T146" s="658" t="str">
        <f>+VLOOKUP($L146,Data_Validation!$A:$D,1,0)</f>
        <v>1762</v>
      </c>
      <c r="U146" s="658" t="str">
        <f>+VLOOKUP($L146,Data_Validation!$A:$D,3,0)</f>
        <v>Bilan</v>
      </c>
      <c r="V146" s="658" t="str">
        <f>+VLOOKUP($L146,Data_Validation!$A:$D,4,0)</f>
        <v>Mobilier</v>
      </c>
      <c r="W146" s="658" t="str">
        <f>+VLOOKUP($L146,Data_Validation!$A:$E,5,0)</f>
        <v>$</v>
      </c>
      <c r="X146" s="658">
        <f>+VLOOKUP($L146,Data_Validation!$A:$F,6,0)</f>
        <v>0</v>
      </c>
    </row>
    <row r="147" spans="1:24" ht="15" customHeight="1">
      <c r="A147" s="1055" t="s">
        <v>894</v>
      </c>
      <c r="B147" s="1055" t="s">
        <v>1614</v>
      </c>
      <c r="C147" s="1057">
        <v>-407893.7</v>
      </c>
      <c r="D147" s="1057">
        <v>-497</v>
      </c>
      <c r="E147" s="1057">
        <v>-408390.7</v>
      </c>
      <c r="F147" s="1055" t="s">
        <v>818</v>
      </c>
      <c r="G147" s="1055" t="s">
        <v>887</v>
      </c>
      <c r="H147" s="1034"/>
      <c r="I147" s="1034"/>
      <c r="J147" s="1034"/>
      <c r="K147" s="1034"/>
      <c r="L147" s="655" t="str">
        <f t="shared" si="132"/>
        <v>1763</v>
      </c>
      <c r="M147" s="656" t="str">
        <f t="shared" si="0"/>
        <v>AMORTISS.AMEUBL.INSTR.</v>
      </c>
      <c r="N147" s="657">
        <f>+IF(OR($Q147=Parametres!$G$2,$Q147=Parametres!$G$3),I147,C147)</f>
        <v>-407893.7</v>
      </c>
      <c r="O147" s="657">
        <f>+IF(OR($Q147=Parametres!$G$2,$Q147=Parametres!$G$3),J147,D147)</f>
        <v>-497</v>
      </c>
      <c r="P147" s="657">
        <f>+IF(OR($Q147=Parametres!$G$2,$Q147=Parametres!$G$3),K147,E147)</f>
        <v>-408390.7</v>
      </c>
      <c r="Q147" s="656" t="str">
        <f t="shared" ref="Q147:S147" si="149">+F147</f>
        <v>2-Actifs</v>
      </c>
      <c r="R147" s="655" t="str">
        <f t="shared" si="149"/>
        <v>1700</v>
      </c>
      <c r="S147" s="656">
        <f t="shared" si="149"/>
        <v>0</v>
      </c>
      <c r="T147" s="658" t="str">
        <f>+VLOOKUP($L147,Data_Validation!$A:$D,1,0)</f>
        <v>1763</v>
      </c>
      <c r="U147" s="658" t="str">
        <f>+VLOOKUP($L147,Data_Validation!$A:$D,3,0)</f>
        <v>Bilan</v>
      </c>
      <c r="V147" s="658" t="str">
        <f>+VLOOKUP($L147,Data_Validation!$A:$D,4,0)</f>
        <v>Mobilier</v>
      </c>
      <c r="W147" s="658" t="str">
        <f>+VLOOKUP($L147,Data_Validation!$A:$E,5,0)</f>
        <v>$</v>
      </c>
      <c r="X147" s="658">
        <f>+VLOOKUP($L147,Data_Validation!$A:$F,6,0)</f>
        <v>0</v>
      </c>
    </row>
    <row r="148" spans="1:24" ht="15" customHeight="1">
      <c r="A148" s="1055" t="s">
        <v>895</v>
      </c>
      <c r="B148" s="1055" t="s">
        <v>1617</v>
      </c>
      <c r="C148" s="1057">
        <v>3987.88</v>
      </c>
      <c r="D148" s="1057">
        <v>0</v>
      </c>
      <c r="E148" s="1057">
        <v>3987.88</v>
      </c>
      <c r="F148" s="1055" t="s">
        <v>818</v>
      </c>
      <c r="G148" s="1055" t="s">
        <v>887</v>
      </c>
      <c r="H148" s="1034"/>
      <c r="I148" s="1034"/>
      <c r="J148" s="1034"/>
      <c r="K148" s="1034"/>
      <c r="L148" s="655" t="str">
        <f t="shared" si="132"/>
        <v>1772</v>
      </c>
      <c r="M148" s="656" t="str">
        <f t="shared" si="0"/>
        <v>VEHICULES DE CIE</v>
      </c>
      <c r="N148" s="657">
        <f>+IF(OR($Q148=Parametres!$G$2,$Q148=Parametres!$G$3),I148,C148)</f>
        <v>3987.88</v>
      </c>
      <c r="O148" s="657">
        <f>+IF(OR($Q148=Parametres!$G$2,$Q148=Parametres!$G$3),J148,D148)</f>
        <v>0</v>
      </c>
      <c r="P148" s="657">
        <f>+IF(OR($Q148=Parametres!$G$2,$Q148=Parametres!$G$3),K148,E148)</f>
        <v>3987.88</v>
      </c>
      <c r="Q148" s="656" t="str">
        <f t="shared" ref="Q148:S148" si="150">+F148</f>
        <v>2-Actifs</v>
      </c>
      <c r="R148" s="655" t="str">
        <f t="shared" si="150"/>
        <v>1700</v>
      </c>
      <c r="S148" s="656">
        <f t="shared" si="150"/>
        <v>0</v>
      </c>
      <c r="T148" s="658" t="str">
        <f>+VLOOKUP($L148,Data_Validation!$A:$D,1,0)</f>
        <v>1772</v>
      </c>
      <c r="U148" s="658" t="str">
        <f>+VLOOKUP($L148,Data_Validation!$A:$D,3,0)</f>
        <v>Bilan</v>
      </c>
      <c r="V148" s="658" t="str">
        <f>+VLOOKUP($L148,Data_Validation!$A:$D,4,0)</f>
        <v>Équipements Service</v>
      </c>
      <c r="W148" s="658" t="str">
        <f>+VLOOKUP($L148,Data_Validation!$A:$E,5,0)</f>
        <v>$</v>
      </c>
      <c r="X148" s="658">
        <f>+VLOOKUP($L148,Data_Validation!$A:$F,6,0)</f>
        <v>0</v>
      </c>
    </row>
    <row r="149" spans="1:24" ht="15" customHeight="1">
      <c r="A149" s="1055" t="s">
        <v>896</v>
      </c>
      <c r="B149" s="1055" t="s">
        <v>1620</v>
      </c>
      <c r="C149" s="1057">
        <v>-3987.88</v>
      </c>
      <c r="D149" s="1057">
        <v>0</v>
      </c>
      <c r="E149" s="1057">
        <v>-3987.88</v>
      </c>
      <c r="F149" s="1055" t="s">
        <v>818</v>
      </c>
      <c r="G149" s="1055" t="s">
        <v>887</v>
      </c>
      <c r="H149" s="1034"/>
      <c r="I149" s="1034"/>
      <c r="J149" s="1034"/>
      <c r="K149" s="1034"/>
      <c r="L149" s="655" t="str">
        <f t="shared" si="132"/>
        <v>1773</v>
      </c>
      <c r="M149" s="656" t="str">
        <f t="shared" si="0"/>
        <v>DEPRECIATION &amp; AMORT.</v>
      </c>
      <c r="N149" s="657">
        <f>+IF(OR($Q149=Parametres!$G$2,$Q149=Parametres!$G$3),I149,C149)</f>
        <v>-3987.88</v>
      </c>
      <c r="O149" s="657">
        <f>+IF(OR($Q149=Parametres!$G$2,$Q149=Parametres!$G$3),J149,D149)</f>
        <v>0</v>
      </c>
      <c r="P149" s="657">
        <f>+IF(OR($Q149=Parametres!$G$2,$Q149=Parametres!$G$3),K149,E149)</f>
        <v>-3987.88</v>
      </c>
      <c r="Q149" s="656" t="str">
        <f t="shared" ref="Q149:S149" si="151">+F149</f>
        <v>2-Actifs</v>
      </c>
      <c r="R149" s="655" t="str">
        <f t="shared" si="151"/>
        <v>1700</v>
      </c>
      <c r="S149" s="656">
        <f t="shared" si="151"/>
        <v>0</v>
      </c>
      <c r="T149" s="658" t="str">
        <f>+VLOOKUP($L149,Data_Validation!$A:$D,1,0)</f>
        <v>1773</v>
      </c>
      <c r="U149" s="658" t="str">
        <f>+VLOOKUP($L149,Data_Validation!$A:$D,3,0)</f>
        <v>Bilan</v>
      </c>
      <c r="V149" s="658" t="str">
        <f>+VLOOKUP($L149,Data_Validation!$A:$D,4,0)</f>
        <v>Équipements Service</v>
      </c>
      <c r="W149" s="658" t="str">
        <f>+VLOOKUP($L149,Data_Validation!$A:$E,5,0)</f>
        <v>$</v>
      </c>
      <c r="X149" s="658">
        <f>+VLOOKUP($L149,Data_Validation!$A:$F,6,0)</f>
        <v>0</v>
      </c>
    </row>
    <row r="150" spans="1:24" ht="15" customHeight="1">
      <c r="A150" s="1055" t="s">
        <v>897</v>
      </c>
      <c r="B150" s="1055" t="s">
        <v>1623</v>
      </c>
      <c r="C150" s="1057">
        <v>129416.15</v>
      </c>
      <c r="D150" s="1057">
        <v>0</v>
      </c>
      <c r="E150" s="1057">
        <v>129416.15</v>
      </c>
      <c r="F150" s="1055" t="s">
        <v>818</v>
      </c>
      <c r="G150" s="1055" t="s">
        <v>887</v>
      </c>
      <c r="H150" s="1034"/>
      <c r="I150" s="1034"/>
      <c r="J150" s="1034"/>
      <c r="K150" s="1034"/>
      <c r="L150" s="655" t="str">
        <f t="shared" si="132"/>
        <v>1786</v>
      </c>
      <c r="M150" s="656" t="str">
        <f t="shared" si="0"/>
        <v>EQUIPEMENT INFORMATIQUE</v>
      </c>
      <c r="N150" s="657">
        <f>+IF(OR($Q150=Parametres!$G$2,$Q150=Parametres!$G$3),I150,C150)</f>
        <v>129416.15</v>
      </c>
      <c r="O150" s="657">
        <f>+IF(OR($Q150=Parametres!$G$2,$Q150=Parametres!$G$3),J150,D150)</f>
        <v>0</v>
      </c>
      <c r="P150" s="657">
        <f>+IF(OR($Q150=Parametres!$G$2,$Q150=Parametres!$G$3),K150,E150)</f>
        <v>129416.15</v>
      </c>
      <c r="Q150" s="656" t="str">
        <f t="shared" ref="Q150:S150" si="152">+F150</f>
        <v>2-Actifs</v>
      </c>
      <c r="R150" s="655" t="str">
        <f t="shared" si="152"/>
        <v>1700</v>
      </c>
      <c r="S150" s="656">
        <f t="shared" si="152"/>
        <v>0</v>
      </c>
      <c r="T150" s="658" t="str">
        <f>+VLOOKUP($L150,Data_Validation!$A:$D,1,0)</f>
        <v>1786</v>
      </c>
      <c r="U150" s="658" t="str">
        <f>+VLOOKUP($L150,Data_Validation!$A:$D,3,0)</f>
        <v>Bilan</v>
      </c>
      <c r="V150" s="658" t="str">
        <f>+VLOOKUP($L150,Data_Validation!$A:$D,4,0)</f>
        <v>Équipements Informatique</v>
      </c>
      <c r="W150" s="658" t="str">
        <f>+VLOOKUP($L150,Data_Validation!$A:$E,5,0)</f>
        <v>$</v>
      </c>
      <c r="X150" s="658">
        <f>+VLOOKUP($L150,Data_Validation!$A:$F,6,0)</f>
        <v>0</v>
      </c>
    </row>
    <row r="151" spans="1:24" ht="15.75" customHeight="1">
      <c r="A151" s="1055" t="s">
        <v>898</v>
      </c>
      <c r="B151" s="1055" t="s">
        <v>1626</v>
      </c>
      <c r="C151" s="1057">
        <v>-112927.43</v>
      </c>
      <c r="D151" s="1057">
        <v>-972</v>
      </c>
      <c r="E151" s="1057">
        <v>-113899.43</v>
      </c>
      <c r="F151" s="1055" t="s">
        <v>818</v>
      </c>
      <c r="G151" s="1055" t="s">
        <v>887</v>
      </c>
      <c r="H151" s="1034"/>
      <c r="I151" s="1034"/>
      <c r="J151" s="1034"/>
      <c r="K151" s="1034"/>
      <c r="L151" s="655" t="str">
        <f t="shared" si="132"/>
        <v>1787</v>
      </c>
      <c r="M151" s="656" t="str">
        <f t="shared" si="0"/>
        <v>AMORTISS.EQUIP.INFORMATIQUES</v>
      </c>
      <c r="N151" s="657">
        <f>+IF(OR($Q151=Parametres!$G$2,$Q151=Parametres!$G$3),I151,C151)</f>
        <v>-112927.43</v>
      </c>
      <c r="O151" s="657">
        <f>+IF(OR($Q151=Parametres!$G$2,$Q151=Parametres!$G$3),J151,D151)</f>
        <v>-972</v>
      </c>
      <c r="P151" s="657">
        <f>+IF(OR($Q151=Parametres!$G$2,$Q151=Parametres!$G$3),K151,E151)</f>
        <v>-113899.43</v>
      </c>
      <c r="Q151" s="656" t="str">
        <f t="shared" ref="Q151:S151" si="153">+F151</f>
        <v>2-Actifs</v>
      </c>
      <c r="R151" s="655" t="str">
        <f t="shared" si="153"/>
        <v>1700</v>
      </c>
      <c r="S151" s="656">
        <f t="shared" si="153"/>
        <v>0</v>
      </c>
      <c r="T151" s="658" t="str">
        <f>+VLOOKUP($L151,Data_Validation!$A:$D,1,0)</f>
        <v>1787</v>
      </c>
      <c r="U151" s="658" t="str">
        <f>+VLOOKUP($L151,Data_Validation!$A:$D,3,0)</f>
        <v>Bilan</v>
      </c>
      <c r="V151" s="658" t="str">
        <f>+VLOOKUP($L151,Data_Validation!$A:$D,4,0)</f>
        <v>Équipements Informatique</v>
      </c>
      <c r="W151" s="658" t="str">
        <f>+VLOOKUP($L151,Data_Validation!$A:$E,5,0)</f>
        <v>$</v>
      </c>
      <c r="X151" s="658">
        <f>+VLOOKUP($L151,Data_Validation!$A:$F,6,0)</f>
        <v>0</v>
      </c>
    </row>
    <row r="152" spans="1:24" ht="15" customHeight="1">
      <c r="A152" s="1055" t="s">
        <v>899</v>
      </c>
      <c r="B152" s="1055" t="s">
        <v>1629</v>
      </c>
      <c r="C152" s="1057">
        <v>119393.66</v>
      </c>
      <c r="D152" s="1057">
        <v>0</v>
      </c>
      <c r="E152" s="1057">
        <v>119393.66</v>
      </c>
      <c r="F152" s="1055" t="s">
        <v>818</v>
      </c>
      <c r="G152" s="1055" t="s">
        <v>887</v>
      </c>
      <c r="H152" s="1034"/>
      <c r="I152" s="1034"/>
      <c r="J152" s="1034"/>
      <c r="K152" s="1034"/>
      <c r="L152" s="655" t="str">
        <f t="shared" si="132"/>
        <v>1792</v>
      </c>
      <c r="M152" s="656" t="str">
        <f t="shared" si="0"/>
        <v>ENSEIGNES</v>
      </c>
      <c r="N152" s="657">
        <f>+IF(OR($Q152=Parametres!$G$2,$Q152=Parametres!$G$3),I152,C152)</f>
        <v>119393.66</v>
      </c>
      <c r="O152" s="657">
        <f>+IF(OR($Q152=Parametres!$G$2,$Q152=Parametres!$G$3),J152,D152)</f>
        <v>0</v>
      </c>
      <c r="P152" s="657">
        <f>+IF(OR($Q152=Parametres!$G$2,$Q152=Parametres!$G$3),K152,E152)</f>
        <v>119393.66</v>
      </c>
      <c r="Q152" s="656" t="str">
        <f t="shared" ref="Q152:S152" si="154">+F152</f>
        <v>2-Actifs</v>
      </c>
      <c r="R152" s="655" t="str">
        <f t="shared" si="154"/>
        <v>1700</v>
      </c>
      <c r="S152" s="656">
        <f t="shared" si="154"/>
        <v>0</v>
      </c>
      <c r="T152" s="658" t="str">
        <f>+VLOOKUP($L152,Data_Validation!$A:$D,1,0)</f>
        <v>1792</v>
      </c>
      <c r="U152" s="658" t="str">
        <f>+VLOOKUP($L152,Data_Validation!$A:$D,3,0)</f>
        <v>Bilan</v>
      </c>
      <c r="V152" s="658" t="str">
        <f>+VLOOKUP($L152,Data_Validation!$A:$D,4,0)</f>
        <v>Enseigne</v>
      </c>
      <c r="W152" s="658" t="str">
        <f>+VLOOKUP($L152,Data_Validation!$A:$E,5,0)</f>
        <v>$</v>
      </c>
      <c r="X152" s="658">
        <f>+VLOOKUP($L152,Data_Validation!$A:$F,6,0)</f>
        <v>0</v>
      </c>
    </row>
    <row r="153" spans="1:24" ht="15" customHeight="1">
      <c r="A153" s="1055" t="s">
        <v>900</v>
      </c>
      <c r="B153" s="1055" t="s">
        <v>1632</v>
      </c>
      <c r="C153" s="1057">
        <v>-119393.65</v>
      </c>
      <c r="D153" s="1057">
        <v>0</v>
      </c>
      <c r="E153" s="1057">
        <v>-119393.65</v>
      </c>
      <c r="F153" s="1055" t="s">
        <v>818</v>
      </c>
      <c r="G153" s="1055" t="s">
        <v>887</v>
      </c>
      <c r="H153" s="1034"/>
      <c r="I153" s="1034"/>
      <c r="J153" s="1034"/>
      <c r="K153" s="1034"/>
      <c r="L153" s="655" t="str">
        <f t="shared" si="132"/>
        <v>1793</v>
      </c>
      <c r="M153" s="656" t="str">
        <f t="shared" si="0"/>
        <v>AMORT. CUM. ENSEIGNES</v>
      </c>
      <c r="N153" s="657">
        <f>+IF(OR($Q153=Parametres!$G$2,$Q153=Parametres!$G$3),I153,C153)</f>
        <v>-119393.65</v>
      </c>
      <c r="O153" s="657">
        <f>+IF(OR($Q153=Parametres!$G$2,$Q153=Parametres!$G$3),J153,D153)</f>
        <v>0</v>
      </c>
      <c r="P153" s="657">
        <f>+IF(OR($Q153=Parametres!$G$2,$Q153=Parametres!$G$3),K153,E153)</f>
        <v>-119393.65</v>
      </c>
      <c r="Q153" s="656" t="str">
        <f t="shared" ref="Q153:S153" si="155">+F153</f>
        <v>2-Actifs</v>
      </c>
      <c r="R153" s="655" t="str">
        <f t="shared" si="155"/>
        <v>1700</v>
      </c>
      <c r="S153" s="656">
        <f t="shared" si="155"/>
        <v>0</v>
      </c>
      <c r="T153" s="658" t="str">
        <f>+VLOOKUP($L153,Data_Validation!$A:$D,1,0)</f>
        <v>1793</v>
      </c>
      <c r="U153" s="658" t="str">
        <f>+VLOOKUP($L153,Data_Validation!$A:$D,3,0)</f>
        <v>Bilan</v>
      </c>
      <c r="V153" s="658" t="str">
        <f>+VLOOKUP($L153,Data_Validation!$A:$D,4,0)</f>
        <v>Enseigne</v>
      </c>
      <c r="W153" s="658" t="str">
        <f>+VLOOKUP($L153,Data_Validation!$A:$E,5,0)</f>
        <v>$</v>
      </c>
      <c r="X153" s="658">
        <f>+VLOOKUP($L153,Data_Validation!$A:$F,6,0)</f>
        <v>0</v>
      </c>
    </row>
    <row r="154" spans="1:24" ht="15" customHeight="1">
      <c r="A154" s="1055" t="s">
        <v>3338</v>
      </c>
      <c r="B154" s="1055" t="s">
        <v>901</v>
      </c>
      <c r="C154" s="1057">
        <v>7173600</v>
      </c>
      <c r="D154" s="1057">
        <v>0</v>
      </c>
      <c r="E154" s="1057">
        <v>7173600</v>
      </c>
      <c r="F154" s="1055" t="s">
        <v>818</v>
      </c>
      <c r="G154" s="1055" t="s">
        <v>901</v>
      </c>
      <c r="H154" s="1034"/>
      <c r="I154" s="1034"/>
      <c r="J154" s="1034"/>
      <c r="K154" s="1034"/>
      <c r="L154" s="655" t="str">
        <f t="shared" si="132"/>
        <v>1804</v>
      </c>
      <c r="M154" s="656" t="str">
        <f t="shared" si="0"/>
        <v>AVANCES COMPLEXE INTERCO</v>
      </c>
      <c r="N154" s="657">
        <f>+IF(OR($Q154=Parametres!$G$2,$Q154=Parametres!$G$3),I154,C154)</f>
        <v>7173600</v>
      </c>
      <c r="O154" s="657">
        <f>+IF(OR($Q154=Parametres!$G$2,$Q154=Parametres!$G$3),J154,D154)</f>
        <v>0</v>
      </c>
      <c r="P154" s="657">
        <f>+IF(OR($Q154=Parametres!$G$2,$Q154=Parametres!$G$3),K154,E154)</f>
        <v>7173600</v>
      </c>
      <c r="Q154" s="656" t="str">
        <f t="shared" ref="Q154:S154" si="156">+F154</f>
        <v>2-Actifs</v>
      </c>
      <c r="R154" s="655" t="str">
        <f t="shared" si="156"/>
        <v>1804</v>
      </c>
      <c r="S154" s="656">
        <f t="shared" si="156"/>
        <v>0</v>
      </c>
      <c r="T154" s="658" t="str">
        <f>+VLOOKUP($L154,Data_Validation!$A:$D,1,0)</f>
        <v>1804</v>
      </c>
      <c r="U154" s="658" t="str">
        <f>+VLOOKUP($L154,Data_Validation!$A:$D,3,0)</f>
        <v>Bilan</v>
      </c>
      <c r="V154" s="658" t="str">
        <f>+VLOOKUP($L154,Data_Validation!$A:$D,4,0)</f>
        <v>Avances à Recevoir Long Terme</v>
      </c>
      <c r="W154" s="658" t="str">
        <f>+VLOOKUP($L154,Data_Validation!$A:$E,5,0)</f>
        <v>$</v>
      </c>
      <c r="X154" s="658">
        <f>+VLOOKUP($L154,Data_Validation!$A:$F,6,0)</f>
        <v>0</v>
      </c>
    </row>
    <row r="155" spans="1:24" ht="15.75" customHeight="1">
      <c r="A155" s="1055" t="s">
        <v>902</v>
      </c>
      <c r="B155" s="1055" t="s">
        <v>1637</v>
      </c>
      <c r="C155" s="1057">
        <v>9036.09</v>
      </c>
      <c r="D155" s="1057">
        <v>-1372.33</v>
      </c>
      <c r="E155" s="1057">
        <v>7663.76</v>
      </c>
      <c r="F155" s="1055" t="s">
        <v>818</v>
      </c>
      <c r="G155" s="1055" t="s">
        <v>823</v>
      </c>
      <c r="H155" s="1034"/>
      <c r="I155" s="1034"/>
      <c r="J155" s="1034"/>
      <c r="K155" s="1034"/>
      <c r="L155" s="655" t="str">
        <f t="shared" si="132"/>
        <v>1806</v>
      </c>
      <c r="M155" s="656" t="str">
        <f t="shared" si="0"/>
        <v>FINANCEMENT RECEVABLE</v>
      </c>
      <c r="N155" s="657">
        <f>+IF(OR($Q155=Parametres!$G$2,$Q155=Parametres!$G$3),I155,C155)</f>
        <v>9036.09</v>
      </c>
      <c r="O155" s="657">
        <f>+IF(OR($Q155=Parametres!$G$2,$Q155=Parametres!$G$3),J155,D155)</f>
        <v>-1372.33</v>
      </c>
      <c r="P155" s="657">
        <f>+IF(OR($Q155=Parametres!$G$2,$Q155=Parametres!$G$3),K155,E155)</f>
        <v>7663.76</v>
      </c>
      <c r="Q155" s="656" t="str">
        <f t="shared" ref="Q155:S155" si="157">+F155</f>
        <v>2-Actifs</v>
      </c>
      <c r="R155" s="655" t="str">
        <f t="shared" si="157"/>
        <v>1382</v>
      </c>
      <c r="S155" s="656">
        <f t="shared" si="157"/>
        <v>0</v>
      </c>
      <c r="T155" s="658" t="str">
        <f>+VLOOKUP($L155,Data_Validation!$A:$D,1,0)</f>
        <v>1806</v>
      </c>
      <c r="U155" s="658" t="str">
        <f>+VLOOKUP($L155,Data_Validation!$A:$D,3,0)</f>
        <v>Bilan</v>
      </c>
      <c r="V155" s="658" t="str">
        <f>+VLOOKUP($L155,Data_Validation!$A:$D,4,0)</f>
        <v>Recevables Autres</v>
      </c>
      <c r="W155" s="658" t="str">
        <f>+VLOOKUP($L155,Data_Validation!$A:$E,5,0)</f>
        <v>$</v>
      </c>
      <c r="X155" s="658">
        <f>+VLOOKUP($L155,Data_Validation!$A:$F,6,0)</f>
        <v>0</v>
      </c>
    </row>
    <row r="156" spans="1:24" ht="15" customHeight="1">
      <c r="A156" s="1055" t="s">
        <v>903</v>
      </c>
      <c r="B156" s="1055" t="s">
        <v>905</v>
      </c>
      <c r="C156" s="1057">
        <v>-4255820.22</v>
      </c>
      <c r="D156" s="1057">
        <v>1431441.99</v>
      </c>
      <c r="E156" s="1057">
        <v>-2824378.23</v>
      </c>
      <c r="F156" s="1055" t="s">
        <v>904</v>
      </c>
      <c r="G156" s="1055" t="s">
        <v>905</v>
      </c>
      <c r="H156" s="1034"/>
      <c r="I156" s="1034"/>
      <c r="J156" s="1034"/>
      <c r="K156" s="1034"/>
      <c r="L156" s="655" t="str">
        <f t="shared" si="132"/>
        <v>2101</v>
      </c>
      <c r="M156" s="656" t="str">
        <f t="shared" si="0"/>
        <v>NOTE A PAYER VEH. NEUFS VOLKS</v>
      </c>
      <c r="N156" s="657">
        <f>+IF(OR($Q156=Parametres!$G$2,$Q156=Parametres!$G$3),I156,C156)</f>
        <v>-4255820.22</v>
      </c>
      <c r="O156" s="657">
        <f>+IF(OR($Q156=Parametres!$G$2,$Q156=Parametres!$G$3),J156,D156)</f>
        <v>1431441.99</v>
      </c>
      <c r="P156" s="657">
        <f>+IF(OR($Q156=Parametres!$G$2,$Q156=Parametres!$G$3),K156,E156)</f>
        <v>-2824378.23</v>
      </c>
      <c r="Q156" s="656" t="str">
        <f t="shared" ref="Q156:S156" si="158">+F156</f>
        <v>3-Passifs</v>
      </c>
      <c r="R156" s="655" t="str">
        <f t="shared" si="158"/>
        <v>2101</v>
      </c>
      <c r="S156" s="656">
        <f t="shared" si="158"/>
        <v>0</v>
      </c>
      <c r="T156" s="658" t="str">
        <f>+VLOOKUP($L156,Data_Validation!$A:$D,1,0)</f>
        <v>2101</v>
      </c>
      <c r="U156" s="658" t="str">
        <f>+VLOOKUP($L156,Data_Validation!$A:$D,3,0)</f>
        <v>Bilan</v>
      </c>
      <c r="V156" s="658" t="str">
        <f>+VLOOKUP($L156,Data_Validation!$A:$D,4,0)</f>
        <v>Effet à Payer Véhicules Neufs</v>
      </c>
      <c r="W156" s="658" t="str">
        <f>+VLOOKUP($L156,Data_Validation!$A:$E,5,0)</f>
        <v>$</v>
      </c>
      <c r="X156" s="658">
        <f>+VLOOKUP($L156,Data_Validation!$A:$F,6,0)</f>
        <v>0</v>
      </c>
    </row>
    <row r="157" spans="1:24" ht="15" customHeight="1">
      <c r="A157" s="1055" t="s">
        <v>906</v>
      </c>
      <c r="B157" s="1055" t="s">
        <v>907</v>
      </c>
      <c r="C157" s="1057">
        <v>-1434674.44</v>
      </c>
      <c r="D157" s="1057">
        <v>39066.93</v>
      </c>
      <c r="E157" s="1057">
        <v>-1395607.51</v>
      </c>
      <c r="F157" s="1055" t="s">
        <v>904</v>
      </c>
      <c r="G157" s="1055" t="s">
        <v>907</v>
      </c>
      <c r="H157" s="1034"/>
      <c r="I157" s="1034"/>
      <c r="J157" s="1034"/>
      <c r="K157" s="1034"/>
      <c r="L157" s="655" t="str">
        <f t="shared" si="132"/>
        <v>2103</v>
      </c>
      <c r="M157" s="656" t="str">
        <f t="shared" si="0"/>
        <v>NOTE PAYABLE-FIN. VEH. USAG.</v>
      </c>
      <c r="N157" s="657">
        <f>+IF(OR($Q157=Parametres!$G$2,$Q157=Parametres!$G$3),I157,C157)</f>
        <v>-1434674.44</v>
      </c>
      <c r="O157" s="657">
        <f>+IF(OR($Q157=Parametres!$G$2,$Q157=Parametres!$G$3),J157,D157)</f>
        <v>39066.93</v>
      </c>
      <c r="P157" s="657">
        <f>+IF(OR($Q157=Parametres!$G$2,$Q157=Parametres!$G$3),K157,E157)</f>
        <v>-1395607.51</v>
      </c>
      <c r="Q157" s="656" t="str">
        <f t="shared" ref="Q157:S157" si="159">+F157</f>
        <v>3-Passifs</v>
      </c>
      <c r="R157" s="655" t="str">
        <f t="shared" si="159"/>
        <v>2103</v>
      </c>
      <c r="S157" s="656">
        <f t="shared" si="159"/>
        <v>0</v>
      </c>
      <c r="T157" s="658" t="str">
        <f>+VLOOKUP($L157,Data_Validation!$A:$D,1,0)</f>
        <v>2103</v>
      </c>
      <c r="U157" s="658" t="str">
        <f>+VLOOKUP($L157,Data_Validation!$A:$D,3,0)</f>
        <v>Bilan</v>
      </c>
      <c r="V157" s="658" t="str">
        <f>+VLOOKUP($L157,Data_Validation!$A:$D,4,0)</f>
        <v>Effet à Payer Véhicules Usagés</v>
      </c>
      <c r="W157" s="658" t="str">
        <f>+VLOOKUP($L157,Data_Validation!$A:$E,5,0)</f>
        <v>$</v>
      </c>
      <c r="X157" s="658">
        <f>+VLOOKUP($L157,Data_Validation!$A:$F,6,0)</f>
        <v>0</v>
      </c>
    </row>
    <row r="158" spans="1:24" ht="15" customHeight="1">
      <c r="A158" s="1055" t="s">
        <v>3671</v>
      </c>
      <c r="B158" s="1055" t="s">
        <v>3378</v>
      </c>
      <c r="C158" s="1057">
        <v>0</v>
      </c>
      <c r="D158" s="1057">
        <v>-10831.38</v>
      </c>
      <c r="E158" s="1057">
        <v>-10831.38</v>
      </c>
      <c r="F158" s="1055" t="s">
        <v>904</v>
      </c>
      <c r="G158" s="1055" t="s">
        <v>3672</v>
      </c>
      <c r="H158" s="1034"/>
      <c r="I158" s="1034"/>
      <c r="J158" s="1034"/>
      <c r="K158" s="1034"/>
      <c r="L158" s="655" t="str">
        <f t="shared" si="132"/>
        <v>2105</v>
      </c>
      <c r="M158" s="656" t="str">
        <f t="shared" si="0"/>
        <v>INTERET FP A PAYER</v>
      </c>
      <c r="N158" s="657">
        <f>+IF(OR($Q158=Parametres!$G$2,$Q158=Parametres!$G$3),I158,C158)</f>
        <v>0</v>
      </c>
      <c r="O158" s="657">
        <f>+IF(OR($Q158=Parametres!$G$2,$Q158=Parametres!$G$3),J158,D158)</f>
        <v>-10831.38</v>
      </c>
      <c r="P158" s="657">
        <f>+IF(OR($Q158=Parametres!$G$2,$Q158=Parametres!$G$3),K158,E158)</f>
        <v>-10831.38</v>
      </c>
      <c r="Q158" s="656" t="str">
        <f t="shared" ref="Q158:S158" si="160">+F158</f>
        <v>3-Passifs</v>
      </c>
      <c r="R158" s="655" t="str">
        <f t="shared" si="160"/>
        <v>210</v>
      </c>
      <c r="S158" s="656">
        <f t="shared" si="160"/>
        <v>0</v>
      </c>
      <c r="T158" s="658" t="str">
        <f>+VLOOKUP($L158,Data_Validation!$A:$D,1,0)</f>
        <v>2105</v>
      </c>
      <c r="U158" s="658" t="str">
        <f>+VLOOKUP($L158,Data_Validation!$A:$D,3,0)</f>
        <v>Bilan</v>
      </c>
      <c r="V158" s="658" t="str">
        <f>+VLOOKUP($L158,Data_Validation!$A:$D,4,0)</f>
        <v>Autres Courus</v>
      </c>
      <c r="W158" s="658" t="str">
        <f>+VLOOKUP($L158,Data_Validation!$A:$E,5,0)</f>
        <v>$</v>
      </c>
      <c r="X158" s="658">
        <f>+VLOOKUP($L158,Data_Validation!$A:$F,6,0)</f>
        <v>0</v>
      </c>
    </row>
    <row r="159" spans="1:24" ht="15.75" customHeight="1">
      <c r="A159" s="1055" t="s">
        <v>3673</v>
      </c>
      <c r="B159" s="1055" t="s">
        <v>3379</v>
      </c>
      <c r="C159" s="1057">
        <v>0</v>
      </c>
      <c r="D159" s="1057">
        <v>-7073.76</v>
      </c>
      <c r="E159" s="1057">
        <v>-7073.76</v>
      </c>
      <c r="F159" s="1055" t="s">
        <v>904</v>
      </c>
      <c r="G159" s="1055" t="s">
        <v>3674</v>
      </c>
      <c r="H159" s="1034"/>
      <c r="I159" s="1034"/>
      <c r="J159" s="1034"/>
      <c r="K159" s="1034"/>
      <c r="L159" s="655" t="str">
        <f t="shared" si="132"/>
        <v>2113</v>
      </c>
      <c r="M159" s="656" t="str">
        <f t="shared" si="0"/>
        <v>FRAIS BANCAIRE A PAYER</v>
      </c>
      <c r="N159" s="657">
        <f>+IF(OR($Q159=Parametres!$G$2,$Q159=Parametres!$G$3),I159,C159)</f>
        <v>0</v>
      </c>
      <c r="O159" s="657">
        <f>+IF(OR($Q159=Parametres!$G$2,$Q159=Parametres!$G$3),J159,D159)</f>
        <v>-7073.76</v>
      </c>
      <c r="P159" s="657">
        <f>+IF(OR($Q159=Parametres!$G$2,$Q159=Parametres!$G$3),K159,E159)</f>
        <v>-7073.76</v>
      </c>
      <c r="Q159" s="656" t="str">
        <f t="shared" ref="Q159:S159" si="161">+F159</f>
        <v>3-Passifs</v>
      </c>
      <c r="R159" s="655" t="str">
        <f t="shared" si="161"/>
        <v>211</v>
      </c>
      <c r="S159" s="656">
        <f t="shared" si="161"/>
        <v>0</v>
      </c>
      <c r="T159" s="658" t="str">
        <f>+VLOOKUP($L159,Data_Validation!$A:$D,1,0)</f>
        <v>2113</v>
      </c>
      <c r="U159" s="658" t="str">
        <f>+VLOOKUP($L159,Data_Validation!$A:$D,3,0)</f>
        <v>Bilan</v>
      </c>
      <c r="V159" s="658" t="str">
        <f>+VLOOKUP($L159,Data_Validation!$A:$D,4,0)</f>
        <v>Autres Courus</v>
      </c>
      <c r="W159" s="658" t="str">
        <f>+VLOOKUP($L159,Data_Validation!$A:$E,5,0)</f>
        <v>$</v>
      </c>
      <c r="X159" s="658">
        <f>+VLOOKUP($L159,Data_Validation!$A:$F,6,0)</f>
        <v>0</v>
      </c>
    </row>
    <row r="160" spans="1:24" ht="15" customHeight="1">
      <c r="A160" s="1055" t="s">
        <v>908</v>
      </c>
      <c r="B160" s="1055" t="s">
        <v>909</v>
      </c>
      <c r="C160" s="1057">
        <v>-15810</v>
      </c>
      <c r="D160" s="1057">
        <v>0</v>
      </c>
      <c r="E160" s="1057">
        <v>-15810</v>
      </c>
      <c r="F160" s="1055" t="s">
        <v>904</v>
      </c>
      <c r="G160" s="1055" t="s">
        <v>909</v>
      </c>
      <c r="H160" s="1034"/>
      <c r="I160" s="1035"/>
      <c r="J160" s="1035"/>
      <c r="K160" s="1035"/>
      <c r="L160" s="655" t="str">
        <f t="shared" si="132"/>
        <v>2131</v>
      </c>
      <c r="M160" s="656" t="str">
        <f t="shared" si="0"/>
        <v>PORTION COURANTE PRET</v>
      </c>
      <c r="N160" s="657">
        <f>+IF(OR($Q160=Parametres!$G$2,$Q160=Parametres!$G$3),I160,C160)</f>
        <v>-15810</v>
      </c>
      <c r="O160" s="657">
        <f>+IF(OR($Q160=Parametres!$G$2,$Q160=Parametres!$G$3),J160,D160)</f>
        <v>0</v>
      </c>
      <c r="P160" s="657">
        <f>+IF(OR($Q160=Parametres!$G$2,$Q160=Parametres!$G$3),K160,E160)</f>
        <v>-15810</v>
      </c>
      <c r="Q160" s="656" t="str">
        <f t="shared" ref="Q160:S160" si="162">+F160</f>
        <v>3-Passifs</v>
      </c>
      <c r="R160" s="655" t="str">
        <f t="shared" si="162"/>
        <v>2131</v>
      </c>
      <c r="S160" s="656">
        <f t="shared" si="162"/>
        <v>0</v>
      </c>
      <c r="T160" s="658" t="str">
        <f>+VLOOKUP($L160,Data_Validation!$A:$D,1,0)</f>
        <v>2131</v>
      </c>
      <c r="U160" s="658" t="str">
        <f>+VLOOKUP($L160,Data_Validation!$A:$D,3,0)</f>
        <v>Bilan</v>
      </c>
      <c r="V160" s="658" t="str">
        <f>+VLOOKUP($L160,Data_Validation!$A:$D,4,0)</f>
        <v>Portion Court Terme de la Dette Long Terme</v>
      </c>
      <c r="W160" s="658" t="str">
        <f>+VLOOKUP($L160,Data_Validation!$A:$E,5,0)</f>
        <v>$</v>
      </c>
      <c r="X160" s="658">
        <f>+VLOOKUP($L160,Data_Validation!$A:$F,6,0)</f>
        <v>0</v>
      </c>
    </row>
    <row r="161" spans="1:24" ht="15" customHeight="1">
      <c r="A161" s="1055" t="s">
        <v>910</v>
      </c>
      <c r="B161" s="1055" t="s">
        <v>911</v>
      </c>
      <c r="C161" s="1057">
        <v>-143.55000000000001</v>
      </c>
      <c r="D161" s="1057">
        <v>-84.68</v>
      </c>
      <c r="E161" s="1057">
        <v>-228.23</v>
      </c>
      <c r="F161" s="1055" t="s">
        <v>904</v>
      </c>
      <c r="G161" s="1055" t="s">
        <v>911</v>
      </c>
      <c r="H161" s="653"/>
      <c r="I161" s="653"/>
      <c r="J161" s="653"/>
      <c r="K161" s="653"/>
      <c r="L161" s="655" t="str">
        <f t="shared" si="132"/>
        <v>2220</v>
      </c>
      <c r="M161" s="656" t="str">
        <f t="shared" si="0"/>
        <v>TPA A PAYER</v>
      </c>
      <c r="N161" s="657">
        <f>+IF(OR($Q161=Parametres!$G$2,$Q161=Parametres!$G$3),I161,C161)</f>
        <v>-143.55000000000001</v>
      </c>
      <c r="O161" s="657">
        <f>+IF(OR($Q161=Parametres!$G$2,$Q161=Parametres!$G$3),J161,D161)</f>
        <v>-84.68</v>
      </c>
      <c r="P161" s="657">
        <f>+IF(OR($Q161=Parametres!$G$2,$Q161=Parametres!$G$3),K161,E161)</f>
        <v>-228.23</v>
      </c>
      <c r="Q161" s="656" t="str">
        <f t="shared" ref="Q161:S161" si="163">+F161</f>
        <v>3-Passifs</v>
      </c>
      <c r="R161" s="655" t="str">
        <f t="shared" si="163"/>
        <v>2220</v>
      </c>
      <c r="S161" s="656">
        <f t="shared" si="163"/>
        <v>0</v>
      </c>
      <c r="T161" s="658" t="str">
        <f>+VLOOKUP($L161,Data_Validation!$A:$D,1,0)</f>
        <v>2220</v>
      </c>
      <c r="U161" s="658" t="str">
        <f>+VLOOKUP($L161,Data_Validation!$A:$D,3,0)</f>
        <v>Bilan</v>
      </c>
      <c r="V161" s="658" t="str">
        <f>+VLOOKUP($L161,Data_Validation!$A:$D,4,0)</f>
        <v>Taxes de Vente à Payer</v>
      </c>
      <c r="W161" s="658" t="str">
        <f>+VLOOKUP($L161,Data_Validation!$A:$E,5,0)</f>
        <v>$</v>
      </c>
      <c r="X161" s="658">
        <f>+VLOOKUP($L161,Data_Validation!$A:$F,6,0)</f>
        <v>0</v>
      </c>
    </row>
    <row r="162" spans="1:24" ht="15" customHeight="1">
      <c r="A162" s="1055" t="s">
        <v>912</v>
      </c>
      <c r="B162" s="1055" t="s">
        <v>913</v>
      </c>
      <c r="C162" s="1057">
        <v>-113015.09</v>
      </c>
      <c r="D162" s="1057">
        <v>34143.129999999997</v>
      </c>
      <c r="E162" s="1057">
        <v>-78871.960000000006</v>
      </c>
      <c r="F162" s="1055" t="s">
        <v>904</v>
      </c>
      <c r="G162" s="1055" t="s">
        <v>913</v>
      </c>
      <c r="H162" s="1034"/>
      <c r="I162" s="1034"/>
      <c r="J162" s="1034"/>
      <c r="K162" s="1034"/>
      <c r="L162" s="655" t="str">
        <f t="shared" si="132"/>
        <v>2221</v>
      </c>
      <c r="M162" s="656" t="str">
        <f t="shared" si="0"/>
        <v>TVQ A PAYER</v>
      </c>
      <c r="N162" s="657">
        <f>+IF(OR($Q162=Parametres!$G$2,$Q162=Parametres!$G$3),I162,C162)</f>
        <v>-113015.09</v>
      </c>
      <c r="O162" s="657">
        <f>+IF(OR($Q162=Parametres!$G$2,$Q162=Parametres!$G$3),J162,D162)</f>
        <v>34143.129999999997</v>
      </c>
      <c r="P162" s="657">
        <f>+IF(OR($Q162=Parametres!$G$2,$Q162=Parametres!$G$3),K162,E162)</f>
        <v>-78871.960000000006</v>
      </c>
      <c r="Q162" s="656" t="str">
        <f t="shared" ref="Q162:S162" si="164">+F162</f>
        <v>3-Passifs</v>
      </c>
      <c r="R162" s="655" t="str">
        <f t="shared" si="164"/>
        <v>2221</v>
      </c>
      <c r="S162" s="656">
        <f t="shared" si="164"/>
        <v>0</v>
      </c>
      <c r="T162" s="658" t="str">
        <f>+VLOOKUP($L162,Data_Validation!$A:$D,1,0)</f>
        <v>2221</v>
      </c>
      <c r="U162" s="658" t="str">
        <f>+VLOOKUP($L162,Data_Validation!$A:$D,3,0)</f>
        <v>Bilan</v>
      </c>
      <c r="V162" s="658" t="str">
        <f>+VLOOKUP($L162,Data_Validation!$A:$D,4,0)</f>
        <v>Taxes de Vente à Payer</v>
      </c>
      <c r="W162" s="658" t="str">
        <f>+VLOOKUP($L162,Data_Validation!$A:$E,5,0)</f>
        <v>$</v>
      </c>
      <c r="X162" s="658">
        <f>+VLOOKUP($L162,Data_Validation!$A:$F,6,0)</f>
        <v>0</v>
      </c>
    </row>
    <row r="163" spans="1:24" ht="15.75" customHeight="1">
      <c r="A163" s="1055" t="s">
        <v>914</v>
      </c>
      <c r="B163" s="1055" t="s">
        <v>1654</v>
      </c>
      <c r="C163" s="1057">
        <v>66563.850000000006</v>
      </c>
      <c r="D163" s="1057">
        <v>-11854.02</v>
      </c>
      <c r="E163" s="1057">
        <v>54709.83</v>
      </c>
      <c r="F163" s="1055" t="s">
        <v>904</v>
      </c>
      <c r="G163" s="1055" t="s">
        <v>913</v>
      </c>
      <c r="H163" s="653"/>
      <c r="I163" s="653"/>
      <c r="J163" s="653"/>
      <c r="K163" s="653"/>
      <c r="L163" s="655" t="str">
        <f t="shared" si="132"/>
        <v>2222</v>
      </c>
      <c r="M163" s="656" t="str">
        <f t="shared" si="0"/>
        <v>TVQ A RECEVOIR</v>
      </c>
      <c r="N163" s="657">
        <f>+IF(OR($Q163=Parametres!$G$2,$Q163=Parametres!$G$3),I163,C163)</f>
        <v>66563.850000000006</v>
      </c>
      <c r="O163" s="657">
        <f>+IF(OR($Q163=Parametres!$G$2,$Q163=Parametres!$G$3),J163,D163)</f>
        <v>-11854.02</v>
      </c>
      <c r="P163" s="657">
        <f>+IF(OR($Q163=Parametres!$G$2,$Q163=Parametres!$G$3),K163,E163)</f>
        <v>54709.83</v>
      </c>
      <c r="Q163" s="656" t="str">
        <f t="shared" ref="Q163:S163" si="165">+F163</f>
        <v>3-Passifs</v>
      </c>
      <c r="R163" s="655" t="str">
        <f t="shared" si="165"/>
        <v>2221</v>
      </c>
      <c r="S163" s="656">
        <f t="shared" si="165"/>
        <v>0</v>
      </c>
      <c r="T163" s="658" t="str">
        <f>+VLOOKUP($L163,Data_Validation!$A:$D,1,0)</f>
        <v>2222</v>
      </c>
      <c r="U163" s="658" t="str">
        <f>+VLOOKUP($L163,Data_Validation!$A:$D,3,0)</f>
        <v>Bilan</v>
      </c>
      <c r="V163" s="658" t="str">
        <f>+VLOOKUP($L163,Data_Validation!$A:$D,4,0)</f>
        <v>Taxes de Vente à Payer</v>
      </c>
      <c r="W163" s="658" t="str">
        <f>+VLOOKUP($L163,Data_Validation!$A:$E,5,0)</f>
        <v>$</v>
      </c>
      <c r="X163" s="658">
        <f>+VLOOKUP($L163,Data_Validation!$A:$F,6,0)</f>
        <v>0</v>
      </c>
    </row>
    <row r="164" spans="1:24" ht="15" customHeight="1">
      <c r="A164" s="1055" t="s">
        <v>915</v>
      </c>
      <c r="B164" s="1055" t="s">
        <v>916</v>
      </c>
      <c r="C164" s="1057">
        <v>-379218</v>
      </c>
      <c r="D164" s="1057">
        <v>203833.3</v>
      </c>
      <c r="E164" s="1057">
        <v>-175384.7</v>
      </c>
      <c r="F164" s="1055" t="s">
        <v>904</v>
      </c>
      <c r="G164" s="1055" t="s">
        <v>916</v>
      </c>
      <c r="H164" s="1034"/>
      <c r="I164" s="1034"/>
      <c r="J164" s="1034"/>
      <c r="K164" s="1034"/>
      <c r="L164" s="655" t="str">
        <f t="shared" si="132"/>
        <v>2223</v>
      </c>
      <c r="M164" s="656" t="str">
        <f t="shared" si="0"/>
        <v>TPS A PAYER</v>
      </c>
      <c r="N164" s="657">
        <f>+IF(OR($Q164=Parametres!$G$2,$Q164=Parametres!$G$3),I164,C164)</f>
        <v>-379218</v>
      </c>
      <c r="O164" s="657">
        <f>+IF(OR($Q164=Parametres!$G$2,$Q164=Parametres!$G$3),J164,D164)</f>
        <v>203833.3</v>
      </c>
      <c r="P164" s="657">
        <f>+IF(OR($Q164=Parametres!$G$2,$Q164=Parametres!$G$3),K164,E164)</f>
        <v>-175384.7</v>
      </c>
      <c r="Q164" s="656" t="str">
        <f t="shared" ref="Q164:S164" si="166">+F164</f>
        <v>3-Passifs</v>
      </c>
      <c r="R164" s="655" t="str">
        <f t="shared" si="166"/>
        <v>2223</v>
      </c>
      <c r="S164" s="656">
        <f t="shared" si="166"/>
        <v>0</v>
      </c>
      <c r="T164" s="658" t="str">
        <f>+VLOOKUP($L164,Data_Validation!$A:$D,1,0)</f>
        <v>2223</v>
      </c>
      <c r="U164" s="658" t="str">
        <f>+VLOOKUP($L164,Data_Validation!$A:$D,3,0)</f>
        <v>Bilan</v>
      </c>
      <c r="V164" s="658" t="str">
        <f>+VLOOKUP($L164,Data_Validation!$A:$D,4,0)</f>
        <v>Taxes de Vente à Payer</v>
      </c>
      <c r="W164" s="658" t="str">
        <f>+VLOOKUP($L164,Data_Validation!$A:$E,5,0)</f>
        <v>$</v>
      </c>
      <c r="X164" s="658">
        <f>+VLOOKUP($L164,Data_Validation!$A:$F,6,0)</f>
        <v>0</v>
      </c>
    </row>
    <row r="165" spans="1:24" ht="15" customHeight="1">
      <c r="A165" s="1055" t="s">
        <v>917</v>
      </c>
      <c r="B165" s="1055" t="s">
        <v>1659</v>
      </c>
      <c r="C165" s="1057">
        <v>232868.88</v>
      </c>
      <c r="D165" s="1057">
        <v>-124391.82</v>
      </c>
      <c r="E165" s="1057">
        <v>108477.06</v>
      </c>
      <c r="F165" s="1055" t="s">
        <v>904</v>
      </c>
      <c r="G165" s="1055" t="s">
        <v>916</v>
      </c>
      <c r="H165" s="653"/>
      <c r="I165" s="654"/>
      <c r="J165" s="654"/>
      <c r="K165" s="654"/>
      <c r="L165" s="655" t="str">
        <f t="shared" si="132"/>
        <v>2224</v>
      </c>
      <c r="M165" s="656" t="str">
        <f t="shared" si="0"/>
        <v>TPS A RECEVOIR</v>
      </c>
      <c r="N165" s="657">
        <f>+IF(OR($Q165=Parametres!$G$2,$Q165=Parametres!$G$3),I165,C165)</f>
        <v>232868.88</v>
      </c>
      <c r="O165" s="657">
        <f>+IF(OR($Q165=Parametres!$G$2,$Q165=Parametres!$G$3),J165,D165)</f>
        <v>-124391.82</v>
      </c>
      <c r="P165" s="657">
        <f>+IF(OR($Q165=Parametres!$G$2,$Q165=Parametres!$G$3),K165,E165)</f>
        <v>108477.06</v>
      </c>
      <c r="Q165" s="656" t="str">
        <f t="shared" ref="Q165:S165" si="167">+F165</f>
        <v>3-Passifs</v>
      </c>
      <c r="R165" s="655" t="str">
        <f t="shared" si="167"/>
        <v>2223</v>
      </c>
      <c r="S165" s="656">
        <f t="shared" si="167"/>
        <v>0</v>
      </c>
      <c r="T165" s="658" t="str">
        <f>+VLOOKUP($L165,Data_Validation!$A:$D,1,0)</f>
        <v>2224</v>
      </c>
      <c r="U165" s="658" t="str">
        <f>+VLOOKUP($L165,Data_Validation!$A:$D,3,0)</f>
        <v>Bilan</v>
      </c>
      <c r="V165" s="658" t="str">
        <f>+VLOOKUP($L165,Data_Validation!$A:$D,4,0)</f>
        <v>Taxes de Vente à Payer</v>
      </c>
      <c r="W165" s="658" t="str">
        <f>+VLOOKUP($L165,Data_Validation!$A:$E,5,0)</f>
        <v>$</v>
      </c>
      <c r="X165" s="658">
        <f>+VLOOKUP($L165,Data_Validation!$A:$F,6,0)</f>
        <v>0</v>
      </c>
    </row>
    <row r="166" spans="1:24" ht="15" customHeight="1">
      <c r="A166" s="1055" t="s">
        <v>918</v>
      </c>
      <c r="B166" s="1055" t="s">
        <v>1662</v>
      </c>
      <c r="C166" s="1057">
        <v>-1464</v>
      </c>
      <c r="D166" s="1057">
        <v>435</v>
      </c>
      <c r="E166" s="1057">
        <v>-1029</v>
      </c>
      <c r="F166" s="1055" t="s">
        <v>904</v>
      </c>
      <c r="G166" s="1055" t="s">
        <v>913</v>
      </c>
      <c r="H166" s="1034"/>
      <c r="I166" s="1034"/>
      <c r="J166" s="1034"/>
      <c r="K166" s="1034"/>
      <c r="L166" s="655" t="str">
        <f t="shared" si="132"/>
        <v>2225</v>
      </c>
      <c r="M166" s="656" t="str">
        <f t="shared" si="0"/>
        <v>DROIT SUR PNEUS</v>
      </c>
      <c r="N166" s="657">
        <f>+IF(OR($Q166=Parametres!$G$2,$Q166=Parametres!$G$3),I166,C166)</f>
        <v>-1464</v>
      </c>
      <c r="O166" s="657">
        <f>+IF(OR($Q166=Parametres!$G$2,$Q166=Parametres!$G$3),J166,D166)</f>
        <v>435</v>
      </c>
      <c r="P166" s="657">
        <f>+IF(OR($Q166=Parametres!$G$2,$Q166=Parametres!$G$3),K166,E166)</f>
        <v>-1029</v>
      </c>
      <c r="Q166" s="656" t="str">
        <f t="shared" ref="Q166:S166" si="168">+F166</f>
        <v>3-Passifs</v>
      </c>
      <c r="R166" s="655" t="str">
        <f t="shared" si="168"/>
        <v>2221</v>
      </c>
      <c r="S166" s="656">
        <f t="shared" si="168"/>
        <v>0</v>
      </c>
      <c r="T166" s="658" t="str">
        <f>+VLOOKUP($L166,Data_Validation!$A:$D,1,0)</f>
        <v>2225</v>
      </c>
      <c r="U166" s="658" t="str">
        <f>+VLOOKUP($L166,Data_Validation!$A:$D,3,0)</f>
        <v>Bilan</v>
      </c>
      <c r="V166" s="658" t="str">
        <f>+VLOOKUP($L166,Data_Validation!$A:$D,4,0)</f>
        <v>Taxes de Vente à Payer</v>
      </c>
      <c r="W166" s="658" t="str">
        <f>+VLOOKUP($L166,Data_Validation!$A:$E,5,0)</f>
        <v>$</v>
      </c>
      <c r="X166" s="658">
        <f>+VLOOKUP($L166,Data_Validation!$A:$F,6,0)</f>
        <v>0</v>
      </c>
    </row>
    <row r="167" spans="1:24" ht="15" customHeight="1">
      <c r="A167" s="1055" t="s">
        <v>919</v>
      </c>
      <c r="B167" s="1055" t="s">
        <v>1665</v>
      </c>
      <c r="C167" s="1057">
        <v>-116317.14</v>
      </c>
      <c r="D167" s="1057">
        <v>49076.67</v>
      </c>
      <c r="E167" s="1057">
        <v>-67240.47</v>
      </c>
      <c r="F167" s="1055" t="s">
        <v>904</v>
      </c>
      <c r="G167" s="1055" t="s">
        <v>920</v>
      </c>
      <c r="H167" s="653"/>
      <c r="I167" s="654"/>
      <c r="J167" s="654"/>
      <c r="K167" s="654"/>
      <c r="L167" s="655" t="str">
        <f t="shared" si="132"/>
        <v>2281</v>
      </c>
      <c r="M167" s="656" t="str">
        <f t="shared" si="0"/>
        <v>LIEN A PAYER</v>
      </c>
      <c r="N167" s="657">
        <f>+IF(OR($Q167=Parametres!$G$2,$Q167=Parametres!$G$3),I167,C167)</f>
        <v>-116317.14</v>
      </c>
      <c r="O167" s="657">
        <f>+IF(OR($Q167=Parametres!$G$2,$Q167=Parametres!$G$3),J167,D167)</f>
        <v>49076.67</v>
      </c>
      <c r="P167" s="657">
        <f>+IF(OR($Q167=Parametres!$G$2,$Q167=Parametres!$G$3),K167,E167)</f>
        <v>-67240.47</v>
      </c>
      <c r="Q167" s="656" t="str">
        <f t="shared" ref="Q167:S167" si="169">+F167</f>
        <v>3-Passifs</v>
      </c>
      <c r="R167" s="655" t="str">
        <f t="shared" si="169"/>
        <v>2283</v>
      </c>
      <c r="S167" s="656">
        <f t="shared" si="169"/>
        <v>0</v>
      </c>
      <c r="T167" s="658" t="str">
        <f>+VLOOKUP($L167,Data_Validation!$A:$D,1,0)</f>
        <v>2281</v>
      </c>
      <c r="U167" s="658" t="str">
        <f>+VLOOKUP($L167,Data_Validation!$A:$D,3,0)</f>
        <v>Bilan</v>
      </c>
      <c r="V167" s="658" t="str">
        <f>+VLOOKUP($L167,Data_Validation!$A:$D,4,0)</f>
        <v>Autres Comptes à Payer</v>
      </c>
      <c r="W167" s="658" t="str">
        <f>+VLOOKUP($L167,Data_Validation!$A:$E,5,0)</f>
        <v>$</v>
      </c>
      <c r="X167" s="658">
        <f>+VLOOKUP($L167,Data_Validation!$A:$F,6,0)</f>
        <v>0</v>
      </c>
    </row>
    <row r="168" spans="1:24" ht="15.75" customHeight="1">
      <c r="A168" s="1055" t="s">
        <v>921</v>
      </c>
      <c r="B168" s="1055" t="s">
        <v>920</v>
      </c>
      <c r="C168" s="1057">
        <v>-7750</v>
      </c>
      <c r="D168" s="1057">
        <v>-610</v>
      </c>
      <c r="E168" s="1057">
        <v>-8360</v>
      </c>
      <c r="F168" s="1055" t="s">
        <v>904</v>
      </c>
      <c r="G168" s="1055" t="s">
        <v>920</v>
      </c>
      <c r="H168" s="1034"/>
      <c r="I168" s="1034"/>
      <c r="J168" s="1034"/>
      <c r="K168" s="1034"/>
      <c r="L168" s="655" t="str">
        <f t="shared" si="132"/>
        <v>2283</v>
      </c>
      <c r="M168" s="656" t="str">
        <f t="shared" si="0"/>
        <v>PLAQUE A PAYER</v>
      </c>
      <c r="N168" s="657">
        <f>+IF(OR($Q168=Parametres!$G$2,$Q168=Parametres!$G$3),I168,C168)</f>
        <v>-7750</v>
      </c>
      <c r="O168" s="657">
        <f>+IF(OR($Q168=Parametres!$G$2,$Q168=Parametres!$G$3),J168,D168)</f>
        <v>-610</v>
      </c>
      <c r="P168" s="657">
        <f>+IF(OR($Q168=Parametres!$G$2,$Q168=Parametres!$G$3),K168,E168)</f>
        <v>-8360</v>
      </c>
      <c r="Q168" s="656" t="str">
        <f t="shared" ref="Q168:S168" si="170">+F168</f>
        <v>3-Passifs</v>
      </c>
      <c r="R168" s="655" t="str">
        <f t="shared" si="170"/>
        <v>2283</v>
      </c>
      <c r="S168" s="656">
        <f t="shared" si="170"/>
        <v>0</v>
      </c>
      <c r="T168" s="658" t="str">
        <f>+VLOOKUP($L168,Data_Validation!$A:$D,1,0)</f>
        <v>2283</v>
      </c>
      <c r="U168" s="658" t="str">
        <f>+VLOOKUP($L168,Data_Validation!$A:$D,3,0)</f>
        <v>Bilan</v>
      </c>
      <c r="V168" s="658" t="str">
        <f>+VLOOKUP($L168,Data_Validation!$A:$D,4,0)</f>
        <v>Autres Comptes à Payer</v>
      </c>
      <c r="W168" s="658" t="str">
        <f>+VLOOKUP($L168,Data_Validation!$A:$E,5,0)</f>
        <v>$</v>
      </c>
      <c r="X168" s="658">
        <f>+VLOOKUP($L168,Data_Validation!$A:$F,6,0)</f>
        <v>0</v>
      </c>
    </row>
    <row r="169" spans="1:24" ht="15" customHeight="1">
      <c r="A169" s="1055" t="s">
        <v>922</v>
      </c>
      <c r="B169" s="1055" t="s">
        <v>1670</v>
      </c>
      <c r="C169" s="1057">
        <v>-45115.67</v>
      </c>
      <c r="D169" s="1057">
        <v>-6864.5</v>
      </c>
      <c r="E169" s="1057">
        <v>-51980.17</v>
      </c>
      <c r="F169" s="1055" t="s">
        <v>904</v>
      </c>
      <c r="G169" s="1055" t="s">
        <v>920</v>
      </c>
      <c r="H169" s="653"/>
      <c r="I169" s="654"/>
      <c r="J169" s="654"/>
      <c r="K169" s="654"/>
      <c r="L169" s="655" t="str">
        <f t="shared" si="132"/>
        <v>2285</v>
      </c>
      <c r="M169" s="656" t="str">
        <f t="shared" si="0"/>
        <v>PROTECTIONS A PAYER</v>
      </c>
      <c r="N169" s="657">
        <f>+IF(OR($Q169=Parametres!$G$2,$Q169=Parametres!$G$3),I169,C169)</f>
        <v>-45115.67</v>
      </c>
      <c r="O169" s="657">
        <f>+IF(OR($Q169=Parametres!$G$2,$Q169=Parametres!$G$3),J169,D169)</f>
        <v>-6864.5</v>
      </c>
      <c r="P169" s="657">
        <f>+IF(OR($Q169=Parametres!$G$2,$Q169=Parametres!$G$3),K169,E169)</f>
        <v>-51980.17</v>
      </c>
      <c r="Q169" s="656" t="str">
        <f t="shared" ref="Q169:S169" si="171">+F169</f>
        <v>3-Passifs</v>
      </c>
      <c r="R169" s="655" t="str">
        <f t="shared" si="171"/>
        <v>2283</v>
      </c>
      <c r="S169" s="656">
        <f t="shared" si="171"/>
        <v>0</v>
      </c>
      <c r="T169" s="658" t="str">
        <f>+VLOOKUP($L169,Data_Validation!$A:$D,1,0)</f>
        <v>2285</v>
      </c>
      <c r="U169" s="658" t="str">
        <f>+VLOOKUP($L169,Data_Validation!$A:$D,3,0)</f>
        <v>Bilan</v>
      </c>
      <c r="V169" s="658" t="str">
        <f>+VLOOKUP($L169,Data_Validation!$A:$D,4,0)</f>
        <v>Autres Comptes à Payer</v>
      </c>
      <c r="W169" s="658" t="str">
        <f>+VLOOKUP($L169,Data_Validation!$A:$E,5,0)</f>
        <v>$</v>
      </c>
      <c r="X169" s="658">
        <f>+VLOOKUP($L169,Data_Validation!$A:$F,6,0)</f>
        <v>0</v>
      </c>
    </row>
    <row r="170" spans="1:24" ht="15" customHeight="1">
      <c r="A170" s="1055" t="s">
        <v>923</v>
      </c>
      <c r="B170" s="1055" t="s">
        <v>1673</v>
      </c>
      <c r="C170" s="1057">
        <v>-4058.7</v>
      </c>
      <c r="D170" s="1057">
        <v>-2098.25</v>
      </c>
      <c r="E170" s="1057">
        <v>-6156.95</v>
      </c>
      <c r="F170" s="1055" t="s">
        <v>904</v>
      </c>
      <c r="G170" s="1055" t="s">
        <v>920</v>
      </c>
      <c r="H170" s="1034"/>
      <c r="I170" s="1034"/>
      <c r="J170" s="1034"/>
      <c r="K170" s="1034"/>
      <c r="L170" s="655" t="str">
        <f t="shared" si="132"/>
        <v>2287</v>
      </c>
      <c r="M170" s="656" t="str">
        <f t="shared" si="0"/>
        <v>A PAYER INVAPLAN</v>
      </c>
      <c r="N170" s="657">
        <f>+IF(OR($Q170=Parametres!$G$2,$Q170=Parametres!$G$3),I170,C170)</f>
        <v>-4058.7</v>
      </c>
      <c r="O170" s="657">
        <f>+IF(OR($Q170=Parametres!$G$2,$Q170=Parametres!$G$3),J170,D170)</f>
        <v>-2098.25</v>
      </c>
      <c r="P170" s="657">
        <f>+IF(OR($Q170=Parametres!$G$2,$Q170=Parametres!$G$3),K170,E170)</f>
        <v>-6156.95</v>
      </c>
      <c r="Q170" s="656" t="str">
        <f t="shared" ref="Q170:S170" si="172">+F170</f>
        <v>3-Passifs</v>
      </c>
      <c r="R170" s="655" t="str">
        <f t="shared" si="172"/>
        <v>2283</v>
      </c>
      <c r="S170" s="656">
        <f t="shared" si="172"/>
        <v>0</v>
      </c>
      <c r="T170" s="658" t="str">
        <f>+VLOOKUP($L170,Data_Validation!$A:$D,1,0)</f>
        <v>2287</v>
      </c>
      <c r="U170" s="658" t="str">
        <f>+VLOOKUP($L170,Data_Validation!$A:$D,3,0)</f>
        <v>Bilan</v>
      </c>
      <c r="V170" s="658" t="str">
        <f>+VLOOKUP($L170,Data_Validation!$A:$D,4,0)</f>
        <v>Autres Comptes à Payer</v>
      </c>
      <c r="W170" s="658" t="str">
        <f>+VLOOKUP($L170,Data_Validation!$A:$E,5,0)</f>
        <v>$</v>
      </c>
      <c r="X170" s="658">
        <f>+VLOOKUP($L170,Data_Validation!$A:$F,6,0)</f>
        <v>0</v>
      </c>
    </row>
    <row r="171" spans="1:24" ht="15" customHeight="1">
      <c r="A171" s="1055" t="s">
        <v>924</v>
      </c>
      <c r="B171" s="1055" t="s">
        <v>925</v>
      </c>
      <c r="C171" s="1057">
        <v>-236298.28</v>
      </c>
      <c r="D171" s="1057">
        <v>230775.03</v>
      </c>
      <c r="E171" s="1057">
        <v>-5523.25</v>
      </c>
      <c r="F171" s="1055" t="s">
        <v>904</v>
      </c>
      <c r="G171" s="1055" t="s">
        <v>925</v>
      </c>
      <c r="H171" s="653"/>
      <c r="I171" s="654"/>
      <c r="J171" s="654"/>
      <c r="K171" s="654"/>
      <c r="L171" s="655" t="str">
        <f t="shared" si="132"/>
        <v>2291</v>
      </c>
      <c r="M171" s="656" t="str">
        <f t="shared" si="0"/>
        <v>COMPTES FOURNISSEURS</v>
      </c>
      <c r="N171" s="657">
        <f>+IF(OR($Q171=Parametres!$G$2,$Q171=Parametres!$G$3),I171,C171)</f>
        <v>-236298.28</v>
      </c>
      <c r="O171" s="657">
        <f>+IF(OR($Q171=Parametres!$G$2,$Q171=Parametres!$G$3),J171,D171)</f>
        <v>230775.03</v>
      </c>
      <c r="P171" s="657">
        <f>+IF(OR($Q171=Parametres!$G$2,$Q171=Parametres!$G$3),K171,E171)</f>
        <v>-5523.25</v>
      </c>
      <c r="Q171" s="656" t="str">
        <f t="shared" ref="Q171:S171" si="173">+F171</f>
        <v>3-Passifs</v>
      </c>
      <c r="R171" s="655" t="str">
        <f t="shared" si="173"/>
        <v>2291</v>
      </c>
      <c r="S171" s="656">
        <f t="shared" si="173"/>
        <v>0</v>
      </c>
      <c r="T171" s="658" t="str">
        <f>+VLOOKUP($L171,Data_Validation!$A:$D,1,0)</f>
        <v>2291</v>
      </c>
      <c r="U171" s="658" t="str">
        <f>+VLOOKUP($L171,Data_Validation!$A:$D,3,0)</f>
        <v>Bilan</v>
      </c>
      <c r="V171" s="658" t="str">
        <f>+VLOOKUP($L171,Data_Validation!$A:$D,4,0)</f>
        <v>Comptes à Payer Fournisseurs</v>
      </c>
      <c r="W171" s="658" t="str">
        <f>+VLOOKUP($L171,Data_Validation!$A:$E,5,0)</f>
        <v>$</v>
      </c>
      <c r="X171" s="658">
        <f>+VLOOKUP($L171,Data_Validation!$A:$F,6,0)</f>
        <v>0</v>
      </c>
    </row>
    <row r="172" spans="1:24" ht="15.75" customHeight="1">
      <c r="A172" s="1055" t="s">
        <v>926</v>
      </c>
      <c r="B172" s="1055" t="s">
        <v>1681</v>
      </c>
      <c r="C172" s="1057">
        <v>0</v>
      </c>
      <c r="D172" s="1057">
        <v>-28500</v>
      </c>
      <c r="E172" s="1057">
        <v>-28500</v>
      </c>
      <c r="F172" s="1055" t="s">
        <v>904</v>
      </c>
      <c r="G172" s="1055" t="s">
        <v>925</v>
      </c>
      <c r="H172" s="1034"/>
      <c r="I172" s="1034"/>
      <c r="J172" s="1034"/>
      <c r="K172" s="1034"/>
      <c r="L172" s="655" t="str">
        <f t="shared" si="132"/>
        <v>2292</v>
      </c>
      <c r="M172" s="656" t="str">
        <f t="shared" si="0"/>
        <v>ECHANGE ENTRE CONCESSIONNAIRES</v>
      </c>
      <c r="N172" s="657">
        <f>+IF(OR($Q172=Parametres!$G$2,$Q172=Parametres!$G$3),I172,C172)</f>
        <v>0</v>
      </c>
      <c r="O172" s="657">
        <f>+IF(OR($Q172=Parametres!$G$2,$Q172=Parametres!$G$3),J172,D172)</f>
        <v>-28500</v>
      </c>
      <c r="P172" s="657">
        <f>+IF(OR($Q172=Parametres!$G$2,$Q172=Parametres!$G$3),K172,E172)</f>
        <v>-28500</v>
      </c>
      <c r="Q172" s="656" t="str">
        <f t="shared" ref="Q172:S172" si="174">+F172</f>
        <v>3-Passifs</v>
      </c>
      <c r="R172" s="655" t="str">
        <f t="shared" si="174"/>
        <v>2291</v>
      </c>
      <c r="S172" s="656">
        <f t="shared" si="174"/>
        <v>0</v>
      </c>
      <c r="T172" s="658" t="str">
        <f>+VLOOKUP($L172,Data_Validation!$A:$D,1,0)</f>
        <v>2292</v>
      </c>
      <c r="U172" s="658" t="str">
        <f>+VLOOKUP($L172,Data_Validation!$A:$D,3,0)</f>
        <v>Bilan</v>
      </c>
      <c r="V172" s="658" t="str">
        <f>+VLOOKUP($L172,Data_Validation!$A:$D,4,0)</f>
        <v>Autres Comptes à Payer</v>
      </c>
      <c r="W172" s="658" t="str">
        <f>+VLOOKUP($L172,Data_Validation!$A:$E,5,0)</f>
        <v>$</v>
      </c>
      <c r="X172" s="658">
        <f>+VLOOKUP($L172,Data_Validation!$A:$F,6,0)</f>
        <v>0</v>
      </c>
    </row>
    <row r="173" spans="1:24" ht="15" customHeight="1">
      <c r="A173" s="1055" t="s">
        <v>927</v>
      </c>
      <c r="B173" s="1055" t="s">
        <v>930</v>
      </c>
      <c r="C173" s="1057">
        <v>-17639.5</v>
      </c>
      <c r="D173" s="1057">
        <v>1793.38</v>
      </c>
      <c r="E173" s="1057">
        <v>-15846.12</v>
      </c>
      <c r="F173" s="1055" t="s">
        <v>904</v>
      </c>
      <c r="G173" s="1055" t="s">
        <v>920</v>
      </c>
      <c r="H173" s="653"/>
      <c r="I173" s="654"/>
      <c r="J173" s="654"/>
      <c r="K173" s="654"/>
      <c r="L173" s="655" t="str">
        <f t="shared" si="132"/>
        <v>2293</v>
      </c>
      <c r="M173" s="656" t="str">
        <f t="shared" si="0"/>
        <v>PROVISIONS GARANTIES USAGEES</v>
      </c>
      <c r="N173" s="657">
        <f>+IF(OR($Q173=Parametres!$G$2,$Q173=Parametres!$G$3),I173,C173)</f>
        <v>-17639.5</v>
      </c>
      <c r="O173" s="657">
        <f>+IF(OR($Q173=Parametres!$G$2,$Q173=Parametres!$G$3),J173,D173)</f>
        <v>1793.38</v>
      </c>
      <c r="P173" s="657">
        <f>+IF(OR($Q173=Parametres!$G$2,$Q173=Parametres!$G$3),K173,E173)</f>
        <v>-15846.12</v>
      </c>
      <c r="Q173" s="656" t="str">
        <f t="shared" ref="Q173:S173" si="175">+F173</f>
        <v>3-Passifs</v>
      </c>
      <c r="R173" s="655" t="str">
        <f t="shared" si="175"/>
        <v>2283</v>
      </c>
      <c r="S173" s="656">
        <f t="shared" si="175"/>
        <v>0</v>
      </c>
      <c r="T173" s="658" t="str">
        <f>+VLOOKUP($L173,Data_Validation!$A:$D,1,0)</f>
        <v>2293</v>
      </c>
      <c r="U173" s="658" t="str">
        <f>+VLOOKUP($L173,Data_Validation!$A:$D,3,0)</f>
        <v>Bilan</v>
      </c>
      <c r="V173" s="658" t="str">
        <f>+VLOOKUP($L173,Data_Validation!$A:$D,4,0)</f>
        <v>Autres Courus</v>
      </c>
      <c r="W173" s="658" t="str">
        <f>+VLOOKUP($L173,Data_Validation!$A:$E,5,0)</f>
        <v>$</v>
      </c>
      <c r="X173" s="658">
        <f>+VLOOKUP($L173,Data_Validation!$A:$F,6,0)</f>
        <v>0</v>
      </c>
    </row>
    <row r="174" spans="1:24" ht="15" customHeight="1">
      <c r="A174" s="1055" t="s">
        <v>928</v>
      </c>
      <c r="B174" s="1055" t="s">
        <v>3380</v>
      </c>
      <c r="C174" s="1057">
        <v>-4911.46</v>
      </c>
      <c r="D174" s="1057">
        <v>112.57</v>
      </c>
      <c r="E174" s="1057">
        <v>-4798.8900000000003</v>
      </c>
      <c r="F174" s="1055" t="s">
        <v>904</v>
      </c>
      <c r="G174" s="1055" t="s">
        <v>920</v>
      </c>
      <c r="H174" s="1034"/>
      <c r="I174" s="1034"/>
      <c r="J174" s="1034"/>
      <c r="K174" s="1034"/>
      <c r="L174" s="655" t="str">
        <f t="shared" si="132"/>
        <v>2294</v>
      </c>
      <c r="M174" s="656" t="str">
        <f t="shared" si="0"/>
        <v>Volks RESERVE PROMO SAISONNIERE</v>
      </c>
      <c r="N174" s="657">
        <f>+IF(OR($Q174=Parametres!$G$2,$Q174=Parametres!$G$3),I174,C174)</f>
        <v>-4911.46</v>
      </c>
      <c r="O174" s="657">
        <f>+IF(OR($Q174=Parametres!$G$2,$Q174=Parametres!$G$3),J174,D174)</f>
        <v>112.57</v>
      </c>
      <c r="P174" s="657">
        <f>+IF(OR($Q174=Parametres!$G$2,$Q174=Parametres!$G$3),K174,E174)</f>
        <v>-4798.8900000000003</v>
      </c>
      <c r="Q174" s="656" t="str">
        <f t="shared" ref="Q174:S174" si="176">+F174</f>
        <v>3-Passifs</v>
      </c>
      <c r="R174" s="655" t="str">
        <f t="shared" si="176"/>
        <v>2283</v>
      </c>
      <c r="S174" s="656">
        <f t="shared" si="176"/>
        <v>0</v>
      </c>
      <c r="T174" s="658" t="str">
        <f>+VLOOKUP($L174,Data_Validation!$A:$D,1,0)</f>
        <v>2294</v>
      </c>
      <c r="U174" s="658" t="str">
        <f>+VLOOKUP($L174,Data_Validation!$A:$D,3,0)</f>
        <v>Bilan</v>
      </c>
      <c r="V174" s="658" t="str">
        <f>+VLOOKUP($L174,Data_Validation!$A:$D,4,0)</f>
        <v>Autres Courus</v>
      </c>
      <c r="W174" s="658" t="str">
        <f>+VLOOKUP($L174,Data_Validation!$A:$E,5,0)</f>
        <v>$</v>
      </c>
      <c r="X174" s="658">
        <f>+VLOOKUP($L174,Data_Validation!$A:$F,6,0)</f>
        <v>0</v>
      </c>
    </row>
    <row r="175" spans="1:24" ht="15" customHeight="1">
      <c r="A175" s="1055" t="s">
        <v>929</v>
      </c>
      <c r="B175" s="1055" t="s">
        <v>1686</v>
      </c>
      <c r="C175" s="1057">
        <v>-536.32000000000005</v>
      </c>
      <c r="D175" s="1057">
        <v>-163.53</v>
      </c>
      <c r="E175" s="1057">
        <v>-699.85</v>
      </c>
      <c r="F175" s="1055" t="s">
        <v>904</v>
      </c>
      <c r="G175" s="1055" t="s">
        <v>930</v>
      </c>
      <c r="H175" s="653"/>
      <c r="I175" s="654"/>
      <c r="J175" s="654"/>
      <c r="K175" s="654"/>
      <c r="L175" s="655" t="str">
        <f t="shared" si="132"/>
        <v>2295</v>
      </c>
      <c r="M175" s="656" t="str">
        <f t="shared" si="0"/>
        <v>RESERVE ESSENCE</v>
      </c>
      <c r="N175" s="657">
        <f>+IF(OR($Q175=Parametres!$G$2,$Q175=Parametres!$G$3),I175,C175)</f>
        <v>-536.32000000000005</v>
      </c>
      <c r="O175" s="657">
        <f>+IF(OR($Q175=Parametres!$G$2,$Q175=Parametres!$G$3),J175,D175)</f>
        <v>-163.53</v>
      </c>
      <c r="P175" s="657">
        <f>+IF(OR($Q175=Parametres!$G$2,$Q175=Parametres!$G$3),K175,E175)</f>
        <v>-699.85</v>
      </c>
      <c r="Q175" s="656" t="str">
        <f t="shared" ref="Q175:S175" si="177">+F175</f>
        <v>3-Passifs</v>
      </c>
      <c r="R175" s="655" t="str">
        <f t="shared" si="177"/>
        <v>2293</v>
      </c>
      <c r="S175" s="656">
        <f t="shared" si="177"/>
        <v>0</v>
      </c>
      <c r="T175" s="658" t="str">
        <f>+VLOOKUP($L175,Data_Validation!$A:$D,1,0)</f>
        <v>2295</v>
      </c>
      <c r="U175" s="658" t="str">
        <f>+VLOOKUP($L175,Data_Validation!$A:$D,3,0)</f>
        <v>Bilan</v>
      </c>
      <c r="V175" s="658" t="str">
        <f>+VLOOKUP($L175,Data_Validation!$A:$D,4,0)</f>
        <v>Autres Courus</v>
      </c>
      <c r="W175" s="658" t="str">
        <f>+VLOOKUP($L175,Data_Validation!$A:$E,5,0)</f>
        <v>$</v>
      </c>
      <c r="X175" s="658">
        <f>+VLOOKUP($L175,Data_Validation!$A:$F,6,0)</f>
        <v>0</v>
      </c>
    </row>
    <row r="176" spans="1:24" ht="15.75" customHeight="1">
      <c r="A176" s="1055" t="s">
        <v>931</v>
      </c>
      <c r="B176" s="1055" t="s">
        <v>3381</v>
      </c>
      <c r="C176" s="1057">
        <v>-102214.71</v>
      </c>
      <c r="D176" s="1057">
        <v>9405.65</v>
      </c>
      <c r="E176" s="1057">
        <v>-92809.06</v>
      </c>
      <c r="F176" s="1055" t="s">
        <v>904</v>
      </c>
      <c r="G176" s="1055" t="s">
        <v>925</v>
      </c>
      <c r="H176" s="1034"/>
      <c r="I176" s="1034"/>
      <c r="J176" s="1034"/>
      <c r="K176" s="1034"/>
      <c r="L176" s="655" t="str">
        <f t="shared" si="132"/>
        <v>2296</v>
      </c>
      <c r="M176" s="656" t="str">
        <f t="shared" si="0"/>
        <v>COMPTE FOURNISSEURS INTERCO</v>
      </c>
      <c r="N176" s="657">
        <f>+IF(OR($Q176=Parametres!$G$2,$Q176=Parametres!$G$3),I176,C176)</f>
        <v>-102214.71</v>
      </c>
      <c r="O176" s="657">
        <f>+IF(OR($Q176=Parametres!$G$2,$Q176=Parametres!$G$3),J176,D176)</f>
        <v>9405.65</v>
      </c>
      <c r="P176" s="657">
        <f>+IF(OR($Q176=Parametres!$G$2,$Q176=Parametres!$G$3),K176,E176)</f>
        <v>-92809.06</v>
      </c>
      <c r="Q176" s="656" t="str">
        <f t="shared" ref="Q176:S176" si="178">+F176</f>
        <v>3-Passifs</v>
      </c>
      <c r="R176" s="655" t="str">
        <f t="shared" si="178"/>
        <v>2291</v>
      </c>
      <c r="S176" s="656">
        <f t="shared" si="178"/>
        <v>0</v>
      </c>
      <c r="T176" s="658" t="str">
        <f>+VLOOKUP($L176,Data_Validation!$A:$D,1,0)</f>
        <v>2296</v>
      </c>
      <c r="U176" s="658" t="str">
        <f>+VLOOKUP($L176,Data_Validation!$A:$D,3,0)</f>
        <v>Bilan</v>
      </c>
      <c r="V176" s="658" t="str">
        <f>+VLOOKUP($L176,Data_Validation!$A:$D,4,0)</f>
        <v>Payables Intercos</v>
      </c>
      <c r="W176" s="658" t="str">
        <f>+VLOOKUP($L176,Data_Validation!$A:$E,5,0)</f>
        <v>$</v>
      </c>
      <c r="X176" s="658">
        <f>+VLOOKUP($L176,Data_Validation!$A:$F,6,0)</f>
        <v>0</v>
      </c>
    </row>
    <row r="177" spans="1:24" ht="15" customHeight="1">
      <c r="A177" s="1055" t="s">
        <v>932</v>
      </c>
      <c r="B177" s="1055" t="s">
        <v>1689</v>
      </c>
      <c r="C177" s="1057">
        <v>-29950</v>
      </c>
      <c r="D177" s="1057">
        <v>-1250</v>
      </c>
      <c r="E177" s="1057">
        <v>-31200</v>
      </c>
      <c r="F177" s="1055" t="s">
        <v>904</v>
      </c>
      <c r="G177" s="1055" t="s">
        <v>920</v>
      </c>
      <c r="H177" s="653"/>
      <c r="I177" s="654"/>
      <c r="J177" s="654"/>
      <c r="K177" s="654"/>
      <c r="L177" s="655" t="str">
        <f t="shared" si="132"/>
        <v>2297</v>
      </c>
      <c r="M177" s="656" t="str">
        <f t="shared" si="0"/>
        <v>RESERVE RENOUVELLEMENT</v>
      </c>
      <c r="N177" s="657">
        <f>+IF(OR($Q177=Parametres!$G$2,$Q177=Parametres!$G$3),I177,C177)</f>
        <v>-29950</v>
      </c>
      <c r="O177" s="657">
        <f>+IF(OR($Q177=Parametres!$G$2,$Q177=Parametres!$G$3),J177,D177)</f>
        <v>-1250</v>
      </c>
      <c r="P177" s="657">
        <f>+IF(OR($Q177=Parametres!$G$2,$Q177=Parametres!$G$3),K177,E177)</f>
        <v>-31200</v>
      </c>
      <c r="Q177" s="656" t="str">
        <f t="shared" ref="Q177:S177" si="179">+F177</f>
        <v>3-Passifs</v>
      </c>
      <c r="R177" s="655" t="str">
        <f t="shared" si="179"/>
        <v>2283</v>
      </c>
      <c r="S177" s="656">
        <f t="shared" si="179"/>
        <v>0</v>
      </c>
      <c r="T177" s="658" t="str">
        <f>+VLOOKUP($L177,Data_Validation!$A:$D,1,0)</f>
        <v>2297</v>
      </c>
      <c r="U177" s="658" t="str">
        <f>+VLOOKUP($L177,Data_Validation!$A:$D,3,0)</f>
        <v>Bilan</v>
      </c>
      <c r="V177" s="658" t="str">
        <f>+VLOOKUP($L177,Data_Validation!$A:$D,4,0)</f>
        <v>Autres Courus</v>
      </c>
      <c r="W177" s="658" t="str">
        <f>+VLOOKUP($L177,Data_Validation!$A:$E,5,0)</f>
        <v>$</v>
      </c>
      <c r="X177" s="658">
        <f>+VLOOKUP($L177,Data_Validation!$A:$F,6,0)</f>
        <v>0</v>
      </c>
    </row>
    <row r="178" spans="1:24" ht="15" customHeight="1">
      <c r="A178" s="1055" t="s">
        <v>933</v>
      </c>
      <c r="B178" s="1055" t="s">
        <v>934</v>
      </c>
      <c r="C178" s="1057">
        <v>11626.69</v>
      </c>
      <c r="D178" s="1057">
        <v>-796.17</v>
      </c>
      <c r="E178" s="1057">
        <v>10830.52</v>
      </c>
      <c r="F178" s="1055" t="s">
        <v>904</v>
      </c>
      <c r="G178" s="1055" t="s">
        <v>934</v>
      </c>
      <c r="H178" s="1034"/>
      <c r="I178" s="1034"/>
      <c r="J178" s="1034"/>
      <c r="K178" s="1034"/>
      <c r="L178" s="655" t="str">
        <f t="shared" si="132"/>
        <v>2315</v>
      </c>
      <c r="M178" s="656" t="str">
        <f t="shared" si="0"/>
        <v>PRIME ASSURANCE GROUPE</v>
      </c>
      <c r="N178" s="657">
        <f>+IF(OR($Q178=Parametres!$G$2,$Q178=Parametres!$G$3),I178,C178)</f>
        <v>11626.69</v>
      </c>
      <c r="O178" s="657">
        <f>+IF(OR($Q178=Parametres!$G$2,$Q178=Parametres!$G$3),J178,D178)</f>
        <v>-796.17</v>
      </c>
      <c r="P178" s="657">
        <f>+IF(OR($Q178=Parametres!$G$2,$Q178=Parametres!$G$3),K178,E178)</f>
        <v>10830.52</v>
      </c>
      <c r="Q178" s="656" t="str">
        <f t="shared" ref="Q178:S178" si="180">+F178</f>
        <v>3-Passifs</v>
      </c>
      <c r="R178" s="655" t="str">
        <f t="shared" si="180"/>
        <v>2315</v>
      </c>
      <c r="S178" s="656">
        <f t="shared" si="180"/>
        <v>0</v>
      </c>
      <c r="T178" s="658" t="str">
        <f>+VLOOKUP($L178,Data_Validation!$A:$D,1,0)</f>
        <v>2315</v>
      </c>
      <c r="U178" s="658" t="str">
        <f>+VLOOKUP($L178,Data_Validation!$A:$D,3,0)</f>
        <v>Bilan</v>
      </c>
      <c r="V178" s="658" t="str">
        <f>+VLOOKUP($L178,Data_Validation!$A:$D,4,0)</f>
        <v>DAS à Payer</v>
      </c>
      <c r="W178" s="658" t="str">
        <f>+VLOOKUP($L178,Data_Validation!$A:$E,5,0)</f>
        <v>$</v>
      </c>
      <c r="X178" s="658">
        <f>+VLOOKUP($L178,Data_Validation!$A:$F,6,0)</f>
        <v>0</v>
      </c>
    </row>
    <row r="179" spans="1:24" ht="15" customHeight="1">
      <c r="A179" s="1055" t="s">
        <v>935</v>
      </c>
      <c r="B179" s="1055" t="s">
        <v>1697</v>
      </c>
      <c r="C179" s="1057">
        <v>52.35</v>
      </c>
      <c r="D179" s="1057">
        <v>0</v>
      </c>
      <c r="E179" s="1057">
        <v>52.35</v>
      </c>
      <c r="F179" s="1055" t="s">
        <v>904</v>
      </c>
      <c r="G179" s="1055" t="s">
        <v>934</v>
      </c>
      <c r="H179" s="653"/>
      <c r="I179" s="654"/>
      <c r="J179" s="654"/>
      <c r="K179" s="654"/>
      <c r="L179" s="655" t="str">
        <f t="shared" si="132"/>
        <v>2335</v>
      </c>
      <c r="M179" s="656" t="str">
        <f t="shared" si="0"/>
        <v>COMITE SOCIAL</v>
      </c>
      <c r="N179" s="657">
        <f>+IF(OR($Q179=Parametres!$G$2,$Q179=Parametres!$G$3),I179,C179)</f>
        <v>52.35</v>
      </c>
      <c r="O179" s="657">
        <f>+IF(OR($Q179=Parametres!$G$2,$Q179=Parametres!$G$3),J179,D179)</f>
        <v>0</v>
      </c>
      <c r="P179" s="657">
        <f>+IF(OR($Q179=Parametres!$G$2,$Q179=Parametres!$G$3),K179,E179)</f>
        <v>52.35</v>
      </c>
      <c r="Q179" s="656" t="str">
        <f t="shared" ref="Q179:S179" si="181">+F179</f>
        <v>3-Passifs</v>
      </c>
      <c r="R179" s="655" t="str">
        <f t="shared" si="181"/>
        <v>2315</v>
      </c>
      <c r="S179" s="656">
        <f t="shared" si="181"/>
        <v>0</v>
      </c>
      <c r="T179" s="658" t="str">
        <f>+VLOOKUP($L179,Data_Validation!$A:$D,1,0)</f>
        <v>2335</v>
      </c>
      <c r="U179" s="658" t="str">
        <f>+VLOOKUP($L179,Data_Validation!$A:$D,3,0)</f>
        <v>Bilan</v>
      </c>
      <c r="V179" s="658" t="str">
        <f>+VLOOKUP($L179,Data_Validation!$A:$D,4,0)</f>
        <v>DAS à Payer</v>
      </c>
      <c r="W179" s="658" t="str">
        <f>+VLOOKUP($L179,Data_Validation!$A:$E,5,0)</f>
        <v>$</v>
      </c>
      <c r="X179" s="658">
        <f>+VLOOKUP($L179,Data_Validation!$A:$F,6,0)</f>
        <v>0</v>
      </c>
    </row>
    <row r="180" spans="1:24" ht="15" customHeight="1">
      <c r="A180" s="1055" t="s">
        <v>936</v>
      </c>
      <c r="B180" s="1055" t="s">
        <v>1703</v>
      </c>
      <c r="C180" s="1057">
        <v>-25186.91</v>
      </c>
      <c r="D180" s="1057">
        <v>-8075.32</v>
      </c>
      <c r="E180" s="1057">
        <v>-33262.230000000003</v>
      </c>
      <c r="F180" s="1055" t="s">
        <v>904</v>
      </c>
      <c r="G180" s="1055" t="s">
        <v>934</v>
      </c>
      <c r="H180" s="1034"/>
      <c r="I180" s="1034"/>
      <c r="J180" s="1034"/>
      <c r="K180" s="1034"/>
      <c r="L180" s="655" t="str">
        <f t="shared" si="132"/>
        <v>2342</v>
      </c>
      <c r="M180" s="656" t="str">
        <f t="shared" si="0"/>
        <v>REER STANDARD LIFE</v>
      </c>
      <c r="N180" s="657">
        <f>+IF(OR($Q180=Parametres!$G$2,$Q180=Parametres!$G$3),I180,C180)</f>
        <v>-25186.91</v>
      </c>
      <c r="O180" s="657">
        <f>+IF(OR($Q180=Parametres!$G$2,$Q180=Parametres!$G$3),J180,D180)</f>
        <v>-8075.32</v>
      </c>
      <c r="P180" s="657">
        <f>+IF(OR($Q180=Parametres!$G$2,$Q180=Parametres!$G$3),K180,E180)</f>
        <v>-33262.230000000003</v>
      </c>
      <c r="Q180" s="656" t="str">
        <f t="shared" ref="Q180:S180" si="182">+F180</f>
        <v>3-Passifs</v>
      </c>
      <c r="R180" s="655" t="str">
        <f t="shared" si="182"/>
        <v>2315</v>
      </c>
      <c r="S180" s="656">
        <f t="shared" si="182"/>
        <v>0</v>
      </c>
      <c r="T180" s="658" t="str">
        <f>+VLOOKUP($L180,Data_Validation!$A:$D,1,0)</f>
        <v>2342</v>
      </c>
      <c r="U180" s="658" t="str">
        <f>+VLOOKUP($L180,Data_Validation!$A:$D,3,0)</f>
        <v>Bilan</v>
      </c>
      <c r="V180" s="658" t="str">
        <f>+VLOOKUP($L180,Data_Validation!$A:$D,4,0)</f>
        <v>DAS à Payer</v>
      </c>
      <c r="W180" s="658" t="str">
        <f>+VLOOKUP($L180,Data_Validation!$A:$E,5,0)</f>
        <v>$</v>
      </c>
      <c r="X180" s="658">
        <f>+VLOOKUP($L180,Data_Validation!$A:$F,6,0)</f>
        <v>0</v>
      </c>
    </row>
    <row r="181" spans="1:24" ht="15.75" customHeight="1">
      <c r="A181" s="1055" t="s">
        <v>937</v>
      </c>
      <c r="B181" s="1055" t="s">
        <v>1706</v>
      </c>
      <c r="C181" s="1057">
        <v>-609.5</v>
      </c>
      <c r="D181" s="1057">
        <v>-86.82</v>
      </c>
      <c r="E181" s="1057">
        <v>-696.32</v>
      </c>
      <c r="F181" s="1055" t="s">
        <v>904</v>
      </c>
      <c r="G181" s="1055" t="s">
        <v>934</v>
      </c>
      <c r="H181" s="653"/>
      <c r="I181" s="654"/>
      <c r="J181" s="654"/>
      <c r="K181" s="654"/>
      <c r="L181" s="655" t="str">
        <f t="shared" si="132"/>
        <v>2343</v>
      </c>
      <c r="M181" s="656" t="str">
        <f t="shared" si="0"/>
        <v>COMITE PARITAIRE</v>
      </c>
      <c r="N181" s="657">
        <f>+IF(OR($Q181=Parametres!$G$2,$Q181=Parametres!$G$3),I181,C181)</f>
        <v>-609.5</v>
      </c>
      <c r="O181" s="657">
        <f>+IF(OR($Q181=Parametres!$G$2,$Q181=Parametres!$G$3),J181,D181)</f>
        <v>-86.82</v>
      </c>
      <c r="P181" s="657">
        <f>+IF(OR($Q181=Parametres!$G$2,$Q181=Parametres!$G$3),K181,E181)</f>
        <v>-696.32</v>
      </c>
      <c r="Q181" s="656" t="str">
        <f t="shared" ref="Q181:S181" si="183">+F181</f>
        <v>3-Passifs</v>
      </c>
      <c r="R181" s="655" t="str">
        <f t="shared" si="183"/>
        <v>2315</v>
      </c>
      <c r="S181" s="656">
        <f t="shared" si="183"/>
        <v>0</v>
      </c>
      <c r="T181" s="658" t="str">
        <f>+VLOOKUP($L181,Data_Validation!$A:$D,1,0)</f>
        <v>2343</v>
      </c>
      <c r="U181" s="658" t="str">
        <f>+VLOOKUP($L181,Data_Validation!$A:$D,3,0)</f>
        <v>Bilan</v>
      </c>
      <c r="V181" s="658" t="str">
        <f>+VLOOKUP($L181,Data_Validation!$A:$D,4,0)</f>
        <v>DAS à Payer</v>
      </c>
      <c r="W181" s="658" t="str">
        <f>+VLOOKUP($L181,Data_Validation!$A:$E,5,0)</f>
        <v>$</v>
      </c>
      <c r="X181" s="658">
        <f>+VLOOKUP($L181,Data_Validation!$A:$F,6,0)</f>
        <v>0</v>
      </c>
    </row>
    <row r="182" spans="1:24" ht="15.75" customHeight="1">
      <c r="A182" s="1055" t="s">
        <v>938</v>
      </c>
      <c r="B182" s="1055" t="s">
        <v>1709</v>
      </c>
      <c r="C182" s="1057">
        <v>-1111.3800000000001</v>
      </c>
      <c r="D182" s="1057">
        <v>-739.44</v>
      </c>
      <c r="E182" s="1057">
        <v>-1850.82</v>
      </c>
      <c r="F182" s="1055" t="s">
        <v>904</v>
      </c>
      <c r="G182" s="1055" t="s">
        <v>934</v>
      </c>
      <c r="H182" s="1034"/>
      <c r="I182" s="1034"/>
      <c r="J182" s="1034"/>
      <c r="K182" s="1034"/>
      <c r="L182" s="655" t="str">
        <f t="shared" si="132"/>
        <v>2344</v>
      </c>
      <c r="M182" s="656" t="str">
        <f t="shared" si="0"/>
        <v>CENTRAIDE</v>
      </c>
      <c r="N182" s="657">
        <f>+IF(OR($Q182=Parametres!$G$2,$Q182=Parametres!$G$3),I182,C182)</f>
        <v>-1111.3800000000001</v>
      </c>
      <c r="O182" s="657">
        <f>+IF(OR($Q182=Parametres!$G$2,$Q182=Parametres!$G$3),J182,D182)</f>
        <v>-739.44</v>
      </c>
      <c r="P182" s="657">
        <f>+IF(OR($Q182=Parametres!$G$2,$Q182=Parametres!$G$3),K182,E182)</f>
        <v>-1850.82</v>
      </c>
      <c r="Q182" s="656" t="str">
        <f t="shared" ref="Q182:S182" si="184">+F182</f>
        <v>3-Passifs</v>
      </c>
      <c r="R182" s="655" t="str">
        <f t="shared" si="184"/>
        <v>2315</v>
      </c>
      <c r="S182" s="656">
        <f t="shared" si="184"/>
        <v>0</v>
      </c>
      <c r="T182" s="658" t="str">
        <f>+VLOOKUP($L182,Data_Validation!$A:$D,1,0)</f>
        <v>2344</v>
      </c>
      <c r="U182" s="658" t="str">
        <f>+VLOOKUP($L182,Data_Validation!$A:$D,3,0)</f>
        <v>Bilan</v>
      </c>
      <c r="V182" s="658" t="str">
        <f>+VLOOKUP($L182,Data_Validation!$A:$D,4,0)</f>
        <v>DAS à Payer</v>
      </c>
      <c r="W182" s="658" t="str">
        <f>+VLOOKUP($L182,Data_Validation!$A:$E,5,0)</f>
        <v>$</v>
      </c>
      <c r="X182" s="658">
        <f>+VLOOKUP($L182,Data_Validation!$A:$F,6,0)</f>
        <v>0</v>
      </c>
    </row>
    <row r="183" spans="1:24" ht="15.75" customHeight="1">
      <c r="A183" s="1055" t="s">
        <v>939</v>
      </c>
      <c r="B183" s="1055" t="s">
        <v>940</v>
      </c>
      <c r="C183" s="1057">
        <v>-17020</v>
      </c>
      <c r="D183" s="1057">
        <v>-11230</v>
      </c>
      <c r="E183" s="1057">
        <v>-28250</v>
      </c>
      <c r="F183" s="1055" t="s">
        <v>904</v>
      </c>
      <c r="G183" s="1055" t="s">
        <v>940</v>
      </c>
      <c r="H183" s="653"/>
      <c r="I183" s="654"/>
      <c r="J183" s="654"/>
      <c r="K183" s="654"/>
      <c r="L183" s="655" t="str">
        <f t="shared" si="132"/>
        <v>2401</v>
      </c>
      <c r="M183" s="656" t="str">
        <f t="shared" si="0"/>
        <v>DEPOTS FIDUCIE-VENTE CLIENTS</v>
      </c>
      <c r="N183" s="657">
        <f>+IF(OR($Q183=Parametres!$G$2,$Q183=Parametres!$G$3),I183,C183)</f>
        <v>-17020</v>
      </c>
      <c r="O183" s="657">
        <f>+IF(OR($Q183=Parametres!$G$2,$Q183=Parametres!$G$3),J183,D183)</f>
        <v>-11230</v>
      </c>
      <c r="P183" s="657">
        <f>+IF(OR($Q183=Parametres!$G$2,$Q183=Parametres!$G$3),K183,E183)</f>
        <v>-28250</v>
      </c>
      <c r="Q183" s="656" t="str">
        <f t="shared" ref="Q183:S183" si="185">+F183</f>
        <v>3-Passifs</v>
      </c>
      <c r="R183" s="655" t="str">
        <f t="shared" si="185"/>
        <v>2401</v>
      </c>
      <c r="S183" s="656">
        <f t="shared" si="185"/>
        <v>0</v>
      </c>
      <c r="T183" s="658" t="str">
        <f>+VLOOKUP($L183,Data_Validation!$A:$D,1,0)</f>
        <v>2401</v>
      </c>
      <c r="U183" s="658" t="str">
        <f>+VLOOKUP($L183,Data_Validation!$A:$D,3,0)</f>
        <v>Bilan</v>
      </c>
      <c r="V183" s="658" t="str">
        <f>+VLOOKUP($L183,Data_Validation!$A:$D,4,0)</f>
        <v>Dépôts de Client</v>
      </c>
      <c r="W183" s="658" t="str">
        <f>+VLOOKUP($L183,Data_Validation!$A:$E,5,0)</f>
        <v>$</v>
      </c>
      <c r="X183" s="658">
        <f>+VLOOKUP($L183,Data_Validation!$A:$F,6,0)</f>
        <v>0</v>
      </c>
    </row>
    <row r="184" spans="1:24" ht="15.75" customHeight="1">
      <c r="A184" s="1055" t="s">
        <v>941</v>
      </c>
      <c r="B184" s="1055" t="s">
        <v>942</v>
      </c>
      <c r="C184" s="1057">
        <v>-25676</v>
      </c>
      <c r="D184" s="1057">
        <v>11626.25</v>
      </c>
      <c r="E184" s="1057">
        <v>-14049.75</v>
      </c>
      <c r="F184" s="1055" t="s">
        <v>904</v>
      </c>
      <c r="G184" s="1055" t="s">
        <v>942</v>
      </c>
      <c r="H184" s="1034"/>
      <c r="I184" s="1034"/>
      <c r="J184" s="1034"/>
      <c r="K184" s="1034"/>
      <c r="L184" s="655" t="str">
        <f t="shared" si="132"/>
        <v>2501</v>
      </c>
      <c r="M184" s="656" t="str">
        <f t="shared" si="0"/>
        <v>COMMISSION A PAYER</v>
      </c>
      <c r="N184" s="657">
        <f>+IF(OR($Q184=Parametres!$G$2,$Q184=Parametres!$G$3),I184,C184)</f>
        <v>-25676</v>
      </c>
      <c r="O184" s="657">
        <f>+IF(OR($Q184=Parametres!$G$2,$Q184=Parametres!$G$3),J184,D184)</f>
        <v>11626.25</v>
      </c>
      <c r="P184" s="657">
        <f>+IF(OR($Q184=Parametres!$G$2,$Q184=Parametres!$G$3),K184,E184)</f>
        <v>-14049.75</v>
      </c>
      <c r="Q184" s="656" t="str">
        <f t="shared" ref="Q184:S184" si="186">+F184</f>
        <v>3-Passifs</v>
      </c>
      <c r="R184" s="655" t="str">
        <f t="shared" si="186"/>
        <v>2501</v>
      </c>
      <c r="S184" s="656">
        <f t="shared" si="186"/>
        <v>0</v>
      </c>
      <c r="T184" s="658" t="str">
        <f>+VLOOKUP($L184,Data_Validation!$A:$D,1,0)</f>
        <v>2501</v>
      </c>
      <c r="U184" s="658" t="str">
        <f>+VLOOKUP($L184,Data_Validation!$A:$D,3,0)</f>
        <v>Bilan</v>
      </c>
      <c r="V184" s="658" t="str">
        <f>+VLOOKUP($L184,Data_Validation!$A:$D,4,0)</f>
        <v>Salaires à Payer</v>
      </c>
      <c r="W184" s="658" t="str">
        <f>+VLOOKUP($L184,Data_Validation!$A:$E,5,0)</f>
        <v>$</v>
      </c>
      <c r="X184" s="658">
        <f>+VLOOKUP($L184,Data_Validation!$A:$F,6,0)</f>
        <v>0</v>
      </c>
    </row>
    <row r="185" spans="1:24" ht="15.75" customHeight="1">
      <c r="A185" s="1055" t="s">
        <v>943</v>
      </c>
      <c r="B185" s="1055" t="s">
        <v>3382</v>
      </c>
      <c r="C185" s="1057">
        <v>-604.98</v>
      </c>
      <c r="D185" s="1057">
        <v>781.92</v>
      </c>
      <c r="E185" s="1057">
        <v>176.94</v>
      </c>
      <c r="F185" s="1055" t="s">
        <v>904</v>
      </c>
      <c r="G185" s="1055" t="s">
        <v>944</v>
      </c>
      <c r="H185" s="653"/>
      <c r="I185" s="654"/>
      <c r="J185" s="654"/>
      <c r="K185" s="654"/>
      <c r="L185" s="655" t="str">
        <f t="shared" si="132"/>
        <v>2502</v>
      </c>
      <c r="M185" s="656" t="str">
        <f t="shared" si="0"/>
        <v>Compte de depense a payer</v>
      </c>
      <c r="N185" s="657">
        <f>+IF(OR($Q185=Parametres!$G$2,$Q185=Parametres!$G$3),I185,C185)</f>
        <v>-604.98</v>
      </c>
      <c r="O185" s="657">
        <f>+IF(OR($Q185=Parametres!$G$2,$Q185=Parametres!$G$3),J185,D185)</f>
        <v>781.92</v>
      </c>
      <c r="P185" s="657">
        <f>+IF(OR($Q185=Parametres!$G$2,$Q185=Parametres!$G$3),K185,E185)</f>
        <v>176.94</v>
      </c>
      <c r="Q185" s="656" t="str">
        <f t="shared" ref="Q185:S185" si="187">+F185</f>
        <v>3-Passifs</v>
      </c>
      <c r="R185" s="655" t="str">
        <f t="shared" si="187"/>
        <v>250</v>
      </c>
      <c r="S185" s="656">
        <f t="shared" si="187"/>
        <v>0</v>
      </c>
      <c r="T185" s="658" t="str">
        <f>+VLOOKUP($L185,Data_Validation!$A:$D,1,0)</f>
        <v>2502</v>
      </c>
      <c r="U185" s="658" t="str">
        <f>+VLOOKUP($L185,Data_Validation!$A:$D,3,0)</f>
        <v>Bilan</v>
      </c>
      <c r="V185" s="658" t="str">
        <f>+VLOOKUP($L185,Data_Validation!$A:$D,4,0)</f>
        <v>Salaires à Payer</v>
      </c>
      <c r="W185" s="658" t="str">
        <f>+VLOOKUP($L185,Data_Validation!$A:$E,5,0)</f>
        <v>$</v>
      </c>
      <c r="X185" s="658">
        <f>+VLOOKUP($L185,Data_Validation!$A:$F,6,0)</f>
        <v>0</v>
      </c>
    </row>
    <row r="186" spans="1:24" ht="15.75" customHeight="1">
      <c r="A186" s="1055" t="s">
        <v>945</v>
      </c>
      <c r="B186" s="1055" t="s">
        <v>946</v>
      </c>
      <c r="C186" s="1057">
        <v>-285463.46000000002</v>
      </c>
      <c r="D186" s="1057">
        <v>-79669.59</v>
      </c>
      <c r="E186" s="1057">
        <v>-365133.05</v>
      </c>
      <c r="F186" s="1055" t="s">
        <v>904</v>
      </c>
      <c r="G186" s="1055" t="s">
        <v>946</v>
      </c>
      <c r="H186" s="1034"/>
      <c r="I186" s="1034"/>
      <c r="J186" s="1034"/>
      <c r="K186" s="1034"/>
      <c r="L186" s="655" t="str">
        <f t="shared" si="132"/>
        <v>2503</v>
      </c>
      <c r="M186" s="656" t="str">
        <f t="shared" si="0"/>
        <v>SALAIRES DES EMPLOYES</v>
      </c>
      <c r="N186" s="657">
        <f>+IF(OR($Q186=Parametres!$G$2,$Q186=Parametres!$G$3),I186,C186)</f>
        <v>-285463.46000000002</v>
      </c>
      <c r="O186" s="657">
        <f>+IF(OR($Q186=Parametres!$G$2,$Q186=Parametres!$G$3),J186,D186)</f>
        <v>-79669.59</v>
      </c>
      <c r="P186" s="657">
        <f>+IF(OR($Q186=Parametres!$G$2,$Q186=Parametres!$G$3),K186,E186)</f>
        <v>-365133.05</v>
      </c>
      <c r="Q186" s="656" t="str">
        <f t="shared" ref="Q186:S186" si="188">+F186</f>
        <v>3-Passifs</v>
      </c>
      <c r="R186" s="655" t="str">
        <f t="shared" si="188"/>
        <v>2503</v>
      </c>
      <c r="S186" s="656">
        <f t="shared" si="188"/>
        <v>0</v>
      </c>
      <c r="T186" s="658" t="str">
        <f>+VLOOKUP($L186,Data_Validation!$A:$D,1,0)</f>
        <v>2503</v>
      </c>
      <c r="U186" s="658" t="str">
        <f>+VLOOKUP($L186,Data_Validation!$A:$D,3,0)</f>
        <v>Bilan</v>
      </c>
      <c r="V186" s="658" t="str">
        <f>+VLOOKUP($L186,Data_Validation!$A:$D,4,0)</f>
        <v>Salaires à Payer</v>
      </c>
      <c r="W186" s="658" t="str">
        <f>+VLOOKUP($L186,Data_Validation!$A:$E,5,0)</f>
        <v>$</v>
      </c>
      <c r="X186" s="658">
        <f>+VLOOKUP($L186,Data_Validation!$A:$F,6,0)</f>
        <v>0</v>
      </c>
    </row>
    <row r="187" spans="1:24" ht="15" customHeight="1">
      <c r="A187" s="1055" t="s">
        <v>947</v>
      </c>
      <c r="B187" s="1055" t="s">
        <v>1736</v>
      </c>
      <c r="C187" s="1057">
        <v>-22211.24</v>
      </c>
      <c r="D187" s="1057">
        <v>-8091.09</v>
      </c>
      <c r="E187" s="1057">
        <v>-30302.33</v>
      </c>
      <c r="F187" s="1055" t="s">
        <v>904</v>
      </c>
      <c r="G187" s="1055" t="s">
        <v>946</v>
      </c>
      <c r="H187" s="653"/>
      <c r="I187" s="654"/>
      <c r="J187" s="654"/>
      <c r="K187" s="654"/>
      <c r="L187" s="655" t="str">
        <f t="shared" si="132"/>
        <v>2505</v>
      </c>
      <c r="M187" s="656" t="str">
        <f t="shared" si="0"/>
        <v>JOURS FERIES</v>
      </c>
      <c r="N187" s="657">
        <f>+IF(OR($Q187=Parametres!$G$2,$Q187=Parametres!$G$3),I187,C187)</f>
        <v>-22211.24</v>
      </c>
      <c r="O187" s="657">
        <f>+IF(OR($Q187=Parametres!$G$2,$Q187=Parametres!$G$3),J187,D187)</f>
        <v>-8091.09</v>
      </c>
      <c r="P187" s="657">
        <f>+IF(OR($Q187=Parametres!$G$2,$Q187=Parametres!$G$3),K187,E187)</f>
        <v>-30302.33</v>
      </c>
      <c r="Q187" s="656" t="str">
        <f t="shared" ref="Q187:S187" si="189">+F187</f>
        <v>3-Passifs</v>
      </c>
      <c r="R187" s="655" t="str">
        <f t="shared" si="189"/>
        <v>2503</v>
      </c>
      <c r="S187" s="656">
        <f t="shared" si="189"/>
        <v>0</v>
      </c>
      <c r="T187" s="658" t="str">
        <f>+VLOOKUP($L187,Data_Validation!$A:$D,1,0)</f>
        <v>2505</v>
      </c>
      <c r="U187" s="658" t="str">
        <f>+VLOOKUP($L187,Data_Validation!$A:$D,3,0)</f>
        <v>Bilan</v>
      </c>
      <c r="V187" s="658" t="str">
        <f>+VLOOKUP($L187,Data_Validation!$A:$D,4,0)</f>
        <v>Salaires à Payer</v>
      </c>
      <c r="W187" s="658" t="str">
        <f>+VLOOKUP($L187,Data_Validation!$A:$E,5,0)</f>
        <v>$</v>
      </c>
      <c r="X187" s="658">
        <f>+VLOOKUP($L187,Data_Validation!$A:$F,6,0)</f>
        <v>0</v>
      </c>
    </row>
    <row r="188" spans="1:24" ht="15" customHeight="1">
      <c r="A188" s="1055" t="s">
        <v>948</v>
      </c>
      <c r="B188" s="1055" t="s">
        <v>1742</v>
      </c>
      <c r="C188" s="1057">
        <v>-203900.22</v>
      </c>
      <c r="D188" s="1057">
        <v>-32741.200000000001</v>
      </c>
      <c r="E188" s="1057">
        <v>-236641.42</v>
      </c>
      <c r="F188" s="1055" t="s">
        <v>904</v>
      </c>
      <c r="G188" s="1055" t="s">
        <v>946</v>
      </c>
      <c r="H188" s="1034"/>
      <c r="I188" s="1034"/>
      <c r="J188" s="1034"/>
      <c r="K188" s="1034"/>
      <c r="L188" s="655" t="str">
        <f t="shared" si="132"/>
        <v>2509</v>
      </c>
      <c r="M188" s="656" t="str">
        <f t="shared" si="0"/>
        <v>SALAIRES DE VACANCES</v>
      </c>
      <c r="N188" s="657">
        <f>+IF(OR($Q188=Parametres!$G$2,$Q188=Parametres!$G$3),I188,C188)</f>
        <v>-203900.22</v>
      </c>
      <c r="O188" s="657">
        <f>+IF(OR($Q188=Parametres!$G$2,$Q188=Parametres!$G$3),J188,D188)</f>
        <v>-32741.200000000001</v>
      </c>
      <c r="P188" s="657">
        <f>+IF(OR($Q188=Parametres!$G$2,$Q188=Parametres!$G$3),K188,E188)</f>
        <v>-236641.42</v>
      </c>
      <c r="Q188" s="656" t="str">
        <f t="shared" ref="Q188:S188" si="190">+F188</f>
        <v>3-Passifs</v>
      </c>
      <c r="R188" s="655" t="str">
        <f t="shared" si="190"/>
        <v>2503</v>
      </c>
      <c r="S188" s="656">
        <f t="shared" si="190"/>
        <v>0</v>
      </c>
      <c r="T188" s="658" t="str">
        <f>+VLOOKUP($L188,Data_Validation!$A:$D,1,0)</f>
        <v>2509</v>
      </c>
      <c r="U188" s="658" t="str">
        <f>+VLOOKUP($L188,Data_Validation!$A:$D,3,0)</f>
        <v>Bilan</v>
      </c>
      <c r="V188" s="658" t="str">
        <f>+VLOOKUP($L188,Data_Validation!$A:$D,4,0)</f>
        <v>Salaires à Payer</v>
      </c>
      <c r="W188" s="658" t="str">
        <f>+VLOOKUP($L188,Data_Validation!$A:$E,5,0)</f>
        <v>$</v>
      </c>
      <c r="X188" s="658">
        <f>+VLOOKUP($L188,Data_Validation!$A:$F,6,0)</f>
        <v>0</v>
      </c>
    </row>
    <row r="189" spans="1:24" ht="15" customHeight="1">
      <c r="A189" s="1055" t="s">
        <v>949</v>
      </c>
      <c r="B189" s="1055" t="s">
        <v>1745</v>
      </c>
      <c r="C189" s="1057">
        <v>10294.98</v>
      </c>
      <c r="D189" s="1057">
        <v>14306.85</v>
      </c>
      <c r="E189" s="1057">
        <v>24601.83</v>
      </c>
      <c r="F189" s="1055" t="s">
        <v>904</v>
      </c>
      <c r="G189" s="1055" t="s">
        <v>946</v>
      </c>
      <c r="H189" s="1034"/>
      <c r="I189" s="1035"/>
      <c r="J189" s="1035"/>
      <c r="K189" s="1035"/>
      <c r="L189" s="655" t="str">
        <f t="shared" si="132"/>
        <v>2511</v>
      </c>
      <c r="M189" s="656" t="str">
        <f t="shared" si="0"/>
        <v>JOURNEE MALADIE</v>
      </c>
      <c r="N189" s="657">
        <f>+IF(OR($Q189=Parametres!$G$2,$Q189=Parametres!$G$3),I189,C189)</f>
        <v>10294.98</v>
      </c>
      <c r="O189" s="657">
        <f>+IF(OR($Q189=Parametres!$G$2,$Q189=Parametres!$G$3),J189,D189)</f>
        <v>14306.85</v>
      </c>
      <c r="P189" s="657">
        <f>+IF(OR($Q189=Parametres!$G$2,$Q189=Parametres!$G$3),K189,E189)</f>
        <v>24601.83</v>
      </c>
      <c r="Q189" s="656" t="str">
        <f t="shared" ref="Q189:S189" si="191">+F189</f>
        <v>3-Passifs</v>
      </c>
      <c r="R189" s="655" t="str">
        <f t="shared" si="191"/>
        <v>2503</v>
      </c>
      <c r="S189" s="656">
        <f t="shared" si="191"/>
        <v>0</v>
      </c>
      <c r="T189" s="658" t="str">
        <f>+VLOOKUP($L189,Data_Validation!$A:$D,1,0)</f>
        <v>2511</v>
      </c>
      <c r="U189" s="658" t="str">
        <f>+VLOOKUP($L189,Data_Validation!$A:$D,3,0)</f>
        <v>Bilan</v>
      </c>
      <c r="V189" s="658" t="str">
        <f>+VLOOKUP($L189,Data_Validation!$A:$D,4,0)</f>
        <v>Salaires à Payer</v>
      </c>
      <c r="W189" s="658" t="str">
        <f>+VLOOKUP($L189,Data_Validation!$A:$E,5,0)</f>
        <v>$</v>
      </c>
      <c r="X189" s="658">
        <f>+VLOOKUP($L189,Data_Validation!$A:$F,6,0)</f>
        <v>0</v>
      </c>
    </row>
    <row r="190" spans="1:24" ht="15" customHeight="1">
      <c r="A190" s="1055" t="s">
        <v>950</v>
      </c>
      <c r="B190" s="1055" t="s">
        <v>951</v>
      </c>
      <c r="C190" s="1057">
        <v>-80283</v>
      </c>
      <c r="D190" s="1057">
        <v>18048</v>
      </c>
      <c r="E190" s="1057">
        <v>-62235</v>
      </c>
      <c r="F190" s="1055" t="s">
        <v>904</v>
      </c>
      <c r="G190" s="1055" t="s">
        <v>951</v>
      </c>
      <c r="H190" s="653"/>
      <c r="I190" s="653"/>
      <c r="J190" s="653"/>
      <c r="K190" s="653"/>
      <c r="L190" s="655" t="str">
        <f t="shared" si="132"/>
        <v>2561</v>
      </c>
      <c r="M190" s="656" t="str">
        <f t="shared" si="0"/>
        <v>REVENUE HOLDBACK DIFFERE</v>
      </c>
      <c r="N190" s="657">
        <f>+IF(OR($Q190=Parametres!$G$2,$Q190=Parametres!$G$3),I190,C190)</f>
        <v>-80283</v>
      </c>
      <c r="O190" s="657">
        <f>+IF(OR($Q190=Parametres!$G$2,$Q190=Parametres!$G$3),J190,D190)</f>
        <v>18048</v>
      </c>
      <c r="P190" s="657">
        <f>+IF(OR($Q190=Parametres!$G$2,$Q190=Parametres!$G$3),K190,E190)</f>
        <v>-62235</v>
      </c>
      <c r="Q190" s="656" t="str">
        <f t="shared" ref="Q190:S190" si="192">+F190</f>
        <v>3-Passifs</v>
      </c>
      <c r="R190" s="655" t="str">
        <f t="shared" si="192"/>
        <v>2561</v>
      </c>
      <c r="S190" s="656">
        <f t="shared" si="192"/>
        <v>0</v>
      </c>
      <c r="T190" s="658" t="str">
        <f>+VLOOKUP($L190,Data_Validation!$A:$D,1,0)</f>
        <v>2561</v>
      </c>
      <c r="U190" s="658" t="str">
        <f>+VLOOKUP($L190,Data_Validation!$A:$D,3,0)</f>
        <v>Bilan</v>
      </c>
      <c r="V190" s="658" t="str">
        <f>+VLOOKUP($L190,Data_Validation!$A:$D,4,0)</f>
        <v>Autres Courus</v>
      </c>
      <c r="W190" s="658" t="str">
        <f>+VLOOKUP($L190,Data_Validation!$A:$E,5,0)</f>
        <v>$</v>
      </c>
      <c r="X190" s="658">
        <f>+VLOOKUP($L190,Data_Validation!$A:$F,6,0)</f>
        <v>0</v>
      </c>
    </row>
    <row r="191" spans="1:24" ht="15" customHeight="1">
      <c r="A191" s="1055" t="s">
        <v>952</v>
      </c>
      <c r="B191" s="1055" t="s">
        <v>3383</v>
      </c>
      <c r="C191" s="1057">
        <v>-242566.15</v>
      </c>
      <c r="D191" s="1057">
        <v>0</v>
      </c>
      <c r="E191" s="1057">
        <v>-242566.15</v>
      </c>
      <c r="F191" s="1055" t="s">
        <v>904</v>
      </c>
      <c r="G191" s="1055" t="s">
        <v>953</v>
      </c>
      <c r="H191" s="1034"/>
      <c r="I191" s="1035"/>
      <c r="J191" s="1035"/>
      <c r="K191" s="1035"/>
      <c r="L191" s="655" t="str">
        <f t="shared" si="132"/>
        <v>2562</v>
      </c>
      <c r="M191" s="656" t="str">
        <f t="shared" si="0"/>
        <v>PROVISIONS QG</v>
      </c>
      <c r="N191" s="657">
        <f>+IF(OR($Q191=Parametres!$G$2,$Q191=Parametres!$G$3),I191,C191)</f>
        <v>-242566.15</v>
      </c>
      <c r="O191" s="657">
        <f>+IF(OR($Q191=Parametres!$G$2,$Q191=Parametres!$G$3),J191,D191)</f>
        <v>0</v>
      </c>
      <c r="P191" s="657">
        <f>+IF(OR($Q191=Parametres!$G$2,$Q191=Parametres!$G$3),K191,E191)</f>
        <v>-242566.15</v>
      </c>
      <c r="Q191" s="656" t="str">
        <f t="shared" ref="Q191:S191" si="193">+F191</f>
        <v>3-Passifs</v>
      </c>
      <c r="R191" s="655" t="str">
        <f t="shared" si="193"/>
        <v>256</v>
      </c>
      <c r="S191" s="656">
        <f t="shared" si="193"/>
        <v>0</v>
      </c>
      <c r="T191" s="658" t="str">
        <f>+VLOOKUP($L191,Data_Validation!$A:$D,1,0)</f>
        <v>2562</v>
      </c>
      <c r="U191" s="658" t="str">
        <f>+VLOOKUP($L191,Data_Validation!$A:$D,3,0)</f>
        <v>Bilan</v>
      </c>
      <c r="V191" s="658" t="str">
        <f>+VLOOKUP($L191,Data_Validation!$A:$D,4,0)</f>
        <v>Autres Courus</v>
      </c>
      <c r="W191" s="658" t="str">
        <f>+VLOOKUP($L191,Data_Validation!$A:$E,5,0)</f>
        <v>$</v>
      </c>
      <c r="X191" s="658">
        <f>+VLOOKUP($L191,Data_Validation!$A:$F,6,0)</f>
        <v>0</v>
      </c>
    </row>
    <row r="192" spans="1:24" ht="15" customHeight="1">
      <c r="A192" s="1055" t="s">
        <v>954</v>
      </c>
      <c r="B192" s="1055" t="s">
        <v>955</v>
      </c>
      <c r="C192" s="1057">
        <v>2143.75</v>
      </c>
      <c r="D192" s="1057">
        <v>1317.5</v>
      </c>
      <c r="E192" s="1057">
        <v>3461.25</v>
      </c>
      <c r="F192" s="1055" t="s">
        <v>904</v>
      </c>
      <c r="G192" s="1055" t="s">
        <v>955</v>
      </c>
      <c r="H192" s="653"/>
      <c r="I192" s="653"/>
      <c r="J192" s="653"/>
      <c r="K192" s="653"/>
      <c r="L192" s="655" t="str">
        <f t="shared" si="132"/>
        <v>2801</v>
      </c>
      <c r="M192" s="656" t="str">
        <f t="shared" si="0"/>
        <v>PRET CIBC</v>
      </c>
      <c r="N192" s="657">
        <f>+IF(OR($Q192=Parametres!$G$2,$Q192=Parametres!$G$3),I192,C192)</f>
        <v>2143.75</v>
      </c>
      <c r="O192" s="657">
        <f>+IF(OR($Q192=Parametres!$G$2,$Q192=Parametres!$G$3),J192,D192)</f>
        <v>1317.5</v>
      </c>
      <c r="P192" s="657">
        <f>+IF(OR($Q192=Parametres!$G$2,$Q192=Parametres!$G$3),K192,E192)</f>
        <v>3461.25</v>
      </c>
      <c r="Q192" s="656" t="str">
        <f t="shared" ref="Q192:S192" si="194">+F192</f>
        <v>3-Passifs</v>
      </c>
      <c r="R192" s="655" t="str">
        <f t="shared" si="194"/>
        <v>2801</v>
      </c>
      <c r="S192" s="656">
        <f t="shared" si="194"/>
        <v>0</v>
      </c>
      <c r="T192" s="658" t="str">
        <f>+VLOOKUP($L192,Data_Validation!$A:$D,1,0)</f>
        <v>2801</v>
      </c>
      <c r="U192" s="658" t="str">
        <f>+VLOOKUP($L192,Data_Validation!$A:$D,3,0)</f>
        <v>Bilan</v>
      </c>
      <c r="V192" s="658" t="str">
        <f>+VLOOKUP($L192,Data_Validation!$A:$D,4,0)</f>
        <v>Dette à Long Terme</v>
      </c>
      <c r="W192" s="658" t="str">
        <f>+VLOOKUP($L192,Data_Validation!$A:$E,5,0)</f>
        <v>$</v>
      </c>
      <c r="X192" s="658">
        <f>+VLOOKUP($L192,Data_Validation!$A:$F,6,0)</f>
        <v>0</v>
      </c>
    </row>
    <row r="193" spans="1:24" ht="15" customHeight="1">
      <c r="A193" s="1055" t="s">
        <v>956</v>
      </c>
      <c r="B193" s="1055" t="s">
        <v>957</v>
      </c>
      <c r="C193" s="1057">
        <v>-19122.599999999999</v>
      </c>
      <c r="D193" s="1057">
        <v>0</v>
      </c>
      <c r="E193" s="1057">
        <v>-19122.599999999999</v>
      </c>
      <c r="F193" s="1055" t="s">
        <v>904</v>
      </c>
      <c r="G193" s="1055" t="s">
        <v>957</v>
      </c>
      <c r="H193" s="1034"/>
      <c r="I193" s="1035"/>
      <c r="J193" s="1035"/>
      <c r="K193" s="1035"/>
      <c r="L193" s="655" t="str">
        <f t="shared" si="132"/>
        <v>2901</v>
      </c>
      <c r="M193" s="656" t="str">
        <f t="shared" si="0"/>
        <v>RESERVE CARTES PRIVILEGE</v>
      </c>
      <c r="N193" s="657">
        <f>+IF(OR($Q193=Parametres!$G$2,$Q193=Parametres!$G$3),I193,C193)</f>
        <v>-19122.599999999999</v>
      </c>
      <c r="O193" s="657">
        <f>+IF(OR($Q193=Parametres!$G$2,$Q193=Parametres!$G$3),J193,D193)</f>
        <v>0</v>
      </c>
      <c r="P193" s="657">
        <f>+IF(OR($Q193=Parametres!$G$2,$Q193=Parametres!$G$3),K193,E193)</f>
        <v>-19122.599999999999</v>
      </c>
      <c r="Q193" s="656" t="str">
        <f t="shared" ref="Q193:S193" si="195">+F193</f>
        <v>3-Passifs</v>
      </c>
      <c r="R193" s="655" t="str">
        <f t="shared" si="195"/>
        <v>2901</v>
      </c>
      <c r="S193" s="656">
        <f t="shared" si="195"/>
        <v>0</v>
      </c>
      <c r="T193" s="658" t="str">
        <f>+VLOOKUP($L193,Data_Validation!$A:$D,1,0)</f>
        <v>2901</v>
      </c>
      <c r="U193" s="658" t="str">
        <f>+VLOOKUP($L193,Data_Validation!$A:$D,3,0)</f>
        <v>Bilan</v>
      </c>
      <c r="V193" s="658" t="str">
        <f>+VLOOKUP($L193,Data_Validation!$A:$D,4,0)</f>
        <v>Autres Courus</v>
      </c>
      <c r="W193" s="658" t="str">
        <f>+VLOOKUP($L193,Data_Validation!$A:$E,5,0)</f>
        <v>$</v>
      </c>
      <c r="X193" s="658">
        <f>+VLOOKUP($L193,Data_Validation!$A:$F,6,0)</f>
        <v>0</v>
      </c>
    </row>
    <row r="194" spans="1:24" ht="15.75" customHeight="1">
      <c r="A194" s="1055" t="s">
        <v>958</v>
      </c>
      <c r="B194" s="1055" t="s">
        <v>960</v>
      </c>
      <c r="C194" s="1057">
        <v>-2350000</v>
      </c>
      <c r="D194" s="1057">
        <v>0</v>
      </c>
      <c r="E194" s="1057">
        <v>-2350000</v>
      </c>
      <c r="F194" s="1055" t="s">
        <v>959</v>
      </c>
      <c r="G194" s="1055" t="s">
        <v>960</v>
      </c>
      <c r="H194" s="653"/>
      <c r="I194" s="653"/>
      <c r="J194" s="653"/>
      <c r="K194" s="653"/>
      <c r="L194" s="655" t="str">
        <f t="shared" si="132"/>
        <v>3001</v>
      </c>
      <c r="M194" s="656" t="str">
        <f t="shared" si="0"/>
        <v>ACTIONS CATEGORIE 1</v>
      </c>
      <c r="N194" s="657">
        <f>+IF(OR($Q194=Parametres!$G$2,$Q194=Parametres!$G$3),I194,C194)</f>
        <v>-2350000</v>
      </c>
      <c r="O194" s="657">
        <f>+IF(OR($Q194=Parametres!$G$2,$Q194=Parametres!$G$3),J194,D194)</f>
        <v>0</v>
      </c>
      <c r="P194" s="657">
        <f>+IF(OR($Q194=Parametres!$G$2,$Q194=Parametres!$G$3),K194,E194)</f>
        <v>-2350000</v>
      </c>
      <c r="Q194" s="656" t="str">
        <f t="shared" ref="Q194:S194" si="196">+F194</f>
        <v>4-Valeur nette</v>
      </c>
      <c r="R194" s="655" t="str">
        <f t="shared" si="196"/>
        <v>3001</v>
      </c>
      <c r="S194" s="656">
        <f t="shared" si="196"/>
        <v>0</v>
      </c>
      <c r="T194" s="658" t="str">
        <f>+VLOOKUP($L194,Data_Validation!$A:$D,1,0)</f>
        <v>3001</v>
      </c>
      <c r="U194" s="658" t="str">
        <f>+VLOOKUP($L194,Data_Validation!$A:$D,3,0)</f>
        <v>Bilan</v>
      </c>
      <c r="V194" s="658" t="str">
        <f>+VLOOKUP($L194,Data_Validation!$A:$D,4,0)</f>
        <v>Capital Actions</v>
      </c>
      <c r="W194" s="658" t="str">
        <f>+VLOOKUP($L194,Data_Validation!$A:$E,5,0)</f>
        <v>$</v>
      </c>
      <c r="X194" s="658">
        <f>+VLOOKUP($L194,Data_Validation!$A:$F,6,0)</f>
        <v>0</v>
      </c>
    </row>
    <row r="195" spans="1:24" ht="15" customHeight="1">
      <c r="A195" s="1055" t="s">
        <v>961</v>
      </c>
      <c r="B195" s="1055" t="s">
        <v>1770</v>
      </c>
      <c r="C195" s="1057">
        <v>-1723617</v>
      </c>
      <c r="D195" s="1057">
        <v>0</v>
      </c>
      <c r="E195" s="1057">
        <v>-1723617</v>
      </c>
      <c r="F195" s="1055" t="s">
        <v>959</v>
      </c>
      <c r="G195" s="1055" t="s">
        <v>960</v>
      </c>
      <c r="H195" s="1034"/>
      <c r="I195" s="1035"/>
      <c r="J195" s="1035"/>
      <c r="K195" s="1035"/>
      <c r="L195" s="655" t="str">
        <f t="shared" ref="L195:L258" si="197">TEXT(B195,0)</f>
        <v>3003</v>
      </c>
      <c r="M195" s="656" t="str">
        <f t="shared" si="0"/>
        <v>APPORT / RETRAIT</v>
      </c>
      <c r="N195" s="657">
        <f>+IF(OR($Q195=Parametres!$G$2,$Q195=Parametres!$G$3),I195,C195)</f>
        <v>-1723617</v>
      </c>
      <c r="O195" s="657">
        <f>+IF(OR($Q195=Parametres!$G$2,$Q195=Parametres!$G$3),J195,D195)</f>
        <v>0</v>
      </c>
      <c r="P195" s="657">
        <f>+IF(OR($Q195=Parametres!$G$2,$Q195=Parametres!$G$3),K195,E195)</f>
        <v>-1723617</v>
      </c>
      <c r="Q195" s="656" t="str">
        <f t="shared" ref="Q195:S195" si="198">+F195</f>
        <v>4-Valeur nette</v>
      </c>
      <c r="R195" s="655" t="str">
        <f t="shared" si="198"/>
        <v>3001</v>
      </c>
      <c r="S195" s="656">
        <f t="shared" si="198"/>
        <v>0</v>
      </c>
      <c r="T195" s="658" t="str">
        <f>+VLOOKUP($L195,Data_Validation!$A:$D,1,0)</f>
        <v>3003</v>
      </c>
      <c r="U195" s="658" t="str">
        <f>+VLOOKUP($L195,Data_Validation!$A:$D,3,0)</f>
        <v>Bilan</v>
      </c>
      <c r="V195" s="658" t="str">
        <f>+VLOOKUP($L195,Data_Validation!$A:$D,4,0)</f>
        <v>Apport</v>
      </c>
      <c r="W195" s="658" t="str">
        <f>+VLOOKUP($L195,Data_Validation!$A:$E,5,0)</f>
        <v>$</v>
      </c>
      <c r="X195" s="658">
        <f>+VLOOKUP($L195,Data_Validation!$A:$F,6,0)</f>
        <v>0</v>
      </c>
    </row>
    <row r="196" spans="1:24" ht="15" customHeight="1">
      <c r="A196" s="1055" t="s">
        <v>962</v>
      </c>
      <c r="B196" s="1055" t="s">
        <v>1773</v>
      </c>
      <c r="C196" s="1057">
        <v>-347547.5</v>
      </c>
      <c r="D196" s="1057">
        <v>0</v>
      </c>
      <c r="E196" s="1057">
        <v>-347547.5</v>
      </c>
      <c r="F196" s="1055" t="s">
        <v>959</v>
      </c>
      <c r="G196" s="1055" t="s">
        <v>960</v>
      </c>
      <c r="H196" s="653"/>
      <c r="I196" s="653"/>
      <c r="J196" s="653"/>
      <c r="K196" s="653"/>
      <c r="L196" s="655" t="str">
        <f t="shared" si="197"/>
        <v>3007</v>
      </c>
      <c r="M196" s="656" t="str">
        <f t="shared" si="0"/>
        <v>ACTIONS PARTICIPANTES</v>
      </c>
      <c r="N196" s="657">
        <f>+IF(OR($Q196=Parametres!$G$2,$Q196=Parametres!$G$3),I196,C196)</f>
        <v>-347547.5</v>
      </c>
      <c r="O196" s="657">
        <f>+IF(OR($Q196=Parametres!$G$2,$Q196=Parametres!$G$3),J196,D196)</f>
        <v>0</v>
      </c>
      <c r="P196" s="657">
        <f>+IF(OR($Q196=Parametres!$G$2,$Q196=Parametres!$G$3),K196,E196)</f>
        <v>-347547.5</v>
      </c>
      <c r="Q196" s="656" t="str">
        <f t="shared" ref="Q196:S196" si="199">+F196</f>
        <v>4-Valeur nette</v>
      </c>
      <c r="R196" s="655" t="str">
        <f t="shared" si="199"/>
        <v>3001</v>
      </c>
      <c r="S196" s="656">
        <f t="shared" si="199"/>
        <v>0</v>
      </c>
      <c r="T196" s="658" t="str">
        <f>+VLOOKUP($L196,Data_Validation!$A:$D,1,0)</f>
        <v>3007</v>
      </c>
      <c r="U196" s="658" t="str">
        <f>+VLOOKUP($L196,Data_Validation!$A:$D,3,0)</f>
        <v>Bilan</v>
      </c>
      <c r="V196" s="658" t="str">
        <f>+VLOOKUP($L196,Data_Validation!$A:$D,4,0)</f>
        <v>Capital Actions</v>
      </c>
      <c r="W196" s="658">
        <f>+VLOOKUP($L196,Data_Validation!$A:$E,5,0)</f>
        <v>0</v>
      </c>
      <c r="X196" s="658">
        <f>+VLOOKUP($L196,Data_Validation!$A:$F,6,0)</f>
        <v>0</v>
      </c>
    </row>
    <row r="197" spans="1:24" ht="15" customHeight="1">
      <c r="A197" s="1055" t="s">
        <v>963</v>
      </c>
      <c r="B197" s="1055" t="s">
        <v>1797</v>
      </c>
      <c r="C197" s="1057">
        <v>-3068758.8</v>
      </c>
      <c r="D197" s="1057">
        <v>0</v>
      </c>
      <c r="E197" s="1057">
        <v>-3068758.8</v>
      </c>
      <c r="F197" s="1055" t="s">
        <v>959</v>
      </c>
      <c r="G197" s="1055" t="s">
        <v>960</v>
      </c>
      <c r="H197" s="1034"/>
      <c r="I197" s="1035"/>
      <c r="J197" s="1035"/>
      <c r="K197" s="1035"/>
      <c r="L197" s="655" t="str">
        <f t="shared" si="197"/>
        <v>3201</v>
      </c>
      <c r="M197" s="656" t="str">
        <f t="shared" si="0"/>
        <v>BENEFICES NON-REPARTIS</v>
      </c>
      <c r="N197" s="657">
        <f>+IF(OR($Q197=Parametres!$G$2,$Q197=Parametres!$G$3),I197,C197)</f>
        <v>-3068758.8</v>
      </c>
      <c r="O197" s="657">
        <f>+IF(OR($Q197=Parametres!$G$2,$Q197=Parametres!$G$3),J197,D197)</f>
        <v>0</v>
      </c>
      <c r="P197" s="657">
        <f>+IF(OR($Q197=Parametres!$G$2,$Q197=Parametres!$G$3),K197,E197)</f>
        <v>-3068758.8</v>
      </c>
      <c r="Q197" s="656" t="str">
        <f t="shared" ref="Q197:S197" si="200">+F197</f>
        <v>4-Valeur nette</v>
      </c>
      <c r="R197" s="655" t="str">
        <f t="shared" si="200"/>
        <v>3001</v>
      </c>
      <c r="S197" s="656">
        <f t="shared" si="200"/>
        <v>0</v>
      </c>
      <c r="T197" s="658" t="str">
        <f>+VLOOKUP($L197,Data_Validation!$A:$D,1,0)</f>
        <v>3201</v>
      </c>
      <c r="U197" s="658" t="str">
        <f>+VLOOKUP($L197,Data_Validation!$A:$D,3,0)</f>
        <v>Bilan</v>
      </c>
      <c r="V197" s="658" t="str">
        <f>+VLOOKUP($L197,Data_Validation!$A:$D,4,0)</f>
        <v>Bénéfices non répartis</v>
      </c>
      <c r="W197" s="658" t="str">
        <f>+VLOOKUP($L197,Data_Validation!$A:$E,5,0)</f>
        <v>$</v>
      </c>
      <c r="X197" s="658">
        <f>+VLOOKUP($L197,Data_Validation!$A:$F,6,0)</f>
        <v>0</v>
      </c>
    </row>
    <row r="198" spans="1:24" ht="15" customHeight="1">
      <c r="A198" s="1055" t="s">
        <v>964</v>
      </c>
      <c r="B198" s="1055" t="s">
        <v>966</v>
      </c>
      <c r="C198" s="1057">
        <v>-4072416.36</v>
      </c>
      <c r="D198" s="1057">
        <v>-157823.97</v>
      </c>
      <c r="E198" s="1057">
        <v>-4230240.33</v>
      </c>
      <c r="F198" s="1055" t="s">
        <v>965</v>
      </c>
      <c r="G198" s="1055" t="s">
        <v>966</v>
      </c>
      <c r="H198" s="653"/>
      <c r="I198" s="653"/>
      <c r="J198" s="653"/>
      <c r="K198" s="653"/>
      <c r="L198" s="655" t="str">
        <f t="shared" si="197"/>
        <v>4100</v>
      </c>
      <c r="M198" s="656" t="str">
        <f t="shared" si="0"/>
        <v>VTE - RACHAT BAIL VW</v>
      </c>
      <c r="N198" s="657">
        <f>+IF(OR($Q198=Parametres!$G$2,$Q198=Parametres!$G$3),I198,C198)</f>
        <v>-4072416.36</v>
      </c>
      <c r="O198" s="657">
        <f>+IF(OR($Q198=Parametres!$G$2,$Q198=Parametres!$G$3),J198,D198)</f>
        <v>-157823.97</v>
      </c>
      <c r="P198" s="657">
        <f>+IF(OR($Q198=Parametres!$G$2,$Q198=Parametres!$G$3),K198,E198)</f>
        <v>-4230240.33</v>
      </c>
      <c r="Q198" s="656" t="str">
        <f t="shared" ref="Q198:S198" si="201">+F198</f>
        <v>5-Ventes</v>
      </c>
      <c r="R198" s="655" t="str">
        <f t="shared" si="201"/>
        <v>4100</v>
      </c>
      <c r="S198" s="656">
        <f t="shared" si="201"/>
        <v>0</v>
      </c>
      <c r="T198" s="658" t="str">
        <f>+VLOOKUP($L198,Data_Validation!$A:$D,1,0)</f>
        <v>4100</v>
      </c>
      <c r="U198" s="658" t="str">
        <f>+VLOOKUP($L198,Data_Validation!$A:$D,3,0)</f>
        <v>Véhicules neufs</v>
      </c>
      <c r="V198" s="658" t="str">
        <f>+VLOOKUP($L198,Data_Validation!$A:$D,4,0)</f>
        <v>Rachat bail</v>
      </c>
      <c r="W198" s="658" t="str">
        <f>+VLOOKUP($L198,Data_Validation!$A:$E,5,0)</f>
        <v>$</v>
      </c>
      <c r="X198" s="658" t="str">
        <f>+VLOOKUP($L198,Data_Validation!$A:$F,6,0)</f>
        <v>Oui</v>
      </c>
    </row>
    <row r="199" spans="1:24" ht="15.75" customHeight="1">
      <c r="A199" s="1055" t="s">
        <v>969</v>
      </c>
      <c r="B199" s="1055" t="s">
        <v>970</v>
      </c>
      <c r="C199" s="1057">
        <v>-343139.26</v>
      </c>
      <c r="D199" s="1057">
        <v>0</v>
      </c>
      <c r="E199" s="1057">
        <v>-343139.26</v>
      </c>
      <c r="F199" s="1055" t="s">
        <v>965</v>
      </c>
      <c r="G199" s="1055" t="s">
        <v>970</v>
      </c>
      <c r="H199" s="1034"/>
      <c r="I199" s="1035"/>
      <c r="J199" s="1035"/>
      <c r="K199" s="1035"/>
      <c r="L199" s="655" t="str">
        <f t="shared" si="197"/>
        <v>4109</v>
      </c>
      <c r="M199" s="656" t="str">
        <f t="shared" si="0"/>
        <v>VTE - GOLF R</v>
      </c>
      <c r="N199" s="657">
        <f>+IF(OR($Q199=Parametres!$G$2,$Q199=Parametres!$G$3),I199,C199)</f>
        <v>-343139.26</v>
      </c>
      <c r="O199" s="657">
        <f>+IF(OR($Q199=Parametres!$G$2,$Q199=Parametres!$G$3),J199,D199)</f>
        <v>0</v>
      </c>
      <c r="P199" s="657">
        <f>+IF(OR($Q199=Parametres!$G$2,$Q199=Parametres!$G$3),K199,E199)</f>
        <v>-343139.26</v>
      </c>
      <c r="Q199" s="656" t="str">
        <f t="shared" ref="Q199:S199" si="202">+F199</f>
        <v>5-Ventes</v>
      </c>
      <c r="R199" s="655" t="str">
        <f t="shared" si="202"/>
        <v>4109</v>
      </c>
      <c r="S199" s="656">
        <f t="shared" si="202"/>
        <v>0</v>
      </c>
      <c r="T199" s="673" t="str">
        <f>+VLOOKUP($L199,Data_Validation!$A:$D,1,0)</f>
        <v>4109</v>
      </c>
      <c r="U199" s="658" t="str">
        <f>+VLOOKUP($L199,Data_Validation!$A:$D,3,0)</f>
        <v>Véhicules neufs</v>
      </c>
      <c r="V199" s="658" t="str">
        <f>+VLOOKUP($L199,Data_Validation!$A:$D,4,0)</f>
        <v>Autos détail</v>
      </c>
      <c r="W199" s="658" t="str">
        <f>+VLOOKUP($L199,Data_Validation!$A:$E,5,0)</f>
        <v>$</v>
      </c>
      <c r="X199" s="658" t="str">
        <f>+VLOOKUP($L199,Data_Validation!$A:$F,6,0)</f>
        <v>Oui</v>
      </c>
    </row>
    <row r="200" spans="1:24" ht="15" customHeight="1">
      <c r="A200" s="1055" t="s">
        <v>973</v>
      </c>
      <c r="B200" s="1055" t="s">
        <v>974</v>
      </c>
      <c r="C200" s="1057">
        <v>-1504563.89</v>
      </c>
      <c r="D200" s="1057">
        <v>-209692.07</v>
      </c>
      <c r="E200" s="1057">
        <v>-1714255.96</v>
      </c>
      <c r="F200" s="1055" t="s">
        <v>965</v>
      </c>
      <c r="G200" s="1055" t="s">
        <v>974</v>
      </c>
      <c r="H200" s="653"/>
      <c r="I200" s="653"/>
      <c r="J200" s="653"/>
      <c r="K200" s="672"/>
      <c r="L200" s="655" t="str">
        <f t="shared" si="197"/>
        <v>4111</v>
      </c>
      <c r="M200" s="656" t="str">
        <f t="shared" si="0"/>
        <v>JETTA/ JETTA GLI</v>
      </c>
      <c r="N200" s="657">
        <f>+IF(OR($Q200=Parametres!$G$2,$Q200=Parametres!$G$3),I200,C200)</f>
        <v>-1504563.89</v>
      </c>
      <c r="O200" s="657">
        <f>+IF(OR($Q200=Parametres!$G$2,$Q200=Parametres!$G$3),J200,D200)</f>
        <v>-209692.07</v>
      </c>
      <c r="P200" s="657">
        <f>+IF(OR($Q200=Parametres!$G$2,$Q200=Parametres!$G$3),K200,E200)</f>
        <v>-1714255.96</v>
      </c>
      <c r="Q200" s="656" t="str">
        <f t="shared" ref="Q200:S200" si="203">+F200</f>
        <v>5-Ventes</v>
      </c>
      <c r="R200" s="655" t="str">
        <f t="shared" si="203"/>
        <v>4111</v>
      </c>
      <c r="S200" s="656">
        <f t="shared" si="203"/>
        <v>0</v>
      </c>
      <c r="T200" s="658" t="str">
        <f>+VLOOKUP($L200,Data_Validation!$A:$D,1,0)</f>
        <v>4111</v>
      </c>
      <c r="U200" s="658" t="str">
        <f>+VLOOKUP($L200,Data_Validation!$A:$D,3,0)</f>
        <v>Véhicules neufs</v>
      </c>
      <c r="V200" s="658" t="str">
        <f>+VLOOKUP($L200,Data_Validation!$A:$D,4,0)</f>
        <v>Autos détail</v>
      </c>
      <c r="W200" s="658" t="str">
        <f>+VLOOKUP($L200,Data_Validation!$A:$E,5,0)</f>
        <v>$</v>
      </c>
      <c r="X200" s="658" t="str">
        <f>+VLOOKUP($L200,Data_Validation!$A:$F,6,0)</f>
        <v>Oui</v>
      </c>
    </row>
    <row r="201" spans="1:24" ht="15" customHeight="1">
      <c r="A201" s="1055" t="s">
        <v>976</v>
      </c>
      <c r="B201" s="1055" t="s">
        <v>3384</v>
      </c>
      <c r="C201" s="1057">
        <v>-3841289.47</v>
      </c>
      <c r="D201" s="1057">
        <v>-76944.42</v>
      </c>
      <c r="E201" s="1057">
        <v>-3918233.89</v>
      </c>
      <c r="F201" s="1055" t="s">
        <v>965</v>
      </c>
      <c r="G201" s="1055" t="s">
        <v>977</v>
      </c>
      <c r="H201" s="1034"/>
      <c r="I201" s="1035"/>
      <c r="J201" s="1035"/>
      <c r="K201" s="1035"/>
      <c r="L201" s="655" t="str">
        <f t="shared" si="197"/>
        <v>4118</v>
      </c>
      <c r="M201" s="656" t="str">
        <f t="shared" si="0"/>
        <v>VTES -TAOS</v>
      </c>
      <c r="N201" s="657">
        <f>+IF(OR($Q201=Parametres!$G$2,$Q201=Parametres!$G$3),I201,C201)</f>
        <v>-3841289.47</v>
      </c>
      <c r="O201" s="657">
        <f>+IF(OR($Q201=Parametres!$G$2,$Q201=Parametres!$G$3),J201,D201)</f>
        <v>-76944.42</v>
      </c>
      <c r="P201" s="657">
        <f>+IF(OR($Q201=Parametres!$G$2,$Q201=Parametres!$G$3),K201,E201)</f>
        <v>-3918233.89</v>
      </c>
      <c r="Q201" s="656" t="str">
        <f t="shared" ref="Q201:S201" si="204">+F201</f>
        <v>5-Ventes</v>
      </c>
      <c r="R201" s="655" t="str">
        <f t="shared" si="204"/>
        <v>4117</v>
      </c>
      <c r="S201" s="656">
        <f t="shared" si="204"/>
        <v>0</v>
      </c>
      <c r="T201" s="658" t="str">
        <f>+VLOOKUP($L201,Data_Validation!$A:$D,1,0)</f>
        <v>4118</v>
      </c>
      <c r="U201" s="658" t="str">
        <f>+VLOOKUP($L201,Data_Validation!$A:$D,3,0)</f>
        <v>Véhicules neufs</v>
      </c>
      <c r="V201" s="658" t="str">
        <f>+VLOOKUP($L201,Data_Validation!$A:$D,4,0)</f>
        <v>Camions détail</v>
      </c>
      <c r="W201" s="658" t="str">
        <f>+VLOOKUP($L201,Data_Validation!$A:$E,5,0)</f>
        <v>$</v>
      </c>
      <c r="X201" s="658" t="str">
        <f>+VLOOKUP($L201,Data_Validation!$A:$F,6,0)</f>
        <v>Oui</v>
      </c>
    </row>
    <row r="202" spans="1:24" ht="15" customHeight="1">
      <c r="A202" s="1055" t="s">
        <v>981</v>
      </c>
      <c r="B202" s="1055" t="s">
        <v>982</v>
      </c>
      <c r="C202" s="1057">
        <v>-3882401.56</v>
      </c>
      <c r="D202" s="1057">
        <v>-120161.91</v>
      </c>
      <c r="E202" s="1057">
        <v>-4002563.47</v>
      </c>
      <c r="F202" s="1055" t="s">
        <v>965</v>
      </c>
      <c r="G202" s="1055" t="s">
        <v>982</v>
      </c>
      <c r="H202" s="653"/>
      <c r="I202" s="653"/>
      <c r="J202" s="653"/>
      <c r="K202" s="672"/>
      <c r="L202" s="655" t="str">
        <f t="shared" si="197"/>
        <v>4119</v>
      </c>
      <c r="M202" s="656" t="str">
        <f t="shared" si="0"/>
        <v>VTE - ATLAS</v>
      </c>
      <c r="N202" s="657">
        <f>+IF(OR($Q202=Parametres!$G$2,$Q202=Parametres!$G$3),I202,C202)</f>
        <v>-3882401.56</v>
      </c>
      <c r="O202" s="657">
        <f>+IF(OR($Q202=Parametres!$G$2,$Q202=Parametres!$G$3),J202,D202)</f>
        <v>-120161.91</v>
      </c>
      <c r="P202" s="657">
        <f>+IF(OR($Q202=Parametres!$G$2,$Q202=Parametres!$G$3),K202,E202)</f>
        <v>-4002563.47</v>
      </c>
      <c r="Q202" s="656" t="str">
        <f t="shared" ref="Q202:S202" si="205">+F202</f>
        <v>5-Ventes</v>
      </c>
      <c r="R202" s="655" t="str">
        <f t="shared" si="205"/>
        <v>4119</v>
      </c>
      <c r="S202" s="656">
        <f t="shared" si="205"/>
        <v>0</v>
      </c>
      <c r="T202" s="658" t="str">
        <f>+VLOOKUP($L202,Data_Validation!$A:$D,1,0)</f>
        <v>4119</v>
      </c>
      <c r="U202" s="658" t="str">
        <f>+VLOOKUP($L202,Data_Validation!$A:$D,3,0)</f>
        <v>Véhicules neufs</v>
      </c>
      <c r="V202" s="658" t="str">
        <f>+VLOOKUP($L202,Data_Validation!$A:$D,4,0)</f>
        <v>Camions détail</v>
      </c>
      <c r="W202" s="658" t="str">
        <f>+VLOOKUP($L202,Data_Validation!$A:$E,5,0)</f>
        <v>$</v>
      </c>
      <c r="X202" s="658" t="str">
        <f>+VLOOKUP($L202,Data_Validation!$A:$F,6,0)</f>
        <v>Oui</v>
      </c>
    </row>
    <row r="203" spans="1:24" ht="15" customHeight="1">
      <c r="A203" s="1055" t="s">
        <v>985</v>
      </c>
      <c r="B203" s="1055" t="s">
        <v>3353</v>
      </c>
      <c r="C203" s="1057">
        <v>-136159.35</v>
      </c>
      <c r="D203" s="1057">
        <v>0</v>
      </c>
      <c r="E203" s="1057">
        <v>-136159.35</v>
      </c>
      <c r="F203" s="1055" t="s">
        <v>965</v>
      </c>
      <c r="G203" s="1055" t="s">
        <v>3353</v>
      </c>
      <c r="H203" s="1034"/>
      <c r="I203" s="1035"/>
      <c r="J203" s="1035"/>
      <c r="K203" s="1035"/>
      <c r="L203" s="655" t="str">
        <f t="shared" si="197"/>
        <v>4121</v>
      </c>
      <c r="M203" s="656" t="str">
        <f t="shared" si="0"/>
        <v>VTES -VTE - ATLAS CROSS SPORT</v>
      </c>
      <c r="N203" s="657">
        <f>+IF(OR($Q203=Parametres!$G$2,$Q203=Parametres!$G$3),I203,C203)</f>
        <v>-136159.35</v>
      </c>
      <c r="O203" s="657">
        <f>+IF(OR($Q203=Parametres!$G$2,$Q203=Parametres!$G$3),J203,D203)</f>
        <v>0</v>
      </c>
      <c r="P203" s="657">
        <f>+IF(OR($Q203=Parametres!$G$2,$Q203=Parametres!$G$3),K203,E203)</f>
        <v>-136159.35</v>
      </c>
      <c r="Q203" s="656" t="str">
        <f t="shared" ref="Q203:S203" si="206">+F203</f>
        <v>5-Ventes</v>
      </c>
      <c r="R203" s="655" t="str">
        <f t="shared" si="206"/>
        <v>4121</v>
      </c>
      <c r="S203" s="656">
        <f t="shared" si="206"/>
        <v>0</v>
      </c>
      <c r="T203" s="673" t="str">
        <f>+VLOOKUP($L203,Data_Validation!$A:$D,1,0)</f>
        <v>4121</v>
      </c>
      <c r="U203" s="658" t="str">
        <f>+VLOOKUP($L203,Data_Validation!$A:$D,3,0)</f>
        <v>Véhicules neufs</v>
      </c>
      <c r="V203" s="658" t="str">
        <f>+VLOOKUP($L203,Data_Validation!$A:$D,4,0)</f>
        <v>Camions détail</v>
      </c>
      <c r="W203" s="658" t="str">
        <f>+VLOOKUP($L203,Data_Validation!$A:$E,5,0)</f>
        <v>$</v>
      </c>
      <c r="X203" s="658" t="str">
        <f>+VLOOKUP($L203,Data_Validation!$A:$F,6,0)</f>
        <v>oui</v>
      </c>
    </row>
    <row r="204" spans="1:24" ht="15" customHeight="1">
      <c r="A204" s="1055" t="s">
        <v>988</v>
      </c>
      <c r="B204" s="1055" t="s">
        <v>989</v>
      </c>
      <c r="C204" s="1057">
        <v>-745869.72</v>
      </c>
      <c r="D204" s="1057">
        <v>0</v>
      </c>
      <c r="E204" s="1057">
        <v>-745869.72</v>
      </c>
      <c r="F204" s="1055" t="s">
        <v>965</v>
      </c>
      <c r="G204" s="1055" t="s">
        <v>989</v>
      </c>
      <c r="H204" s="653"/>
      <c r="I204" s="653"/>
      <c r="J204" s="653"/>
      <c r="K204" s="653"/>
      <c r="L204" s="655" t="str">
        <f t="shared" si="197"/>
        <v>4127</v>
      </c>
      <c r="M204" s="656" t="str">
        <f t="shared" si="0"/>
        <v>VTE - GOLF GTI</v>
      </c>
      <c r="N204" s="657">
        <f>+IF(OR($Q204=Parametres!$G$2,$Q204=Parametres!$G$3),I204,C204)</f>
        <v>-745869.72</v>
      </c>
      <c r="O204" s="657">
        <f>+IF(OR($Q204=Parametres!$G$2,$Q204=Parametres!$G$3),J204,D204)</f>
        <v>0</v>
      </c>
      <c r="P204" s="657">
        <f>+IF(OR($Q204=Parametres!$G$2,$Q204=Parametres!$G$3),K204,E204)</f>
        <v>-745869.72</v>
      </c>
      <c r="Q204" s="656" t="str">
        <f t="shared" ref="Q204:S204" si="207">+F204</f>
        <v>5-Ventes</v>
      </c>
      <c r="R204" s="655" t="str">
        <f t="shared" si="207"/>
        <v>4127</v>
      </c>
      <c r="S204" s="656">
        <f t="shared" si="207"/>
        <v>0</v>
      </c>
      <c r="T204" s="658" t="str">
        <f>+VLOOKUP($L204,Data_Validation!$A:$D,1,0)</f>
        <v>4127</v>
      </c>
      <c r="U204" s="658" t="str">
        <f>+VLOOKUP($L204,Data_Validation!$A:$D,3,0)</f>
        <v>Véhicules neufs</v>
      </c>
      <c r="V204" s="658" t="str">
        <f>+VLOOKUP($L204,Data_Validation!$A:$D,4,0)</f>
        <v>Autos détail</v>
      </c>
      <c r="W204" s="658" t="str">
        <f>+VLOOKUP($L204,Data_Validation!$A:$E,5,0)</f>
        <v>$</v>
      </c>
      <c r="X204" s="658" t="str">
        <f>+VLOOKUP($L204,Data_Validation!$A:$F,6,0)</f>
        <v>Oui</v>
      </c>
    </row>
    <row r="205" spans="1:24" ht="15" customHeight="1">
      <c r="A205" s="1055" t="s">
        <v>992</v>
      </c>
      <c r="B205" s="1055" t="s">
        <v>993</v>
      </c>
      <c r="C205" s="1057">
        <v>-7675601.3700000001</v>
      </c>
      <c r="D205" s="1057">
        <v>-1052891.29</v>
      </c>
      <c r="E205" s="1057">
        <v>-8728492.6600000001</v>
      </c>
      <c r="F205" s="1055" t="s">
        <v>965</v>
      </c>
      <c r="G205" s="1055" t="s">
        <v>993</v>
      </c>
      <c r="H205" s="1034"/>
      <c r="I205" s="1035"/>
      <c r="J205" s="1035"/>
      <c r="K205" s="1035"/>
      <c r="L205" s="655" t="str">
        <f t="shared" si="197"/>
        <v>4131</v>
      </c>
      <c r="M205" s="656" t="str">
        <f t="shared" si="0"/>
        <v>VTE - TIGUAN LWB</v>
      </c>
      <c r="N205" s="657">
        <f>+IF(OR($Q205=Parametres!$G$2,$Q205=Parametres!$G$3),I205,C205)</f>
        <v>-7675601.3700000001</v>
      </c>
      <c r="O205" s="657">
        <f>+IF(OR($Q205=Parametres!$G$2,$Q205=Parametres!$G$3),J205,D205)</f>
        <v>-1052891.29</v>
      </c>
      <c r="P205" s="657">
        <f>+IF(OR($Q205=Parametres!$G$2,$Q205=Parametres!$G$3),K205,E205)</f>
        <v>-8728492.6600000001</v>
      </c>
      <c r="Q205" s="656" t="str">
        <f t="shared" ref="Q205:S205" si="208">+F205</f>
        <v>5-Ventes</v>
      </c>
      <c r="R205" s="655" t="str">
        <f t="shared" si="208"/>
        <v>4131</v>
      </c>
      <c r="S205" s="656">
        <f t="shared" si="208"/>
        <v>0</v>
      </c>
      <c r="T205" s="658" t="str">
        <f>+VLOOKUP($L205,Data_Validation!$A:$D,1,0)</f>
        <v>4131</v>
      </c>
      <c r="U205" s="658" t="str">
        <f>+VLOOKUP($L205,Data_Validation!$A:$D,3,0)</f>
        <v>Véhicules neufs</v>
      </c>
      <c r="V205" s="658" t="str">
        <f>+VLOOKUP($L205,Data_Validation!$A:$D,4,0)</f>
        <v>Camions détail</v>
      </c>
      <c r="W205" s="658" t="str">
        <f>+VLOOKUP($L205,Data_Validation!$A:$E,5,0)</f>
        <v>$</v>
      </c>
      <c r="X205" s="658" t="str">
        <f>+VLOOKUP($L205,Data_Validation!$A:$F,6,0)</f>
        <v>Oui</v>
      </c>
    </row>
    <row r="206" spans="1:24" ht="15.75" customHeight="1">
      <c r="A206" s="1055" t="s">
        <v>996</v>
      </c>
      <c r="B206" s="1055" t="s">
        <v>997</v>
      </c>
      <c r="C206" s="1057">
        <v>-648565.75</v>
      </c>
      <c r="D206" s="1057">
        <v>0</v>
      </c>
      <c r="E206" s="1057">
        <v>-648565.75</v>
      </c>
      <c r="F206" s="1055" t="s">
        <v>965</v>
      </c>
      <c r="G206" s="1055" t="s">
        <v>997</v>
      </c>
      <c r="H206" s="653"/>
      <c r="I206" s="653"/>
      <c r="J206" s="653"/>
      <c r="K206" s="653"/>
      <c r="L206" s="655" t="str">
        <f t="shared" si="197"/>
        <v>4137</v>
      </c>
      <c r="M206" s="656" t="str">
        <f t="shared" si="0"/>
        <v>VTE - VW-FLOTTE/VENTES ENTR/EMPLOYE/VEH DEMON</v>
      </c>
      <c r="N206" s="657">
        <f>+IF(OR($Q206=Parametres!$G$2,$Q206=Parametres!$G$3),I206,C206)</f>
        <v>-648565.75</v>
      </c>
      <c r="O206" s="657">
        <f>+IF(OR($Q206=Parametres!$G$2,$Q206=Parametres!$G$3),J206,D206)</f>
        <v>0</v>
      </c>
      <c r="P206" s="657">
        <f>+IF(OR($Q206=Parametres!$G$2,$Q206=Parametres!$G$3),K206,E206)</f>
        <v>-648565.75</v>
      </c>
      <c r="Q206" s="656" t="str">
        <f t="shared" ref="Q206:S206" si="209">+F206</f>
        <v>5-Ventes</v>
      </c>
      <c r="R206" s="655" t="str">
        <f t="shared" si="209"/>
        <v>4137</v>
      </c>
      <c r="S206" s="656">
        <f t="shared" si="209"/>
        <v>0</v>
      </c>
      <c r="T206" s="658" t="str">
        <f>+VLOOKUP($L206,Data_Validation!$A:$D,1,0)</f>
        <v>4137</v>
      </c>
      <c r="U206" s="658" t="str">
        <f>+VLOOKUP($L206,Data_Validation!$A:$D,3,0)</f>
        <v>Véhicules neufs</v>
      </c>
      <c r="V206" s="658" t="str">
        <f>+VLOOKUP($L206,Data_Validation!$A:$D,4,0)</f>
        <v>Flottes</v>
      </c>
      <c r="W206" s="658" t="str">
        <f>+VLOOKUP($L206,Data_Validation!$A:$E,5,0)</f>
        <v>$</v>
      </c>
      <c r="X206" s="658" t="str">
        <f>+VLOOKUP($L206,Data_Validation!$A:$F,6,0)</f>
        <v>Oui</v>
      </c>
    </row>
    <row r="207" spans="1:24" ht="15" customHeight="1">
      <c r="A207" s="1055" t="s">
        <v>1000</v>
      </c>
      <c r="B207" s="1055" t="s">
        <v>1001</v>
      </c>
      <c r="C207" s="1057">
        <v>-1634702.63</v>
      </c>
      <c r="D207" s="1057">
        <v>-100957.09</v>
      </c>
      <c r="E207" s="1057">
        <v>-1735659.72</v>
      </c>
      <c r="F207" s="1055" t="s">
        <v>965</v>
      </c>
      <c r="G207" s="1055" t="s">
        <v>1001</v>
      </c>
      <c r="H207" s="1034"/>
      <c r="I207" s="1035"/>
      <c r="J207" s="1035"/>
      <c r="K207" s="1035"/>
      <c r="L207" s="655" t="str">
        <f t="shared" si="197"/>
        <v>4139</v>
      </c>
      <c r="M207" s="656" t="str">
        <f t="shared" si="0"/>
        <v>VTE - VW FLOTTE/VENTE ENTR/EMPLOYE/VEH DEMONS</v>
      </c>
      <c r="N207" s="657">
        <f>+IF(OR($Q207=Parametres!$G$2,$Q207=Parametres!$G$3),I207,C207)</f>
        <v>-1634702.63</v>
      </c>
      <c r="O207" s="657">
        <f>+IF(OR($Q207=Parametres!$G$2,$Q207=Parametres!$G$3),J207,D207)</f>
        <v>-100957.09</v>
      </c>
      <c r="P207" s="657">
        <f>+IF(OR($Q207=Parametres!$G$2,$Q207=Parametres!$G$3),K207,E207)</f>
        <v>-1735659.72</v>
      </c>
      <c r="Q207" s="656" t="str">
        <f t="shared" ref="Q207:S207" si="210">+F207</f>
        <v>5-Ventes</v>
      </c>
      <c r="R207" s="655" t="str">
        <f t="shared" si="210"/>
        <v>4139</v>
      </c>
      <c r="S207" s="656">
        <f t="shared" si="210"/>
        <v>0</v>
      </c>
      <c r="T207" s="658" t="str">
        <f>+VLOOKUP($L207,Data_Validation!$A:$D,1,0)</f>
        <v>4139</v>
      </c>
      <c r="U207" s="658" t="str">
        <f>+VLOOKUP($L207,Data_Validation!$A:$D,3,0)</f>
        <v>Véhicules neufs</v>
      </c>
      <c r="V207" s="658" t="str">
        <f>+VLOOKUP($L207,Data_Validation!$A:$D,4,0)</f>
        <v>Ex-Démos et courtoisies</v>
      </c>
      <c r="W207" s="658" t="str">
        <f>+VLOOKUP($L207,Data_Validation!$A:$E,5,0)</f>
        <v>$</v>
      </c>
      <c r="X207" s="658" t="str">
        <f>+VLOOKUP($L207,Data_Validation!$A:$F,6,0)</f>
        <v>Oui</v>
      </c>
    </row>
    <row r="208" spans="1:24" ht="15" customHeight="1">
      <c r="A208" s="1055" t="s">
        <v>1004</v>
      </c>
      <c r="B208" s="1055" t="s">
        <v>3385</v>
      </c>
      <c r="C208" s="1057">
        <v>-696802.81</v>
      </c>
      <c r="D208" s="1057">
        <v>0</v>
      </c>
      <c r="E208" s="1057">
        <v>-696802.81</v>
      </c>
      <c r="F208" s="1055" t="s">
        <v>965</v>
      </c>
      <c r="G208" s="1055" t="s">
        <v>1005</v>
      </c>
      <c r="H208" s="653"/>
      <c r="I208" s="653"/>
      <c r="J208" s="653"/>
      <c r="K208" s="672"/>
      <c r="L208" s="655" t="str">
        <f t="shared" si="197"/>
        <v>4144</v>
      </c>
      <c r="M208" s="656" t="str">
        <f t="shared" si="0"/>
        <v>VTES -JETTA GLI</v>
      </c>
      <c r="N208" s="657">
        <f>+IF(OR($Q208=Parametres!$G$2,$Q208=Parametres!$G$3),I208,C208)</f>
        <v>-696802.81</v>
      </c>
      <c r="O208" s="657">
        <f>+IF(OR($Q208=Parametres!$G$2,$Q208=Parametres!$G$3),J208,D208)</f>
        <v>0</v>
      </c>
      <c r="P208" s="657">
        <f>+IF(OR($Q208=Parametres!$G$2,$Q208=Parametres!$G$3),K208,E208)</f>
        <v>-696802.81</v>
      </c>
      <c r="Q208" s="656" t="str">
        <f t="shared" ref="Q208:S208" si="211">+F208</f>
        <v>5-Ventes</v>
      </c>
      <c r="R208" s="655" t="str">
        <f t="shared" si="211"/>
        <v>414</v>
      </c>
      <c r="S208" s="656">
        <f t="shared" si="211"/>
        <v>0</v>
      </c>
      <c r="T208" s="658" t="str">
        <f>+VLOOKUP($L208,Data_Validation!$A:$D,1,0)</f>
        <v>4144</v>
      </c>
      <c r="U208" s="658" t="str">
        <f>+VLOOKUP($L208,Data_Validation!$A:$D,3,0)</f>
        <v>Véhicules neufs</v>
      </c>
      <c r="V208" s="658" t="str">
        <f>+VLOOKUP($L208,Data_Validation!$A:$D,4,0)</f>
        <v>Autos détail</v>
      </c>
      <c r="W208" s="658" t="str">
        <f>+VLOOKUP($L208,Data_Validation!$A:$E,5,0)</f>
        <v>$</v>
      </c>
      <c r="X208" s="658" t="str">
        <f>+VLOOKUP($L208,Data_Validation!$A:$F,6,0)</f>
        <v>Oui</v>
      </c>
    </row>
    <row r="209" spans="1:24" ht="15" customHeight="1">
      <c r="A209" s="1055" t="s">
        <v>1008</v>
      </c>
      <c r="B209" s="1055" t="s">
        <v>1009</v>
      </c>
      <c r="C209" s="1057">
        <v>-9637209.8800000008</v>
      </c>
      <c r="D209" s="1057">
        <v>-594776</v>
      </c>
      <c r="E209" s="1057">
        <v>-10231985.880000001</v>
      </c>
      <c r="F209" s="1055" t="s">
        <v>965</v>
      </c>
      <c r="G209" s="1055" t="s">
        <v>1009</v>
      </c>
      <c r="H209" s="1034"/>
      <c r="I209" s="1035"/>
      <c r="J209" s="1035"/>
      <c r="K209" s="1035"/>
      <c r="L209" s="655" t="str">
        <f t="shared" si="197"/>
        <v>4201</v>
      </c>
      <c r="M209" s="656" t="str">
        <f t="shared" si="0"/>
        <v>VTE - VEH.USAGE VW DETAIL CERTIFIE</v>
      </c>
      <c r="N209" s="657">
        <f>+IF(OR($Q209=Parametres!$G$2,$Q209=Parametres!$G$3),I209,C209)</f>
        <v>-9637209.8800000008</v>
      </c>
      <c r="O209" s="657">
        <f>+IF(OR($Q209=Parametres!$G$2,$Q209=Parametres!$G$3),J209,D209)</f>
        <v>-594776</v>
      </c>
      <c r="P209" s="657">
        <f>+IF(OR($Q209=Parametres!$G$2,$Q209=Parametres!$G$3),K209,E209)</f>
        <v>-10231985.880000001</v>
      </c>
      <c r="Q209" s="656" t="str">
        <f t="shared" ref="Q209:S209" si="212">+F209</f>
        <v>5-Ventes</v>
      </c>
      <c r="R209" s="655" t="str">
        <f t="shared" si="212"/>
        <v>4201</v>
      </c>
      <c r="S209" s="656">
        <f t="shared" si="212"/>
        <v>0</v>
      </c>
      <c r="T209" s="658" t="str">
        <f>+VLOOKUP($L209,Data_Validation!$A:$D,1,0)</f>
        <v>4201</v>
      </c>
      <c r="U209" s="658" t="str">
        <f>+VLOOKUP($L209,Data_Validation!$A:$D,3,0)</f>
        <v>Véhicules usagés</v>
      </c>
      <c r="V209" s="658" t="str">
        <f>+VLOOKUP($L209,Data_Validation!$A:$D,4,0)</f>
        <v>Certifié</v>
      </c>
      <c r="W209" s="658" t="str">
        <f>+VLOOKUP($L209,Data_Validation!$A:$E,5,0)</f>
        <v>$</v>
      </c>
      <c r="X209" s="658" t="str">
        <f>+VLOOKUP($L209,Data_Validation!$A:$F,6,0)</f>
        <v>Oui</v>
      </c>
    </row>
    <row r="210" spans="1:24" ht="15" customHeight="1">
      <c r="A210" s="1055" t="s">
        <v>1012</v>
      </c>
      <c r="B210" s="1055" t="s">
        <v>1013</v>
      </c>
      <c r="C210" s="1057">
        <v>0</v>
      </c>
      <c r="D210" s="1057">
        <v>-22197</v>
      </c>
      <c r="E210" s="1057">
        <v>-22197</v>
      </c>
      <c r="F210" s="1055" t="s">
        <v>965</v>
      </c>
      <c r="G210" s="1055" t="s">
        <v>1013</v>
      </c>
      <c r="H210" s="1034"/>
      <c r="I210" s="1036"/>
      <c r="J210" s="1034"/>
      <c r="K210" s="1036"/>
      <c r="L210" s="655" t="str">
        <f t="shared" si="197"/>
        <v>4211</v>
      </c>
      <c r="M210" s="656" t="str">
        <f t="shared" si="0"/>
        <v>VTE - VW USAGES DETAIL</v>
      </c>
      <c r="N210" s="657">
        <f>+IF(OR($Q210=Parametres!$G$2,$Q210=Parametres!$G$3),I210,C210)</f>
        <v>0</v>
      </c>
      <c r="O210" s="657">
        <f>+IF(OR($Q210=Parametres!$G$2,$Q210=Parametres!$G$3),J210,D210)</f>
        <v>-22197</v>
      </c>
      <c r="P210" s="657">
        <f>+IF(OR($Q210=Parametres!$G$2,$Q210=Parametres!$G$3),K210,E210)</f>
        <v>-22197</v>
      </c>
      <c r="Q210" s="656" t="str">
        <f t="shared" ref="Q210:S210" si="213">+F210</f>
        <v>5-Ventes</v>
      </c>
      <c r="R210" s="655" t="str">
        <f t="shared" si="213"/>
        <v>4211</v>
      </c>
      <c r="S210" s="656">
        <f t="shared" si="213"/>
        <v>0</v>
      </c>
      <c r="T210" s="658" t="str">
        <f>+VLOOKUP($L210,Data_Validation!$A:$D,1,0)</f>
        <v>4211</v>
      </c>
      <c r="U210" s="658" t="str">
        <f>+VLOOKUP($L210,Data_Validation!$A:$D,3,0)</f>
        <v>Véhicules usagés</v>
      </c>
      <c r="V210" s="658" t="str">
        <f>+VLOOKUP($L210,Data_Validation!$A:$D,4,0)</f>
        <v>Non Certifié</v>
      </c>
      <c r="W210" s="658" t="str">
        <f>+VLOOKUP($L210,Data_Validation!$A:$E,5,0)</f>
        <v>$</v>
      </c>
      <c r="X210" s="658" t="str">
        <f>+VLOOKUP($L210,Data_Validation!$A:$F,6,0)</f>
        <v>Oui</v>
      </c>
    </row>
    <row r="211" spans="1:24" ht="15.75" customHeight="1">
      <c r="A211" s="1055" t="s">
        <v>1016</v>
      </c>
      <c r="B211" s="1055" t="s">
        <v>1935</v>
      </c>
      <c r="C211" s="1057">
        <v>-184645</v>
      </c>
      <c r="D211" s="1057">
        <v>0</v>
      </c>
      <c r="E211" s="1057">
        <v>-184645</v>
      </c>
      <c r="F211" s="1055" t="s">
        <v>965</v>
      </c>
      <c r="G211" s="1055" t="s">
        <v>1017</v>
      </c>
      <c r="H211" s="653"/>
      <c r="I211" s="654"/>
      <c r="J211" s="654"/>
      <c r="K211" s="654"/>
      <c r="L211" s="655" t="str">
        <f t="shared" si="197"/>
        <v>4285</v>
      </c>
      <c r="M211" s="656" t="str">
        <f t="shared" si="0"/>
        <v>VEH. D'OCC. AUTRE DETAIL</v>
      </c>
      <c r="N211" s="657">
        <f>+IF(OR($Q211=Parametres!$G$2,$Q211=Parametres!$G$3),I211,C211)</f>
        <v>-184645</v>
      </c>
      <c r="O211" s="657">
        <f>+IF(OR($Q211=Parametres!$G$2,$Q211=Parametres!$G$3),J211,D211)</f>
        <v>0</v>
      </c>
      <c r="P211" s="657">
        <f>+IF(OR($Q211=Parametres!$G$2,$Q211=Parametres!$G$3),K211,E211)</f>
        <v>-184645</v>
      </c>
      <c r="Q211" s="656" t="str">
        <f t="shared" ref="Q211:S211" si="214">+F211</f>
        <v>5-Ventes</v>
      </c>
      <c r="R211" s="655" t="str">
        <f t="shared" si="214"/>
        <v>4261</v>
      </c>
      <c r="S211" s="656">
        <f t="shared" si="214"/>
        <v>0</v>
      </c>
      <c r="T211" s="658" t="str">
        <f>+VLOOKUP($L211,Data_Validation!$A:$D,1,0)</f>
        <v>4285</v>
      </c>
      <c r="U211" s="658" t="str">
        <f>+VLOOKUP($L211,Data_Validation!$A:$D,3,0)</f>
        <v>Véhicules usagés</v>
      </c>
      <c r="V211" s="658" t="str">
        <f>+VLOOKUP($L211,Data_Validation!$A:$D,4,0)</f>
        <v>Non Certifié</v>
      </c>
      <c r="W211" s="658" t="str">
        <f>+VLOOKUP($L211,Data_Validation!$A:$E,5,0)</f>
        <v>$</v>
      </c>
      <c r="X211" s="658" t="str">
        <f>+VLOOKUP($L211,Data_Validation!$A:$F,6,0)</f>
        <v>Oui</v>
      </c>
    </row>
    <row r="212" spans="1:24" ht="15" customHeight="1">
      <c r="A212" s="1055" t="s">
        <v>1020</v>
      </c>
      <c r="B212" s="1055" t="s">
        <v>1944</v>
      </c>
      <c r="C212" s="1057">
        <v>-5759812</v>
      </c>
      <c r="D212" s="1057">
        <v>-557925</v>
      </c>
      <c r="E212" s="1057">
        <v>-6317737</v>
      </c>
      <c r="F212" s="1055" t="s">
        <v>965</v>
      </c>
      <c r="G212" s="1055" t="s">
        <v>1021</v>
      </c>
      <c r="H212" s="1034"/>
      <c r="I212" s="1034"/>
      <c r="J212" s="1034"/>
      <c r="K212" s="1034"/>
      <c r="L212" s="655" t="str">
        <f t="shared" si="197"/>
        <v>4291</v>
      </c>
      <c r="M212" s="656" t="str">
        <f t="shared" si="0"/>
        <v>VEH. D'OCC. AU GROS</v>
      </c>
      <c r="N212" s="657">
        <f>+IF(OR($Q212=Parametres!$G$2,$Q212=Parametres!$G$3),I212,C212)</f>
        <v>-5759812</v>
      </c>
      <c r="O212" s="657">
        <f>+IF(OR($Q212=Parametres!$G$2,$Q212=Parametres!$G$3),J212,D212)</f>
        <v>-557925</v>
      </c>
      <c r="P212" s="657">
        <f>+IF(OR($Q212=Parametres!$G$2,$Q212=Parametres!$G$3),K212,E212)</f>
        <v>-6317737</v>
      </c>
      <c r="Q212" s="656" t="str">
        <f t="shared" ref="Q212:S212" si="215">+F212</f>
        <v>5-Ventes</v>
      </c>
      <c r="R212" s="655" t="str">
        <f t="shared" si="215"/>
        <v>4281</v>
      </c>
      <c r="S212" s="656">
        <f t="shared" si="215"/>
        <v>0</v>
      </c>
      <c r="T212" s="658" t="str">
        <f>+VLOOKUP($L212,Data_Validation!$A:$D,1,0)</f>
        <v>4291</v>
      </c>
      <c r="U212" s="658" t="str">
        <f>+VLOOKUP($L212,Data_Validation!$A:$D,3,0)</f>
        <v>Véhicules usagés</v>
      </c>
      <c r="V212" s="658" t="str">
        <f>+VLOOKUP($L212,Data_Validation!$A:$D,4,0)</f>
        <v>Ventes au Gros</v>
      </c>
      <c r="W212" s="658" t="str">
        <f>+VLOOKUP($L212,Data_Validation!$A:$E,5,0)</f>
        <v>$</v>
      </c>
      <c r="X212" s="658" t="str">
        <f>+VLOOKUP($L212,Data_Validation!$A:$F,6,0)</f>
        <v>Oui</v>
      </c>
    </row>
    <row r="213" spans="1:24" ht="15" customHeight="1">
      <c r="A213" s="1055" t="s">
        <v>3675</v>
      </c>
      <c r="B213" s="1055" t="s">
        <v>1025</v>
      </c>
      <c r="C213" s="1057">
        <v>-1507998.11</v>
      </c>
      <c r="D213" s="1057">
        <v>-117635.87</v>
      </c>
      <c r="E213" s="1057">
        <v>-1625633.98</v>
      </c>
      <c r="F213" s="1055" t="s">
        <v>965</v>
      </c>
      <c r="G213" s="1055" t="s">
        <v>1025</v>
      </c>
      <c r="H213" s="653"/>
      <c r="I213" s="654"/>
      <c r="J213" s="654"/>
      <c r="K213" s="654"/>
      <c r="L213" s="655" t="str">
        <f t="shared" si="197"/>
        <v>4401</v>
      </c>
      <c r="M213" s="656" t="str">
        <f t="shared" si="0"/>
        <v>MAIN-D'OEUVRE - CLIENT VW - MCI</v>
      </c>
      <c r="N213" s="657">
        <f>+IF(OR($Q213=Parametres!$G$2,$Q213=Parametres!$G$3),I213,C213)</f>
        <v>-1507998.11</v>
      </c>
      <c r="O213" s="657">
        <f>+IF(OR($Q213=Parametres!$G$2,$Q213=Parametres!$G$3),J213,D213)</f>
        <v>-117635.87</v>
      </c>
      <c r="P213" s="657">
        <f>+IF(OR($Q213=Parametres!$G$2,$Q213=Parametres!$G$3),K213,E213)</f>
        <v>-1625633.98</v>
      </c>
      <c r="Q213" s="656" t="str">
        <f t="shared" ref="Q213:S213" si="216">+F213</f>
        <v>5-Ventes</v>
      </c>
      <c r="R213" s="655" t="str">
        <f t="shared" si="216"/>
        <v>4401</v>
      </c>
      <c r="S213" s="656">
        <f t="shared" si="216"/>
        <v>0</v>
      </c>
      <c r="T213" s="658" t="str">
        <f>+VLOOKUP($L213,Data_Validation!$A:$D,1,0)</f>
        <v>4401</v>
      </c>
      <c r="U213" s="658" t="str">
        <f>+VLOOKUP($L213,Data_Validation!$A:$D,3,0)</f>
        <v>Service</v>
      </c>
      <c r="V213" s="658" t="str">
        <f>+VLOOKUP($L213,Data_Validation!$A:$D,4,0)</f>
        <v>M/O Client</v>
      </c>
      <c r="W213" s="658" t="str">
        <f>+VLOOKUP($L213,Data_Validation!$A:$E,5,0)</f>
        <v>$</v>
      </c>
      <c r="X213" s="658" t="str">
        <f>+VLOOKUP($L213,Data_Validation!$A:$F,6,0)</f>
        <v>Oui</v>
      </c>
    </row>
    <row r="214" spans="1:24" ht="15" customHeight="1">
      <c r="A214" s="1055" t="s">
        <v>1027</v>
      </c>
      <c r="B214" s="1055" t="s">
        <v>1028</v>
      </c>
      <c r="C214" s="1057">
        <v>-8450.01</v>
      </c>
      <c r="D214" s="1057">
        <v>-14.55</v>
      </c>
      <c r="E214" s="1057">
        <v>-8464.56</v>
      </c>
      <c r="F214" s="1055" t="s">
        <v>965</v>
      </c>
      <c r="G214" s="1055" t="s">
        <v>1028</v>
      </c>
      <c r="H214" s="1034"/>
      <c r="I214" s="1034"/>
      <c r="J214" s="1034"/>
      <c r="K214" s="1034"/>
      <c r="L214" s="655" t="str">
        <f t="shared" si="197"/>
        <v>4402</v>
      </c>
      <c r="M214" s="656" t="str">
        <f t="shared" si="0"/>
        <v>VTE - M.O. ESTHETIQUE CLIENT</v>
      </c>
      <c r="N214" s="657">
        <f>+IF(OR($Q214=Parametres!$G$2,$Q214=Parametres!$G$3),I214,C214)</f>
        <v>-8450.01</v>
      </c>
      <c r="O214" s="657">
        <f>+IF(OR($Q214=Parametres!$G$2,$Q214=Parametres!$G$3),J214,D214)</f>
        <v>-14.55</v>
      </c>
      <c r="P214" s="657">
        <f>+IF(OR($Q214=Parametres!$G$2,$Q214=Parametres!$G$3),K214,E214)</f>
        <v>-8464.56</v>
      </c>
      <c r="Q214" s="656" t="str">
        <f t="shared" ref="Q214:S214" si="217">+F214</f>
        <v>5-Ventes</v>
      </c>
      <c r="R214" s="655" t="str">
        <f t="shared" si="217"/>
        <v>4402</v>
      </c>
      <c r="S214" s="656">
        <f t="shared" si="217"/>
        <v>0</v>
      </c>
      <c r="T214" s="658" t="str">
        <f>+VLOOKUP($L214,Data_Validation!$A:$D,1,0)</f>
        <v>4402</v>
      </c>
      <c r="U214" s="658" t="str">
        <f>+VLOOKUP($L214,Data_Validation!$A:$D,3,0)</f>
        <v>Service</v>
      </c>
      <c r="V214" s="658" t="str">
        <f>+VLOOKUP($L214,Data_Validation!$A:$D,4,0)</f>
        <v>M/O Esthétique</v>
      </c>
      <c r="W214" s="658" t="str">
        <f>+VLOOKUP($L214,Data_Validation!$A:$E,5,0)</f>
        <v>$</v>
      </c>
      <c r="X214" s="658" t="str">
        <f>+VLOOKUP($L214,Data_Validation!$A:$F,6,0)</f>
        <v>Oui</v>
      </c>
    </row>
    <row r="215" spans="1:24" ht="15.75" customHeight="1">
      <c r="A215" s="1055" t="s">
        <v>3676</v>
      </c>
      <c r="B215" s="1055" t="s">
        <v>1030</v>
      </c>
      <c r="C215" s="1057">
        <v>-449305.62</v>
      </c>
      <c r="D215" s="1057">
        <v>-32607.37</v>
      </c>
      <c r="E215" s="1057">
        <v>-481912.99</v>
      </c>
      <c r="F215" s="1055" t="s">
        <v>965</v>
      </c>
      <c r="G215" s="1055" t="s">
        <v>1030</v>
      </c>
      <c r="H215" s="1034"/>
      <c r="I215" s="1035"/>
      <c r="J215" s="1035"/>
      <c r="K215" s="1035"/>
      <c r="L215" s="655" t="str">
        <f t="shared" si="197"/>
        <v>4403</v>
      </c>
      <c r="M215" s="656" t="str">
        <f t="shared" si="0"/>
        <v>MAIN-D'OEUVRE - GARANTIE VW - MCI</v>
      </c>
      <c r="N215" s="657">
        <f>+IF(OR($Q215=Parametres!$G$2,$Q215=Parametres!$G$3),I215,C215)</f>
        <v>-449305.62</v>
      </c>
      <c r="O215" s="657">
        <f>+IF(OR($Q215=Parametres!$G$2,$Q215=Parametres!$G$3),J215,D215)</f>
        <v>-32607.37</v>
      </c>
      <c r="P215" s="657">
        <f>+IF(OR($Q215=Parametres!$G$2,$Q215=Parametres!$G$3),K215,E215)</f>
        <v>-481912.99</v>
      </c>
      <c r="Q215" s="656" t="str">
        <f t="shared" ref="Q215:S215" si="218">+F215</f>
        <v>5-Ventes</v>
      </c>
      <c r="R215" s="655" t="str">
        <f t="shared" si="218"/>
        <v>4403</v>
      </c>
      <c r="S215" s="656">
        <f t="shared" si="218"/>
        <v>0</v>
      </c>
      <c r="T215" s="658" t="str">
        <f>+VLOOKUP($L215,Data_Validation!$A:$D,1,0)</f>
        <v>4403</v>
      </c>
      <c r="U215" s="658" t="str">
        <f>+VLOOKUP($L215,Data_Validation!$A:$D,3,0)</f>
        <v>Service</v>
      </c>
      <c r="V215" s="658" t="str">
        <f>+VLOOKUP($L215,Data_Validation!$A:$D,4,0)</f>
        <v>M/O Garantie</v>
      </c>
      <c r="W215" s="658" t="str">
        <f>+VLOOKUP($L215,Data_Validation!$A:$E,5,0)</f>
        <v>$</v>
      </c>
      <c r="X215" s="658" t="str">
        <f>+VLOOKUP($L215,Data_Validation!$A:$F,6,0)</f>
        <v>Oui</v>
      </c>
    </row>
    <row r="216" spans="1:24" ht="15" customHeight="1">
      <c r="A216" s="1055" t="s">
        <v>3677</v>
      </c>
      <c r="B216" s="1055" t="s">
        <v>1033</v>
      </c>
      <c r="C216" s="1057">
        <v>-522640.16</v>
      </c>
      <c r="D216" s="1057">
        <v>-42675.5</v>
      </c>
      <c r="E216" s="1057">
        <v>-565315.66</v>
      </c>
      <c r="F216" s="1055" t="s">
        <v>965</v>
      </c>
      <c r="G216" s="1055" t="s">
        <v>1033</v>
      </c>
      <c r="H216" s="653"/>
      <c r="I216" s="672"/>
      <c r="J216" s="653"/>
      <c r="K216" s="672"/>
      <c r="L216" s="655" t="str">
        <f t="shared" si="197"/>
        <v>4405</v>
      </c>
      <c r="M216" s="656" t="str">
        <f t="shared" si="0"/>
        <v>MAIN-D'OEUVRE - INTERNE VW - MCI</v>
      </c>
      <c r="N216" s="657">
        <f>+IF(OR($Q216=Parametres!$G$2,$Q216=Parametres!$G$3),I216,C216)</f>
        <v>-522640.16</v>
      </c>
      <c r="O216" s="657">
        <f>+IF(OR($Q216=Parametres!$G$2,$Q216=Parametres!$G$3),J216,D216)</f>
        <v>-42675.5</v>
      </c>
      <c r="P216" s="657">
        <f>+IF(OR($Q216=Parametres!$G$2,$Q216=Parametres!$G$3),K216,E216)</f>
        <v>-565315.66</v>
      </c>
      <c r="Q216" s="656" t="str">
        <f t="shared" ref="Q216:S216" si="219">+F216</f>
        <v>5-Ventes</v>
      </c>
      <c r="R216" s="655" t="str">
        <f t="shared" si="219"/>
        <v>4405</v>
      </c>
      <c r="S216" s="656">
        <f t="shared" si="219"/>
        <v>0</v>
      </c>
      <c r="T216" s="658" t="str">
        <f>+VLOOKUP($L216,Data_Validation!$A:$D,1,0)</f>
        <v>4405</v>
      </c>
      <c r="U216" s="658" t="str">
        <f>+VLOOKUP($L216,Data_Validation!$A:$D,3,0)</f>
        <v>Service</v>
      </c>
      <c r="V216" s="658" t="str">
        <f>+VLOOKUP($L216,Data_Validation!$A:$D,4,0)</f>
        <v>M/O Interne</v>
      </c>
      <c r="W216" s="658" t="str">
        <f>+VLOOKUP($L216,Data_Validation!$A:$E,5,0)</f>
        <v>$</v>
      </c>
      <c r="X216" s="658" t="str">
        <f>+VLOOKUP($L216,Data_Validation!$A:$F,6,0)</f>
        <v>Oui</v>
      </c>
    </row>
    <row r="217" spans="1:24" ht="15" customHeight="1">
      <c r="A217" s="1055" t="s">
        <v>1035</v>
      </c>
      <c r="B217" s="1055" t="s">
        <v>1976</v>
      </c>
      <c r="C217" s="1057">
        <v>-270764.46999999997</v>
      </c>
      <c r="D217" s="1057">
        <v>-18177.72</v>
      </c>
      <c r="E217" s="1057">
        <v>-288942.19</v>
      </c>
      <c r="F217" s="1055" t="s">
        <v>965</v>
      </c>
      <c r="G217" s="1055" t="s">
        <v>1036</v>
      </c>
      <c r="H217" s="1034"/>
      <c r="I217" s="1035"/>
      <c r="J217" s="1035"/>
      <c r="K217" s="1035"/>
      <c r="L217" s="655" t="str">
        <f t="shared" si="197"/>
        <v>4451</v>
      </c>
      <c r="M217" s="656" t="str">
        <f t="shared" si="0"/>
        <v>CARBURANT/HUILE/GRAISSE</v>
      </c>
      <c r="N217" s="657">
        <f>+IF(OR($Q217=Parametres!$G$2,$Q217=Parametres!$G$3),I217,C217)</f>
        <v>-270764.46999999997</v>
      </c>
      <c r="O217" s="657">
        <f>+IF(OR($Q217=Parametres!$G$2,$Q217=Parametres!$G$3),J217,D217)</f>
        <v>-18177.72</v>
      </c>
      <c r="P217" s="657">
        <f>+IF(OR($Q217=Parametres!$G$2,$Q217=Parametres!$G$3),K217,E217)</f>
        <v>-288942.19</v>
      </c>
      <c r="Q217" s="656" t="str">
        <f t="shared" ref="Q217:S217" si="220">+F217</f>
        <v>5-Ventes</v>
      </c>
      <c r="R217" s="655" t="str">
        <f t="shared" si="220"/>
        <v>4782</v>
      </c>
      <c r="S217" s="656">
        <f t="shared" si="220"/>
        <v>0</v>
      </c>
      <c r="T217" s="658" t="str">
        <f>+VLOOKUP($L217,Data_Validation!$A:$D,1,0)</f>
        <v>4451</v>
      </c>
      <c r="U217" s="658" t="str">
        <f>+VLOOKUP($L217,Data_Validation!$A:$D,3,0)</f>
        <v>Pièces</v>
      </c>
      <c r="V217" s="658" t="str">
        <f>+VLOOKUP($L217,Data_Validation!$A:$D,4,0)</f>
        <v>Huiles et Graisse</v>
      </c>
      <c r="W217" s="658" t="str">
        <f>+VLOOKUP($L217,Data_Validation!$A:$E,5,0)</f>
        <v>$</v>
      </c>
      <c r="X217" s="658" t="str">
        <f>+VLOOKUP($L217,Data_Validation!$A:$F,6,0)</f>
        <v>Oui</v>
      </c>
    </row>
    <row r="218" spans="1:24" ht="15" customHeight="1">
      <c r="A218" s="1055" t="s">
        <v>1038</v>
      </c>
      <c r="B218" s="1055" t="s">
        <v>1039</v>
      </c>
      <c r="C218" s="1057">
        <v>-20976.89</v>
      </c>
      <c r="D218" s="1057">
        <v>-3116.04</v>
      </c>
      <c r="E218" s="1057">
        <v>-24092.93</v>
      </c>
      <c r="F218" s="1055" t="s">
        <v>965</v>
      </c>
      <c r="G218" s="1055" t="s">
        <v>1039</v>
      </c>
      <c r="H218" s="653"/>
      <c r="I218" s="672"/>
      <c r="J218" s="653"/>
      <c r="K218" s="672"/>
      <c r="L218" s="655" t="str">
        <f t="shared" si="197"/>
        <v>4491</v>
      </c>
      <c r="M218" s="656" t="str">
        <f t="shared" si="0"/>
        <v>REPARATION SOUS-LOC. - GENERAL</v>
      </c>
      <c r="N218" s="657">
        <f>+IF(OR($Q218=Parametres!$G$2,$Q218=Parametres!$G$3),I218,C218)</f>
        <v>-20976.89</v>
      </c>
      <c r="O218" s="657">
        <f>+IF(OR($Q218=Parametres!$G$2,$Q218=Parametres!$G$3),J218,D218)</f>
        <v>-3116.04</v>
      </c>
      <c r="P218" s="657">
        <f>+IF(OR($Q218=Parametres!$G$2,$Q218=Parametres!$G$3),K218,E218)</f>
        <v>-24092.93</v>
      </c>
      <c r="Q218" s="656" t="str">
        <f t="shared" ref="Q218:S218" si="221">+F218</f>
        <v>5-Ventes</v>
      </c>
      <c r="R218" s="655" t="str">
        <f t="shared" si="221"/>
        <v>4491</v>
      </c>
      <c r="S218" s="656">
        <f t="shared" si="221"/>
        <v>0</v>
      </c>
      <c r="T218" s="658" t="str">
        <f>+VLOOKUP($L218,Data_Validation!$A:$D,1,0)</f>
        <v>4491</v>
      </c>
      <c r="U218" s="658" t="str">
        <f>+VLOOKUP($L218,Data_Validation!$A:$D,3,0)</f>
        <v>Service</v>
      </c>
      <c r="V218" s="658" t="str">
        <f>+VLOOKUP($L218,Data_Validation!$A:$D,4,0)</f>
        <v>Sous-traitement</v>
      </c>
      <c r="W218" s="658" t="str">
        <f>+VLOOKUP($L218,Data_Validation!$A:$E,5,0)</f>
        <v>$</v>
      </c>
      <c r="X218" s="658" t="str">
        <f>+VLOOKUP($L218,Data_Validation!$A:$F,6,0)</f>
        <v>Oui</v>
      </c>
    </row>
    <row r="219" spans="1:24" ht="15.75" customHeight="1">
      <c r="A219" s="1055" t="s">
        <v>1041</v>
      </c>
      <c r="B219" s="1055" t="s">
        <v>1042</v>
      </c>
      <c r="C219" s="1057">
        <v>-16378.54</v>
      </c>
      <c r="D219" s="1057">
        <v>-5120.8999999999996</v>
      </c>
      <c r="E219" s="1057">
        <v>-21499.439999999999</v>
      </c>
      <c r="F219" s="1055" t="s">
        <v>965</v>
      </c>
      <c r="G219" s="1055" t="s">
        <v>1042</v>
      </c>
      <c r="H219" s="1034"/>
      <c r="I219" s="1035"/>
      <c r="J219" s="1035"/>
      <c r="K219" s="1035"/>
      <c r="L219" s="655" t="str">
        <f t="shared" si="197"/>
        <v>4493</v>
      </c>
      <c r="M219" s="656" t="str">
        <f t="shared" si="0"/>
        <v>VTE - SOUS-TRAITANCE GARANTIE</v>
      </c>
      <c r="N219" s="657">
        <f>+IF(OR($Q219=Parametres!$G$2,$Q219=Parametres!$G$3),I219,C219)</f>
        <v>-16378.54</v>
      </c>
      <c r="O219" s="657">
        <f>+IF(OR($Q219=Parametres!$G$2,$Q219=Parametres!$G$3),J219,D219)</f>
        <v>-5120.8999999999996</v>
      </c>
      <c r="P219" s="657">
        <f>+IF(OR($Q219=Parametres!$G$2,$Q219=Parametres!$G$3),K219,E219)</f>
        <v>-21499.439999999999</v>
      </c>
      <c r="Q219" s="656" t="str">
        <f t="shared" ref="Q219:S219" si="222">+F219</f>
        <v>5-Ventes</v>
      </c>
      <c r="R219" s="655" t="str">
        <f t="shared" si="222"/>
        <v>4493</v>
      </c>
      <c r="S219" s="656">
        <f t="shared" si="222"/>
        <v>0</v>
      </c>
      <c r="T219" s="658" t="str">
        <f>+VLOOKUP($L219,Data_Validation!$A:$D,1,0)</f>
        <v>4493</v>
      </c>
      <c r="U219" s="658" t="str">
        <f>+VLOOKUP($L219,Data_Validation!$A:$D,3,0)</f>
        <v>Service</v>
      </c>
      <c r="V219" s="658" t="str">
        <f>+VLOOKUP($L219,Data_Validation!$A:$D,4,0)</f>
        <v>Sous-traitement</v>
      </c>
      <c r="W219" s="658" t="str">
        <f>+VLOOKUP($L219,Data_Validation!$A:$E,5,0)</f>
        <v>$</v>
      </c>
      <c r="X219" s="658" t="str">
        <f>+VLOOKUP($L219,Data_Validation!$A:$F,6,0)</f>
        <v>Oui</v>
      </c>
    </row>
    <row r="220" spans="1:24" ht="15" customHeight="1">
      <c r="A220" s="1055" t="s">
        <v>1045</v>
      </c>
      <c r="B220" s="1055" t="s">
        <v>1046</v>
      </c>
      <c r="C220" s="1057">
        <v>-224279.54</v>
      </c>
      <c r="D220" s="1057">
        <v>-12324.22</v>
      </c>
      <c r="E220" s="1057">
        <v>-236603.76</v>
      </c>
      <c r="F220" s="1055" t="s">
        <v>965</v>
      </c>
      <c r="G220" s="1055" t="s">
        <v>1046</v>
      </c>
      <c r="H220" s="653"/>
      <c r="I220" s="653"/>
      <c r="J220" s="653"/>
      <c r="K220" s="653"/>
      <c r="L220" s="655" t="str">
        <f t="shared" si="197"/>
        <v>4495</v>
      </c>
      <c r="M220" s="656" t="str">
        <f t="shared" si="0"/>
        <v>VTE - S-TRAITANCE MEC.INTERNE VW</v>
      </c>
      <c r="N220" s="657">
        <f>+IF(OR($Q220=Parametres!$G$2,$Q220=Parametres!$G$3),I220,C220)</f>
        <v>-224279.54</v>
      </c>
      <c r="O220" s="657">
        <f>+IF(OR($Q220=Parametres!$G$2,$Q220=Parametres!$G$3),J220,D220)</f>
        <v>-12324.22</v>
      </c>
      <c r="P220" s="657">
        <f>+IF(OR($Q220=Parametres!$G$2,$Q220=Parametres!$G$3),K220,E220)</f>
        <v>-236603.76</v>
      </c>
      <c r="Q220" s="656" t="str">
        <f t="shared" ref="Q220:S220" si="223">+F220</f>
        <v>5-Ventes</v>
      </c>
      <c r="R220" s="655" t="str">
        <f t="shared" si="223"/>
        <v>4495</v>
      </c>
      <c r="S220" s="656">
        <f t="shared" si="223"/>
        <v>0</v>
      </c>
      <c r="T220" s="658" t="str">
        <f>+VLOOKUP($L220,Data_Validation!$A:$D,1,0)</f>
        <v>4495</v>
      </c>
      <c r="U220" s="658" t="str">
        <f>+VLOOKUP($L220,Data_Validation!$A:$D,3,0)</f>
        <v>Service</v>
      </c>
      <c r="V220" s="658" t="str">
        <f>+VLOOKUP($L220,Data_Validation!$A:$D,4,0)</f>
        <v>Sous-traitement</v>
      </c>
      <c r="W220" s="658" t="str">
        <f>+VLOOKUP($L220,Data_Validation!$A:$E,5,0)</f>
        <v>$</v>
      </c>
      <c r="X220" s="658" t="str">
        <f>+VLOOKUP($L220,Data_Validation!$A:$F,6,0)</f>
        <v>Oui</v>
      </c>
    </row>
    <row r="221" spans="1:24" ht="15" customHeight="1">
      <c r="A221" s="1055" t="s">
        <v>1049</v>
      </c>
      <c r="B221" s="1055" t="s">
        <v>3337</v>
      </c>
      <c r="C221" s="1057">
        <v>-5600</v>
      </c>
      <c r="D221" s="1057">
        <v>0</v>
      </c>
      <c r="E221" s="1057">
        <v>-5600</v>
      </c>
      <c r="F221" s="1055" t="s">
        <v>965</v>
      </c>
      <c r="G221" s="1055" t="s">
        <v>3337</v>
      </c>
      <c r="H221" s="1034"/>
      <c r="I221" s="1035"/>
      <c r="J221" s="1035"/>
      <c r="K221" s="1035"/>
      <c r="L221" s="655" t="str">
        <f t="shared" si="197"/>
        <v>4503</v>
      </c>
      <c r="M221" s="656" t="str">
        <f t="shared" si="0"/>
        <v>VTE - M.O. CARROSSERIE GARANTIE</v>
      </c>
      <c r="N221" s="657">
        <f>+IF(OR($Q221=Parametres!$G$2,$Q221=Parametres!$G$3),I221,C221)</f>
        <v>-5600</v>
      </c>
      <c r="O221" s="657">
        <f>+IF(OR($Q221=Parametres!$G$2,$Q221=Parametres!$G$3),J221,D221)</f>
        <v>0</v>
      </c>
      <c r="P221" s="657">
        <f>+IF(OR($Q221=Parametres!$G$2,$Q221=Parametres!$G$3),K221,E221)</f>
        <v>-5600</v>
      </c>
      <c r="Q221" s="656" t="str">
        <f t="shared" ref="Q221:S221" si="224">+F221</f>
        <v>5-Ventes</v>
      </c>
      <c r="R221" s="655" t="str">
        <f t="shared" si="224"/>
        <v>4503</v>
      </c>
      <c r="S221" s="656">
        <f t="shared" si="224"/>
        <v>0</v>
      </c>
      <c r="T221" s="658" t="str">
        <f>+VLOOKUP($L221,Data_Validation!$A:$D,1,0)</f>
        <v>4503</v>
      </c>
      <c r="U221" s="658" t="str">
        <f>+VLOOKUP($L221,Data_Validation!$A:$D,3,0)</f>
        <v>Carrosserie</v>
      </c>
      <c r="V221" s="658" t="str">
        <f>+VLOOKUP($L221,Data_Validation!$A:$D,4,0)</f>
        <v>M/O Sous-traitement</v>
      </c>
      <c r="W221" s="658" t="str">
        <f>+VLOOKUP($L221,Data_Validation!$A:$E,5,0)</f>
        <v>$</v>
      </c>
      <c r="X221" s="658" t="str">
        <f>+VLOOKUP($L221,Data_Validation!$A:$F,6,0)</f>
        <v>Oui</v>
      </c>
    </row>
    <row r="222" spans="1:24" ht="15" customHeight="1">
      <c r="A222" s="1055" t="s">
        <v>1052</v>
      </c>
      <c r="B222" s="1055" t="s">
        <v>1053</v>
      </c>
      <c r="C222" s="1057">
        <v>-402359.43</v>
      </c>
      <c r="D222" s="1057">
        <v>-21309.73</v>
      </c>
      <c r="E222" s="1057">
        <v>-423669.16</v>
      </c>
      <c r="F222" s="1055" t="s">
        <v>965</v>
      </c>
      <c r="G222" s="1055" t="s">
        <v>1053</v>
      </c>
      <c r="H222" s="653"/>
      <c r="I222" s="672"/>
      <c r="J222" s="653"/>
      <c r="K222" s="672"/>
      <c r="L222" s="655" t="str">
        <f t="shared" si="197"/>
        <v>4591</v>
      </c>
      <c r="M222" s="656" t="str">
        <f t="shared" si="0"/>
        <v>VTE - S-TRAIT. CARR.</v>
      </c>
      <c r="N222" s="657">
        <f>+IF(OR($Q222=Parametres!$G$2,$Q222=Parametres!$G$3),I222,C222)</f>
        <v>-402359.43</v>
      </c>
      <c r="O222" s="657">
        <f>+IF(OR($Q222=Parametres!$G$2,$Q222=Parametres!$G$3),J222,D222)</f>
        <v>-21309.73</v>
      </c>
      <c r="P222" s="657">
        <f>+IF(OR($Q222=Parametres!$G$2,$Q222=Parametres!$G$3),K222,E222)</f>
        <v>-423669.16</v>
      </c>
      <c r="Q222" s="656" t="str">
        <f t="shared" ref="Q222:S222" si="225">+F222</f>
        <v>5-Ventes</v>
      </c>
      <c r="R222" s="655" t="str">
        <f t="shared" si="225"/>
        <v>4591</v>
      </c>
      <c r="S222" s="656">
        <f t="shared" si="225"/>
        <v>0</v>
      </c>
      <c r="T222" s="658" t="str">
        <f>+VLOOKUP($L222,Data_Validation!$A:$D,1,0)</f>
        <v>4591</v>
      </c>
      <c r="U222" s="658" t="str">
        <f>+VLOOKUP($L222,Data_Validation!$A:$D,3,0)</f>
        <v>Carrosserie</v>
      </c>
      <c r="V222" s="658" t="str">
        <f>+VLOOKUP($L222,Data_Validation!$A:$D,4,0)</f>
        <v>M/O Sous-traitement</v>
      </c>
      <c r="W222" s="658" t="str">
        <f>+VLOOKUP($L222,Data_Validation!$A:$E,5,0)</f>
        <v>$</v>
      </c>
      <c r="X222" s="658" t="str">
        <f>+VLOOKUP($L222,Data_Validation!$A:$F,6,0)</f>
        <v>Oui</v>
      </c>
    </row>
    <row r="223" spans="1:24" ht="15" customHeight="1">
      <c r="A223" s="1055" t="s">
        <v>1056</v>
      </c>
      <c r="B223" s="1055" t="s">
        <v>1057</v>
      </c>
      <c r="C223" s="1057">
        <v>-632376.15</v>
      </c>
      <c r="D223" s="1057">
        <v>-45682.63</v>
      </c>
      <c r="E223" s="1057">
        <v>-678058.78</v>
      </c>
      <c r="F223" s="1055" t="s">
        <v>965</v>
      </c>
      <c r="G223" s="1055" t="s">
        <v>1057</v>
      </c>
      <c r="H223" s="1034"/>
      <c r="I223" s="1035"/>
      <c r="J223" s="1035"/>
      <c r="K223" s="1035"/>
      <c r="L223" s="655" t="str">
        <f t="shared" si="197"/>
        <v>4593</v>
      </c>
      <c r="M223" s="656" t="str">
        <f t="shared" si="0"/>
        <v>VTE - SOUS-TRAITANCE GARANTIE CARR.</v>
      </c>
      <c r="N223" s="657">
        <f>+IF(OR($Q223=Parametres!$G$2,$Q223=Parametres!$G$3),I223,C223)</f>
        <v>-632376.15</v>
      </c>
      <c r="O223" s="657">
        <f>+IF(OR($Q223=Parametres!$G$2,$Q223=Parametres!$G$3),J223,D223)</f>
        <v>-45682.63</v>
      </c>
      <c r="P223" s="657">
        <f>+IF(OR($Q223=Parametres!$G$2,$Q223=Parametres!$G$3),K223,E223)</f>
        <v>-678058.78</v>
      </c>
      <c r="Q223" s="656" t="str">
        <f t="shared" ref="Q223:S223" si="226">+F223</f>
        <v>5-Ventes</v>
      </c>
      <c r="R223" s="655" t="str">
        <f t="shared" si="226"/>
        <v>4593</v>
      </c>
      <c r="S223" s="656">
        <f t="shared" si="226"/>
        <v>0</v>
      </c>
      <c r="T223" s="658" t="str">
        <f>+VLOOKUP($L223,Data_Validation!$A:$D,1,0)</f>
        <v>4593</v>
      </c>
      <c r="U223" s="658" t="str">
        <f>+VLOOKUP($L223,Data_Validation!$A:$D,3,0)</f>
        <v>Carrosserie</v>
      </c>
      <c r="V223" s="658" t="str">
        <f>+VLOOKUP($L223,Data_Validation!$A:$D,4,0)</f>
        <v>M/O Sous-traitement</v>
      </c>
      <c r="W223" s="658" t="str">
        <f>+VLOOKUP($L223,Data_Validation!$A:$E,5,0)</f>
        <v>$</v>
      </c>
      <c r="X223" s="658" t="str">
        <f>+VLOOKUP($L223,Data_Validation!$A:$F,6,0)</f>
        <v>Oui</v>
      </c>
    </row>
    <row r="224" spans="1:24" ht="15" customHeight="1">
      <c r="A224" s="1055" t="s">
        <v>1060</v>
      </c>
      <c r="B224" s="1055" t="s">
        <v>1061</v>
      </c>
      <c r="C224" s="1057">
        <v>-62554.69</v>
      </c>
      <c r="D224" s="1057">
        <v>-4230.28</v>
      </c>
      <c r="E224" s="1057">
        <v>-66784.97</v>
      </c>
      <c r="F224" s="1055" t="s">
        <v>965</v>
      </c>
      <c r="G224" s="1055" t="s">
        <v>1061</v>
      </c>
      <c r="H224" s="653"/>
      <c r="I224" s="672"/>
      <c r="J224" s="653"/>
      <c r="K224" s="672"/>
      <c r="L224" s="655" t="str">
        <f t="shared" si="197"/>
        <v>4595</v>
      </c>
      <c r="M224" s="656" t="str">
        <f t="shared" si="0"/>
        <v>VTE - SOUS-TRAITANCE INTERNE CARR.</v>
      </c>
      <c r="N224" s="657">
        <f>+IF(OR($Q224=Parametres!$G$2,$Q224=Parametres!$G$3),I224,C224)</f>
        <v>-62554.69</v>
      </c>
      <c r="O224" s="657">
        <f>+IF(OR($Q224=Parametres!$G$2,$Q224=Parametres!$G$3),J224,D224)</f>
        <v>-4230.28</v>
      </c>
      <c r="P224" s="657">
        <f>+IF(OR($Q224=Parametres!$G$2,$Q224=Parametres!$G$3),K224,E224)</f>
        <v>-66784.97</v>
      </c>
      <c r="Q224" s="656" t="str">
        <f t="shared" ref="Q224:S224" si="227">+F224</f>
        <v>5-Ventes</v>
      </c>
      <c r="R224" s="655" t="str">
        <f t="shared" si="227"/>
        <v>4595</v>
      </c>
      <c r="S224" s="656">
        <f t="shared" si="227"/>
        <v>0</v>
      </c>
      <c r="T224" s="658" t="str">
        <f>+VLOOKUP($L224,Data_Validation!$A:$D,1,0)</f>
        <v>4595</v>
      </c>
      <c r="U224" s="658" t="str">
        <f>+VLOOKUP($L224,Data_Validation!$A:$D,3,0)</f>
        <v>Carrosserie</v>
      </c>
      <c r="V224" s="658" t="str">
        <f>+VLOOKUP($L224,Data_Validation!$A:$D,4,0)</f>
        <v>M/O Sous-traitement</v>
      </c>
      <c r="W224" s="658" t="str">
        <f>+VLOOKUP($L224,Data_Validation!$A:$E,5,0)</f>
        <v>$</v>
      </c>
      <c r="X224" s="658" t="str">
        <f>+VLOOKUP($L224,Data_Validation!$A:$F,6,0)</f>
        <v>Oui</v>
      </c>
    </row>
    <row r="225" spans="1:24" ht="15.75" customHeight="1">
      <c r="A225" s="1055" t="s">
        <v>3678</v>
      </c>
      <c r="B225" s="1055" t="s">
        <v>1065</v>
      </c>
      <c r="C225" s="1057">
        <v>-848710.64</v>
      </c>
      <c r="D225" s="1057">
        <v>-81455.14</v>
      </c>
      <c r="E225" s="1057">
        <v>-930165.78</v>
      </c>
      <c r="F225" s="1055" t="s">
        <v>965</v>
      </c>
      <c r="G225" s="1055" t="s">
        <v>1065</v>
      </c>
      <c r="H225" s="1034"/>
      <c r="I225" s="1035"/>
      <c r="J225" s="1035"/>
      <c r="K225" s="1035"/>
      <c r="L225" s="655" t="str">
        <f t="shared" si="197"/>
        <v>4701</v>
      </c>
      <c r="M225" s="656" t="str">
        <f t="shared" si="0"/>
        <v>VW P&amp;A - BR - CLIENT - MCI</v>
      </c>
      <c r="N225" s="657">
        <f>+IF(OR($Q225=Parametres!$G$2,$Q225=Parametres!$G$3),I225,C225)</f>
        <v>-848710.64</v>
      </c>
      <c r="O225" s="657">
        <f>+IF(OR($Q225=Parametres!$G$2,$Q225=Parametres!$G$3),J225,D225)</f>
        <v>-81455.14</v>
      </c>
      <c r="P225" s="657">
        <f>+IF(OR($Q225=Parametres!$G$2,$Q225=Parametres!$G$3),K225,E225)</f>
        <v>-930165.78</v>
      </c>
      <c r="Q225" s="656" t="str">
        <f t="shared" ref="Q225:S225" si="228">+F225</f>
        <v>5-Ventes</v>
      </c>
      <c r="R225" s="655" t="str">
        <f t="shared" si="228"/>
        <v>4701</v>
      </c>
      <c r="S225" s="656">
        <f t="shared" si="228"/>
        <v>0</v>
      </c>
      <c r="T225" s="658" t="str">
        <f>+VLOOKUP($L225,Data_Validation!$A:$D,1,0)</f>
        <v>4701</v>
      </c>
      <c r="U225" s="658" t="str">
        <f>+VLOOKUP($L225,Data_Validation!$A:$D,3,0)</f>
        <v>Pièces</v>
      </c>
      <c r="V225" s="658" t="str">
        <f>+VLOOKUP($L225,Data_Validation!$A:$D,4,0)</f>
        <v>Pièces Ro Clients</v>
      </c>
      <c r="W225" s="658" t="str">
        <f>+VLOOKUP($L225,Data_Validation!$A:$E,5,0)</f>
        <v>$</v>
      </c>
      <c r="X225" s="658" t="str">
        <f>+VLOOKUP($L225,Data_Validation!$A:$F,6,0)</f>
        <v>Oui</v>
      </c>
    </row>
    <row r="226" spans="1:24" ht="15" customHeight="1">
      <c r="A226" s="1055" t="s">
        <v>1068</v>
      </c>
      <c r="B226" s="1055" t="s">
        <v>1069</v>
      </c>
      <c r="C226" s="1057">
        <v>-7825.75</v>
      </c>
      <c r="D226" s="1057">
        <v>-322.64999999999998</v>
      </c>
      <c r="E226" s="1057">
        <v>-8148.4</v>
      </c>
      <c r="F226" s="1055" t="s">
        <v>965</v>
      </c>
      <c r="G226" s="1055" t="s">
        <v>1069</v>
      </c>
      <c r="H226" s="653"/>
      <c r="I226" s="672"/>
      <c r="J226" s="653"/>
      <c r="K226" s="672"/>
      <c r="L226" s="655" t="str">
        <f t="shared" si="197"/>
        <v>4702</v>
      </c>
      <c r="M226" s="656" t="str">
        <f t="shared" si="0"/>
        <v>VTE - SHOP SUPPLY VW</v>
      </c>
      <c r="N226" s="657">
        <f>+IF(OR($Q226=Parametres!$G$2,$Q226=Parametres!$G$3),I226,C226)</f>
        <v>-7825.75</v>
      </c>
      <c r="O226" s="657">
        <f>+IF(OR($Q226=Parametres!$G$2,$Q226=Parametres!$G$3),J226,D226)</f>
        <v>-322.64999999999998</v>
      </c>
      <c r="P226" s="657">
        <f>+IF(OR($Q226=Parametres!$G$2,$Q226=Parametres!$G$3),K226,E226)</f>
        <v>-8148.4</v>
      </c>
      <c r="Q226" s="656" t="str">
        <f t="shared" ref="Q226:S226" si="229">+F226</f>
        <v>5-Ventes</v>
      </c>
      <c r="R226" s="655" t="str">
        <f t="shared" si="229"/>
        <v>4702</v>
      </c>
      <c r="S226" s="656">
        <f t="shared" si="229"/>
        <v>0</v>
      </c>
      <c r="T226" s="658" t="str">
        <f>+VLOOKUP($L226,Data_Validation!$A:$D,1,0)</f>
        <v>4702</v>
      </c>
      <c r="U226" s="658" t="str">
        <f>+VLOOKUP($L226,Data_Validation!$A:$D,3,0)</f>
        <v>Service</v>
      </c>
      <c r="V226" s="658" t="str">
        <f>+VLOOKUP($L226,Data_Validation!$A:$D,4,0)</f>
        <v>M/O Client</v>
      </c>
      <c r="W226" s="658" t="str">
        <f>+VLOOKUP($L226,Data_Validation!$A:$E,5,0)</f>
        <v>$</v>
      </c>
      <c r="X226" s="658" t="str">
        <f>+VLOOKUP($L226,Data_Validation!$A:$F,6,0)</f>
        <v>Oui</v>
      </c>
    </row>
    <row r="227" spans="1:24" ht="15" customHeight="1">
      <c r="A227" s="1055" t="s">
        <v>3679</v>
      </c>
      <c r="B227" s="1055" t="s">
        <v>1071</v>
      </c>
      <c r="C227" s="1057">
        <v>-653979.53</v>
      </c>
      <c r="D227" s="1057">
        <v>-53458.95</v>
      </c>
      <c r="E227" s="1057">
        <v>-707438.48</v>
      </c>
      <c r="F227" s="1055" t="s">
        <v>965</v>
      </c>
      <c r="G227" s="1055" t="s">
        <v>1071</v>
      </c>
      <c r="H227" s="1034"/>
      <c r="I227" s="1035"/>
      <c r="J227" s="1035"/>
      <c r="K227" s="1035"/>
      <c r="L227" s="655" t="str">
        <f t="shared" si="197"/>
        <v>4703</v>
      </c>
      <c r="M227" s="656" t="str">
        <f t="shared" si="0"/>
        <v>VW P&amp;A - BR - GARANTIE - MCI</v>
      </c>
      <c r="N227" s="657">
        <f>+IF(OR($Q227=Parametres!$G$2,$Q227=Parametres!$G$3),I227,C227)</f>
        <v>-653979.53</v>
      </c>
      <c r="O227" s="657">
        <f>+IF(OR($Q227=Parametres!$G$2,$Q227=Parametres!$G$3),J227,D227)</f>
        <v>-53458.95</v>
      </c>
      <c r="P227" s="657">
        <f>+IF(OR($Q227=Parametres!$G$2,$Q227=Parametres!$G$3),K227,E227)</f>
        <v>-707438.48</v>
      </c>
      <c r="Q227" s="656" t="str">
        <f t="shared" ref="Q227:S227" si="230">+F227</f>
        <v>5-Ventes</v>
      </c>
      <c r="R227" s="655" t="str">
        <f t="shared" si="230"/>
        <v>4703</v>
      </c>
      <c r="S227" s="656">
        <f t="shared" si="230"/>
        <v>0</v>
      </c>
      <c r="T227" s="658" t="str">
        <f>+VLOOKUP($L227,Data_Validation!$A:$D,1,0)</f>
        <v>4703</v>
      </c>
      <c r="U227" s="658" t="str">
        <f>+VLOOKUP($L227,Data_Validation!$A:$D,3,0)</f>
        <v>Pièces</v>
      </c>
      <c r="V227" s="658" t="str">
        <f>+VLOOKUP($L227,Data_Validation!$A:$D,4,0)</f>
        <v>P/A Garantie</v>
      </c>
      <c r="W227" s="658" t="str">
        <f>+VLOOKUP($L227,Data_Validation!$A:$E,5,0)</f>
        <v>$</v>
      </c>
      <c r="X227" s="658" t="str">
        <f>+VLOOKUP($L227,Data_Validation!$A:$F,6,0)</f>
        <v>Oui</v>
      </c>
    </row>
    <row r="228" spans="1:24" ht="15" customHeight="1">
      <c r="A228" s="1055" t="s">
        <v>3680</v>
      </c>
      <c r="B228" s="1055" t="s">
        <v>1075</v>
      </c>
      <c r="C228" s="1057">
        <v>-485869.45</v>
      </c>
      <c r="D228" s="1057">
        <v>-35063.86</v>
      </c>
      <c r="E228" s="1057">
        <v>-520933.31</v>
      </c>
      <c r="F228" s="1055" t="s">
        <v>965</v>
      </c>
      <c r="G228" s="1055" t="s">
        <v>1075</v>
      </c>
      <c r="H228" s="653"/>
      <c r="I228" s="672"/>
      <c r="J228" s="653"/>
      <c r="K228" s="672"/>
      <c r="L228" s="655" t="str">
        <f t="shared" si="197"/>
        <v>4705</v>
      </c>
      <c r="M228" s="656" t="str">
        <f t="shared" si="0"/>
        <v>VW P&amp;A - BR - INTERNE - MCI</v>
      </c>
      <c r="N228" s="657">
        <f>+IF(OR($Q228=Parametres!$G$2,$Q228=Parametres!$G$3),I228,C228)</f>
        <v>-485869.45</v>
      </c>
      <c r="O228" s="657">
        <f>+IF(OR($Q228=Parametres!$G$2,$Q228=Parametres!$G$3),J228,D228)</f>
        <v>-35063.86</v>
      </c>
      <c r="P228" s="657">
        <f>+IF(OR($Q228=Parametres!$G$2,$Q228=Parametres!$G$3),K228,E228)</f>
        <v>-520933.31</v>
      </c>
      <c r="Q228" s="656" t="str">
        <f t="shared" ref="Q228:S228" si="231">+F228</f>
        <v>5-Ventes</v>
      </c>
      <c r="R228" s="655" t="str">
        <f t="shared" si="231"/>
        <v>4705</v>
      </c>
      <c r="S228" s="656">
        <f t="shared" si="231"/>
        <v>0</v>
      </c>
      <c r="T228" s="658" t="str">
        <f>+VLOOKUP($L228,Data_Validation!$A:$D,1,0)</f>
        <v>4705</v>
      </c>
      <c r="U228" s="658" t="str">
        <f>+VLOOKUP($L228,Data_Validation!$A:$D,3,0)</f>
        <v>Pièces</v>
      </c>
      <c r="V228" s="658" t="str">
        <f>+VLOOKUP($L228,Data_Validation!$A:$D,4,0)</f>
        <v>Ventes Internes</v>
      </c>
      <c r="W228" s="658" t="str">
        <f>+VLOOKUP($L228,Data_Validation!$A:$E,5,0)</f>
        <v>$</v>
      </c>
      <c r="X228" s="658" t="str">
        <f>+VLOOKUP($L228,Data_Validation!$A:$F,6,0)</f>
        <v>Oui</v>
      </c>
    </row>
    <row r="229" spans="1:24" ht="15.75" customHeight="1">
      <c r="A229" s="1055" t="s">
        <v>3681</v>
      </c>
      <c r="B229" s="1055" t="s">
        <v>1078</v>
      </c>
      <c r="C229" s="1057">
        <v>-7495.48</v>
      </c>
      <c r="D229" s="1057">
        <v>-99.9</v>
      </c>
      <c r="E229" s="1057">
        <v>-7595.38</v>
      </c>
      <c r="F229" s="1055" t="s">
        <v>965</v>
      </c>
      <c r="G229" s="1055" t="s">
        <v>1078</v>
      </c>
      <c r="H229" s="1034"/>
      <c r="I229" s="1035"/>
      <c r="J229" s="1035"/>
      <c r="K229" s="1035"/>
      <c r="L229" s="655" t="str">
        <f t="shared" si="197"/>
        <v>4706</v>
      </c>
      <c r="M229" s="656" t="str">
        <f t="shared" si="0"/>
        <v>VW P&amp;A - BR - CLIENT - VEB</v>
      </c>
      <c r="N229" s="657">
        <f>+IF(OR($Q229=Parametres!$G$2,$Q229=Parametres!$G$3),I229,C229)</f>
        <v>-7495.48</v>
      </c>
      <c r="O229" s="657">
        <f>+IF(OR($Q229=Parametres!$G$2,$Q229=Parametres!$G$3),J229,D229)</f>
        <v>-99.9</v>
      </c>
      <c r="P229" s="657">
        <f>+IF(OR($Q229=Parametres!$G$2,$Q229=Parametres!$G$3),K229,E229)</f>
        <v>-7595.38</v>
      </c>
      <c r="Q229" s="656" t="str">
        <f t="shared" ref="Q229:S229" si="232">+F229</f>
        <v>5-Ventes</v>
      </c>
      <c r="R229" s="655" t="str">
        <f t="shared" si="232"/>
        <v>4706</v>
      </c>
      <c r="S229" s="656">
        <f t="shared" si="232"/>
        <v>0</v>
      </c>
      <c r="T229" s="658" t="str">
        <f>+VLOOKUP($L229,Data_Validation!$A:$D,1,0)</f>
        <v>4706</v>
      </c>
      <c r="U229" s="658" t="str">
        <f>+VLOOKUP($L229,Data_Validation!$A:$D,3,0)</f>
        <v>Service</v>
      </c>
      <c r="V229" s="658" t="str">
        <f>+VLOOKUP($L229,Data_Validation!$A:$D,4,0)</f>
        <v>M/O Interne</v>
      </c>
      <c r="W229" s="658" t="str">
        <f>+VLOOKUP($L229,Data_Validation!$A:$E,5,0)</f>
        <v>$</v>
      </c>
      <c r="X229" s="658" t="str">
        <f>+VLOOKUP($L229,Data_Validation!$A:$F,6,0)</f>
        <v>Oui</v>
      </c>
    </row>
    <row r="230" spans="1:24" ht="15" customHeight="1">
      <c r="A230" s="1055" t="s">
        <v>1079</v>
      </c>
      <c r="B230" s="1055" t="s">
        <v>1144</v>
      </c>
      <c r="C230" s="1057">
        <v>-28025.83</v>
      </c>
      <c r="D230" s="1057">
        <v>-2161.19</v>
      </c>
      <c r="E230" s="1057">
        <v>-30187.02</v>
      </c>
      <c r="F230" s="1055" t="s">
        <v>965</v>
      </c>
      <c r="G230" s="1055" t="s">
        <v>1080</v>
      </c>
      <c r="H230" s="1034"/>
      <c r="I230" s="1036"/>
      <c r="J230" s="1034"/>
      <c r="K230" s="1036"/>
      <c r="L230" s="655" t="str">
        <f t="shared" si="197"/>
        <v>4711</v>
      </c>
      <c r="M230" s="656" t="str">
        <f t="shared" si="0"/>
        <v>VTE - AUTRE PIECE/ACC/CARR B.R. CLIENT</v>
      </c>
      <c r="N230" s="657">
        <f>+IF(OR($Q230=Parametres!$G$2,$Q230=Parametres!$G$3),I230,C230)</f>
        <v>-28025.83</v>
      </c>
      <c r="O230" s="657">
        <f>+IF(OR($Q230=Parametres!$G$2,$Q230=Parametres!$G$3),J230,D230)</f>
        <v>-2161.19</v>
      </c>
      <c r="P230" s="657">
        <f>+IF(OR($Q230=Parametres!$G$2,$Q230=Parametres!$G$3),K230,E230)</f>
        <v>-30187.02</v>
      </c>
      <c r="Q230" s="656" t="str">
        <f t="shared" ref="Q230:S230" si="233">+F230</f>
        <v>5-Ventes</v>
      </c>
      <c r="R230" s="655" t="str">
        <f t="shared" si="233"/>
        <v>84711</v>
      </c>
      <c r="S230" s="656">
        <f t="shared" si="233"/>
        <v>0</v>
      </c>
      <c r="T230" s="658" t="str">
        <f>+VLOOKUP($L230,Data_Validation!$A:$D,1,0)</f>
        <v>4711</v>
      </c>
      <c r="U230" s="658" t="str">
        <f>+VLOOKUP($L230,Data_Validation!$A:$D,3,0)</f>
        <v>Pièces</v>
      </c>
      <c r="V230" s="658" t="str">
        <f>+VLOOKUP($L230,Data_Validation!$A:$D,4,0)</f>
        <v>Pièces Ro Clients</v>
      </c>
      <c r="W230" s="658" t="str">
        <f>+VLOOKUP($L230,Data_Validation!$A:$E,5,0)</f>
        <v>$</v>
      </c>
      <c r="X230" s="658" t="str">
        <f>+VLOOKUP($L230,Data_Validation!$A:$F,6,0)</f>
        <v>Oui</v>
      </c>
    </row>
    <row r="231" spans="1:24" ht="15" customHeight="1">
      <c r="A231" s="1055" t="s">
        <v>1083</v>
      </c>
      <c r="B231" s="1055" t="s">
        <v>3387</v>
      </c>
      <c r="C231" s="1057">
        <v>-247.19</v>
      </c>
      <c r="D231" s="1057">
        <v>0</v>
      </c>
      <c r="E231" s="1057">
        <v>-247.19</v>
      </c>
      <c r="F231" s="1055" t="s">
        <v>965</v>
      </c>
      <c r="G231" s="1055" t="s">
        <v>3387</v>
      </c>
      <c r="H231" s="1034"/>
      <c r="I231" s="1035"/>
      <c r="J231" s="1035"/>
      <c r="K231" s="1035"/>
      <c r="L231" s="655" t="str">
        <f t="shared" si="197"/>
        <v>4715</v>
      </c>
      <c r="M231" s="656" t="str">
        <f t="shared" si="0"/>
        <v>VTE - AUTRE PIECE/ACC/CARR B.R. INTERNE</v>
      </c>
      <c r="N231" s="657">
        <f>+IF(OR($Q231=Parametres!$G$2,$Q231=Parametres!$G$3),I231,C231)</f>
        <v>-247.19</v>
      </c>
      <c r="O231" s="657">
        <f>+IF(OR($Q231=Parametres!$G$2,$Q231=Parametres!$G$3),J231,D231)</f>
        <v>0</v>
      </c>
      <c r="P231" s="657">
        <f>+IF(OR($Q231=Parametres!$G$2,$Q231=Parametres!$G$3),K231,E231)</f>
        <v>-247.19</v>
      </c>
      <c r="Q231" s="656" t="str">
        <f t="shared" ref="Q231:S231" si="234">+F231</f>
        <v>5-Ventes</v>
      </c>
      <c r="R231" s="655" t="str">
        <f t="shared" si="234"/>
        <v>4715</v>
      </c>
      <c r="S231" s="656">
        <f t="shared" si="234"/>
        <v>0</v>
      </c>
      <c r="T231" s="658" t="str">
        <f>+VLOOKUP($L231,Data_Validation!$A:$D,1,0)</f>
        <v>4715</v>
      </c>
      <c r="U231" s="658" t="str">
        <f>+VLOOKUP($L231,Data_Validation!$A:$D,3,0)</f>
        <v>Pièces</v>
      </c>
      <c r="V231" s="658" t="str">
        <f>+VLOOKUP($L231,Data_Validation!$A:$D,4,0)</f>
        <v>Ventes Internes</v>
      </c>
      <c r="W231" s="658" t="str">
        <f>+VLOOKUP($L231,Data_Validation!$A:$E,5,0)</f>
        <v>$</v>
      </c>
      <c r="X231" s="658" t="str">
        <f>+VLOOKUP($L231,Data_Validation!$A:$F,6,0)</f>
        <v>Oui</v>
      </c>
    </row>
    <row r="232" spans="1:24" ht="15" customHeight="1">
      <c r="A232" s="1055" t="s">
        <v>3682</v>
      </c>
      <c r="B232" s="1055" t="s">
        <v>1088</v>
      </c>
      <c r="C232" s="1057">
        <v>-112336.03</v>
      </c>
      <c r="D232" s="1057">
        <v>-3252.45</v>
      </c>
      <c r="E232" s="1057">
        <v>-115588.48</v>
      </c>
      <c r="F232" s="1055" t="s">
        <v>965</v>
      </c>
      <c r="G232" s="1055" t="s">
        <v>1088</v>
      </c>
      <c r="H232" s="1034"/>
      <c r="I232" s="1036"/>
      <c r="J232" s="1034"/>
      <c r="K232" s="1036"/>
      <c r="L232" s="655" t="str">
        <f t="shared" si="197"/>
        <v>4731</v>
      </c>
      <c r="M232" s="656" t="str">
        <f t="shared" si="0"/>
        <v>VW-P&amp;A-P&amp;BRO-CLIENT - MCI</v>
      </c>
      <c r="N232" s="657">
        <f>+IF(OR($Q232=Parametres!$G$2,$Q232=Parametres!$G$3),I232,C232)</f>
        <v>-112336.03</v>
      </c>
      <c r="O232" s="657">
        <f>+IF(OR($Q232=Parametres!$G$2,$Q232=Parametres!$G$3),J232,D232)</f>
        <v>-3252.45</v>
      </c>
      <c r="P232" s="657">
        <f>+IF(OR($Q232=Parametres!$G$2,$Q232=Parametres!$G$3),K232,E232)</f>
        <v>-115588.48</v>
      </c>
      <c r="Q232" s="656" t="str">
        <f t="shared" ref="Q232:S232" si="235">+F232</f>
        <v>5-Ventes</v>
      </c>
      <c r="R232" s="655" t="str">
        <f t="shared" si="235"/>
        <v>4731</v>
      </c>
      <c r="S232" s="656">
        <f t="shared" si="235"/>
        <v>0</v>
      </c>
      <c r="T232" s="658" t="str">
        <f>+VLOOKUP($L232,Data_Validation!$A:$D,1,0)</f>
        <v>4731</v>
      </c>
      <c r="U232" s="658" t="str">
        <f>+VLOOKUP($L232,Data_Validation!$A:$D,3,0)</f>
        <v>Pièces</v>
      </c>
      <c r="V232" s="658" t="str">
        <f>+VLOOKUP($L232,Data_Validation!$A:$D,4,0)</f>
        <v>Pièces Ro Carrosserie</v>
      </c>
      <c r="W232" s="658" t="str">
        <f>+VLOOKUP($L232,Data_Validation!$A:$E,5,0)</f>
        <v>$</v>
      </c>
      <c r="X232" s="658" t="str">
        <f>+VLOOKUP($L232,Data_Validation!$A:$F,6,0)</f>
        <v>Oui</v>
      </c>
    </row>
    <row r="233" spans="1:24" ht="15" customHeight="1">
      <c r="A233" s="1055" t="s">
        <v>3683</v>
      </c>
      <c r="B233" s="1055" t="s">
        <v>1092</v>
      </c>
      <c r="C233" s="1057">
        <v>-501877.03</v>
      </c>
      <c r="D233" s="1057">
        <v>-34843.68</v>
      </c>
      <c r="E233" s="1057">
        <v>-536720.71</v>
      </c>
      <c r="F233" s="1055" t="s">
        <v>965</v>
      </c>
      <c r="G233" s="1055" t="s">
        <v>1092</v>
      </c>
      <c r="H233" s="1034"/>
      <c r="I233" s="1035"/>
      <c r="J233" s="1035"/>
      <c r="K233" s="1035"/>
      <c r="L233" s="655" t="str">
        <f t="shared" si="197"/>
        <v>4733</v>
      </c>
      <c r="M233" s="656" t="str">
        <f t="shared" si="0"/>
        <v>VW-P&amp;A-P&amp;BRO-GARANTIE - MCI</v>
      </c>
      <c r="N233" s="657">
        <f>+IF(OR($Q233=Parametres!$G$2,$Q233=Parametres!$G$3),I233,C233)</f>
        <v>-501877.03</v>
      </c>
      <c r="O233" s="657">
        <f>+IF(OR($Q233=Parametres!$G$2,$Q233=Parametres!$G$3),J233,D233)</f>
        <v>-34843.68</v>
      </c>
      <c r="P233" s="657">
        <f>+IF(OR($Q233=Parametres!$G$2,$Q233=Parametres!$G$3),K233,E233)</f>
        <v>-536720.71</v>
      </c>
      <c r="Q233" s="656" t="str">
        <f t="shared" ref="Q233:S233" si="236">+F233</f>
        <v>5-Ventes</v>
      </c>
      <c r="R233" s="655" t="str">
        <f t="shared" si="236"/>
        <v>4733</v>
      </c>
      <c r="S233" s="656">
        <f t="shared" si="236"/>
        <v>0</v>
      </c>
      <c r="T233" s="658" t="str">
        <f>+VLOOKUP($L233,Data_Validation!$A:$D,1,0)</f>
        <v>4733</v>
      </c>
      <c r="U233" s="658" t="str">
        <f>+VLOOKUP($L233,Data_Validation!$A:$D,3,0)</f>
        <v>Pièces</v>
      </c>
      <c r="V233" s="658" t="str">
        <f>+VLOOKUP($L233,Data_Validation!$A:$D,4,0)</f>
        <v>Pièces Ro Carrosserie</v>
      </c>
      <c r="W233" s="658" t="str">
        <f>+VLOOKUP($L233,Data_Validation!$A:$E,5,0)</f>
        <v>$</v>
      </c>
      <c r="X233" s="658" t="str">
        <f>+VLOOKUP($L233,Data_Validation!$A:$F,6,0)</f>
        <v>Oui</v>
      </c>
    </row>
    <row r="234" spans="1:24" ht="15.75" customHeight="1">
      <c r="A234" s="1055" t="s">
        <v>3684</v>
      </c>
      <c r="B234" s="1055" t="s">
        <v>1096</v>
      </c>
      <c r="C234" s="1057">
        <v>-14970.18</v>
      </c>
      <c r="D234" s="1057">
        <v>-250.81</v>
      </c>
      <c r="E234" s="1057">
        <v>-15220.99</v>
      </c>
      <c r="F234" s="1055" t="s">
        <v>965</v>
      </c>
      <c r="G234" s="1055" t="s">
        <v>1096</v>
      </c>
      <c r="H234" s="1034"/>
      <c r="I234" s="1036"/>
      <c r="J234" s="1034"/>
      <c r="K234" s="1036"/>
      <c r="L234" s="655" t="str">
        <f t="shared" si="197"/>
        <v>4735</v>
      </c>
      <c r="M234" s="656" t="str">
        <f t="shared" si="0"/>
        <v>VW-P&amp;A-P&amp;BRO-INTERNE - MCI</v>
      </c>
      <c r="N234" s="657">
        <f>+IF(OR($Q234=Parametres!$G$2,$Q234=Parametres!$G$3),I234,C234)</f>
        <v>-14970.18</v>
      </c>
      <c r="O234" s="657">
        <f>+IF(OR($Q234=Parametres!$G$2,$Q234=Parametres!$G$3),J234,D234)</f>
        <v>-250.81</v>
      </c>
      <c r="P234" s="657">
        <f>+IF(OR($Q234=Parametres!$G$2,$Q234=Parametres!$G$3),K234,E234)</f>
        <v>-15220.99</v>
      </c>
      <c r="Q234" s="656" t="str">
        <f t="shared" ref="Q234:S234" si="237">+F234</f>
        <v>5-Ventes</v>
      </c>
      <c r="R234" s="655" t="str">
        <f t="shared" si="237"/>
        <v>4735</v>
      </c>
      <c r="S234" s="656">
        <f t="shared" si="237"/>
        <v>0</v>
      </c>
      <c r="T234" s="658" t="str">
        <f>+VLOOKUP($L234,Data_Validation!$A:$D,1,0)</f>
        <v>4735</v>
      </c>
      <c r="U234" s="658" t="str">
        <f>+VLOOKUP($L234,Data_Validation!$A:$D,3,0)</f>
        <v>Pièces</v>
      </c>
      <c r="V234" s="658" t="str">
        <f>+VLOOKUP($L234,Data_Validation!$A:$D,4,0)</f>
        <v>Pièces Ro Carrosserie</v>
      </c>
      <c r="W234" s="658" t="str">
        <f>+VLOOKUP($L234,Data_Validation!$A:$E,5,0)</f>
        <v>$</v>
      </c>
      <c r="X234" s="658" t="str">
        <f>+VLOOKUP($L234,Data_Validation!$A:$F,6,0)</f>
        <v>Oui</v>
      </c>
    </row>
    <row r="235" spans="1:24" ht="15" customHeight="1">
      <c r="A235" s="1055" t="s">
        <v>1099</v>
      </c>
      <c r="B235" s="1055" t="s">
        <v>1100</v>
      </c>
      <c r="C235" s="1057">
        <v>-193680.58</v>
      </c>
      <c r="D235" s="1057">
        <v>-15141.81</v>
      </c>
      <c r="E235" s="1057">
        <v>-208822.39</v>
      </c>
      <c r="F235" s="1055" t="s">
        <v>965</v>
      </c>
      <c r="G235" s="1055" t="s">
        <v>1100</v>
      </c>
      <c r="H235" s="1034"/>
      <c r="I235" s="1035"/>
      <c r="J235" s="1035"/>
      <c r="K235" s="1035"/>
      <c r="L235" s="655" t="str">
        <f t="shared" si="197"/>
        <v>4761</v>
      </c>
      <c r="M235" s="656" t="str">
        <f t="shared" si="0"/>
        <v>VTE - P&amp;A VW COMPTOIR - DETAIL</v>
      </c>
      <c r="N235" s="657">
        <f>+IF(OR($Q235=Parametres!$G$2,$Q235=Parametres!$G$3),I235,C235)</f>
        <v>-193680.58</v>
      </c>
      <c r="O235" s="657">
        <f>+IF(OR($Q235=Parametres!$G$2,$Q235=Parametres!$G$3),J235,D235)</f>
        <v>-15141.81</v>
      </c>
      <c r="P235" s="657">
        <f>+IF(OR($Q235=Parametres!$G$2,$Q235=Parametres!$G$3),K235,E235)</f>
        <v>-208822.39</v>
      </c>
      <c r="Q235" s="656" t="str">
        <f t="shared" ref="Q235:S235" si="238">+F235</f>
        <v>5-Ventes</v>
      </c>
      <c r="R235" s="655" t="str">
        <f t="shared" si="238"/>
        <v>4761</v>
      </c>
      <c r="S235" s="656">
        <f t="shared" si="238"/>
        <v>0</v>
      </c>
      <c r="T235" s="658" t="str">
        <f>+VLOOKUP($L235,Data_Validation!$A:$D,1,0)</f>
        <v>4761</v>
      </c>
      <c r="U235" s="658" t="str">
        <f>+VLOOKUP($L235,Data_Validation!$A:$D,3,0)</f>
        <v>Pièces</v>
      </c>
      <c r="V235" s="658" t="str">
        <f>+VLOOKUP($L235,Data_Validation!$A:$D,4,0)</f>
        <v>Ventes Détails</v>
      </c>
      <c r="W235" s="658" t="str">
        <f>+VLOOKUP($L235,Data_Validation!$A:$E,5,0)</f>
        <v>$</v>
      </c>
      <c r="X235" s="658" t="str">
        <f>+VLOOKUP($L235,Data_Validation!$A:$F,6,0)</f>
        <v>Oui</v>
      </c>
    </row>
    <row r="236" spans="1:24" ht="15" customHeight="1">
      <c r="A236" s="1055" t="s">
        <v>1103</v>
      </c>
      <c r="B236" s="1055" t="s">
        <v>1104</v>
      </c>
      <c r="C236" s="1057">
        <v>-924658.91</v>
      </c>
      <c r="D236" s="1057">
        <v>-86945.99</v>
      </c>
      <c r="E236" s="1057">
        <v>-1011604.9</v>
      </c>
      <c r="F236" s="1055" t="s">
        <v>965</v>
      </c>
      <c r="G236" s="1055" t="s">
        <v>1104</v>
      </c>
      <c r="H236" s="1034"/>
      <c r="I236" s="1036"/>
      <c r="J236" s="1034"/>
      <c r="K236" s="1036"/>
      <c r="L236" s="655" t="str">
        <f t="shared" si="197"/>
        <v>4763</v>
      </c>
      <c r="M236" s="656" t="str">
        <f t="shared" si="0"/>
        <v>VTE - P&amp;A VW COMPTOIR GROS - ECHANGE</v>
      </c>
      <c r="N236" s="657">
        <f>+IF(OR($Q236=Parametres!$G$2,$Q236=Parametres!$G$3),I236,C236)</f>
        <v>-924658.91</v>
      </c>
      <c r="O236" s="657">
        <f>+IF(OR($Q236=Parametres!$G$2,$Q236=Parametres!$G$3),J236,D236)</f>
        <v>-86945.99</v>
      </c>
      <c r="P236" s="657">
        <f>+IF(OR($Q236=Parametres!$G$2,$Q236=Parametres!$G$3),K236,E236)</f>
        <v>-1011604.9</v>
      </c>
      <c r="Q236" s="656" t="str">
        <f t="shared" ref="Q236:S236" si="239">+F236</f>
        <v>5-Ventes</v>
      </c>
      <c r="R236" s="655" t="str">
        <f t="shared" si="239"/>
        <v>4763</v>
      </c>
      <c r="S236" s="656">
        <f t="shared" si="239"/>
        <v>0</v>
      </c>
      <c r="T236" s="658" t="str">
        <f>+VLOOKUP($L236,Data_Validation!$A:$D,1,0)</f>
        <v>4763</v>
      </c>
      <c r="U236" s="658" t="str">
        <f>+VLOOKUP($L236,Data_Validation!$A:$D,3,0)</f>
        <v>Pièces</v>
      </c>
      <c r="V236" s="658" t="str">
        <f>+VLOOKUP($L236,Data_Validation!$A:$D,4,0)</f>
        <v>Ventes de Gros</v>
      </c>
      <c r="W236" s="658" t="str">
        <f>+VLOOKUP($L236,Data_Validation!$A:$E,5,0)</f>
        <v>$</v>
      </c>
      <c r="X236" s="658" t="str">
        <f>+VLOOKUP($L236,Data_Validation!$A:$F,6,0)</f>
        <v>Oui</v>
      </c>
    </row>
    <row r="237" spans="1:24" ht="15" customHeight="1">
      <c r="A237" s="1055" t="s">
        <v>1107</v>
      </c>
      <c r="B237" s="1055" t="s">
        <v>1108</v>
      </c>
      <c r="C237" s="1057">
        <v>-467451.74</v>
      </c>
      <c r="D237" s="1057">
        <v>-52653.82</v>
      </c>
      <c r="E237" s="1057">
        <v>-520105.56</v>
      </c>
      <c r="F237" s="1055" t="s">
        <v>965</v>
      </c>
      <c r="G237" s="1055" t="s">
        <v>1108</v>
      </c>
      <c r="H237" s="1034"/>
      <c r="I237" s="1035"/>
      <c r="J237" s="1035"/>
      <c r="K237" s="1035"/>
      <c r="L237" s="655" t="str">
        <f t="shared" si="197"/>
        <v>4781</v>
      </c>
      <c r="M237" s="656" t="str">
        <f t="shared" si="0"/>
        <v>VENTES PNEUS</v>
      </c>
      <c r="N237" s="657">
        <f>+IF(OR($Q237=Parametres!$G$2,$Q237=Parametres!$G$3),I237,C237)</f>
        <v>-467451.74</v>
      </c>
      <c r="O237" s="657">
        <f>+IF(OR($Q237=Parametres!$G$2,$Q237=Parametres!$G$3),J237,D237)</f>
        <v>-52653.82</v>
      </c>
      <c r="P237" s="657">
        <f>+IF(OR($Q237=Parametres!$G$2,$Q237=Parametres!$G$3),K237,E237)</f>
        <v>-520105.56</v>
      </c>
      <c r="Q237" s="656" t="str">
        <f t="shared" ref="Q237:S237" si="240">+F237</f>
        <v>5-Ventes</v>
      </c>
      <c r="R237" s="655" t="str">
        <f t="shared" si="240"/>
        <v>4781</v>
      </c>
      <c r="S237" s="656">
        <f t="shared" si="240"/>
        <v>0</v>
      </c>
      <c r="T237" s="658" t="str">
        <f>+VLOOKUP($L237,Data_Validation!$A:$D,1,0)</f>
        <v>4781</v>
      </c>
      <c r="U237" s="658" t="str">
        <f>+VLOOKUP($L237,Data_Validation!$A:$D,3,0)</f>
        <v>Pièces</v>
      </c>
      <c r="V237" s="658" t="str">
        <f>+VLOOKUP($L237,Data_Validation!$A:$D,4,0)</f>
        <v>Ventes Pneus</v>
      </c>
      <c r="W237" s="658" t="str">
        <f>+VLOOKUP($L237,Data_Validation!$A:$E,5,0)</f>
        <v>$</v>
      </c>
      <c r="X237" s="658" t="str">
        <f>+VLOOKUP($L237,Data_Validation!$A:$F,6,0)</f>
        <v>Oui</v>
      </c>
    </row>
    <row r="238" spans="1:24" ht="15.75" customHeight="1">
      <c r="A238" s="1055" t="s">
        <v>1110</v>
      </c>
      <c r="B238" s="1055" t="s">
        <v>2052</v>
      </c>
      <c r="C238" s="1057">
        <v>-7308.02</v>
      </c>
      <c r="D238" s="1057">
        <v>-5238.8599999999997</v>
      </c>
      <c r="E238" s="1057">
        <v>-12546.88</v>
      </c>
      <c r="F238" s="1055" t="s">
        <v>965</v>
      </c>
      <c r="G238" s="1055" t="s">
        <v>1108</v>
      </c>
      <c r="H238" s="1034"/>
      <c r="I238" s="1036"/>
      <c r="J238" s="1034"/>
      <c r="K238" s="1036"/>
      <c r="L238" s="655" t="str">
        <f t="shared" si="197"/>
        <v>4785</v>
      </c>
      <c r="M238" s="656" t="str">
        <f t="shared" si="0"/>
        <v>VTE - VW PNEUS</v>
      </c>
      <c r="N238" s="657">
        <f>+IF(OR($Q238=Parametres!$G$2,$Q238=Parametres!$G$3),I238,C238)</f>
        <v>-7308.02</v>
      </c>
      <c r="O238" s="657">
        <f>+IF(OR($Q238=Parametres!$G$2,$Q238=Parametres!$G$3),J238,D238)</f>
        <v>-5238.8599999999997</v>
      </c>
      <c r="P238" s="657">
        <f>+IF(OR($Q238=Parametres!$G$2,$Q238=Parametres!$G$3),K238,E238)</f>
        <v>-12546.88</v>
      </c>
      <c r="Q238" s="656" t="str">
        <f t="shared" ref="Q238:S238" si="241">+F238</f>
        <v>5-Ventes</v>
      </c>
      <c r="R238" s="655" t="str">
        <f t="shared" si="241"/>
        <v>4781</v>
      </c>
      <c r="S238" s="656">
        <f t="shared" si="241"/>
        <v>0</v>
      </c>
      <c r="T238" s="658" t="str">
        <f>+VLOOKUP($L238,Data_Validation!$A:$D,1,0)</f>
        <v>4785</v>
      </c>
      <c r="U238" s="658" t="str">
        <f>+VLOOKUP($L238,Data_Validation!$A:$D,3,0)</f>
        <v>Pièces</v>
      </c>
      <c r="V238" s="658" t="str">
        <f>+VLOOKUP($L238,Data_Validation!$A:$D,4,0)</f>
        <v>Ventes Pneus</v>
      </c>
      <c r="W238" s="658" t="str">
        <f>+VLOOKUP($L238,Data_Validation!$A:$E,5,0)</f>
        <v>$</v>
      </c>
      <c r="X238" s="658" t="str">
        <f>+VLOOKUP($L238,Data_Validation!$A:$F,6,0)</f>
        <v>Oui</v>
      </c>
    </row>
    <row r="239" spans="1:24" ht="15" customHeight="1">
      <c r="A239" s="1055" t="s">
        <v>1111</v>
      </c>
      <c r="B239" s="1055" t="s">
        <v>2060</v>
      </c>
      <c r="C239" s="1057">
        <v>3936009.74</v>
      </c>
      <c r="D239" s="1057">
        <v>150643.4</v>
      </c>
      <c r="E239" s="1057">
        <v>4086653.14</v>
      </c>
      <c r="F239" s="1055" t="s">
        <v>1112</v>
      </c>
      <c r="G239" s="1055" t="s">
        <v>966</v>
      </c>
      <c r="H239" s="1034"/>
      <c r="I239" s="1035"/>
      <c r="J239" s="1035"/>
      <c r="K239" s="1035"/>
      <c r="L239" s="655" t="str">
        <f t="shared" si="197"/>
        <v>5100</v>
      </c>
      <c r="M239" s="656" t="str">
        <f t="shared" si="0"/>
        <v>C/V - RACHAT DE BAIL</v>
      </c>
      <c r="N239" s="657">
        <f>+IF(OR($Q239=Parametres!$G$2,$Q239=Parametres!$G$3),I239,C239)</f>
        <v>3936009.74</v>
      </c>
      <c r="O239" s="657">
        <f>+IF(OR($Q239=Parametres!$G$2,$Q239=Parametres!$G$3),J239,D239)</f>
        <v>150643.4</v>
      </c>
      <c r="P239" s="657">
        <f>+IF(OR($Q239=Parametres!$G$2,$Q239=Parametres!$G$3),K239,E239)</f>
        <v>4086653.14</v>
      </c>
      <c r="Q239" s="656" t="str">
        <f t="shared" ref="Q239:S239" si="242">+F239</f>
        <v>6-Coût des ventes</v>
      </c>
      <c r="R239" s="655" t="str">
        <f t="shared" si="242"/>
        <v>4100</v>
      </c>
      <c r="S239" s="656">
        <f t="shared" si="242"/>
        <v>0</v>
      </c>
      <c r="T239" s="658" t="str">
        <f>+VLOOKUP($L239,Data_Validation!$A:$D,1,0)</f>
        <v>5100</v>
      </c>
      <c r="U239" s="658" t="str">
        <f>+VLOOKUP($L239,Data_Validation!$A:$D,3,0)</f>
        <v>Véhicules neufs</v>
      </c>
      <c r="V239" s="658" t="str">
        <f>+VLOOKUP($L239,Data_Validation!$A:$D,4,0)</f>
        <v>Rachat bail</v>
      </c>
      <c r="W239" s="658" t="str">
        <f>+VLOOKUP($L239,Data_Validation!$A:$E,5,0)</f>
        <v>$</v>
      </c>
      <c r="X239" s="658">
        <f>+VLOOKUP($L239,Data_Validation!$A:$F,6,0)</f>
        <v>0</v>
      </c>
    </row>
    <row r="240" spans="1:24" ht="15" customHeight="1">
      <c r="A240" s="1055" t="s">
        <v>1113</v>
      </c>
      <c r="B240" s="1055" t="s">
        <v>2072</v>
      </c>
      <c r="C240" s="1057">
        <v>308970.82</v>
      </c>
      <c r="D240" s="1057">
        <v>0</v>
      </c>
      <c r="E240" s="1057">
        <v>308970.82</v>
      </c>
      <c r="F240" s="1055" t="s">
        <v>1112</v>
      </c>
      <c r="G240" s="1055" t="s">
        <v>970</v>
      </c>
      <c r="H240" s="1034"/>
      <c r="I240" s="1036"/>
      <c r="J240" s="1034"/>
      <c r="K240" s="1036"/>
      <c r="L240" s="655" t="str">
        <f t="shared" si="197"/>
        <v>5109</v>
      </c>
      <c r="M240" s="656" t="str">
        <f t="shared" si="0"/>
        <v>C/V - GOLF R</v>
      </c>
      <c r="N240" s="657">
        <f>+IF(OR($Q240=Parametres!$G$2,$Q240=Parametres!$G$3),I240,C240)</f>
        <v>308970.82</v>
      </c>
      <c r="O240" s="657">
        <f>+IF(OR($Q240=Parametres!$G$2,$Q240=Parametres!$G$3),J240,D240)</f>
        <v>0</v>
      </c>
      <c r="P240" s="657">
        <f>+IF(OR($Q240=Parametres!$G$2,$Q240=Parametres!$G$3),K240,E240)</f>
        <v>308970.82</v>
      </c>
      <c r="Q240" s="656" t="str">
        <f t="shared" ref="Q240:S240" si="243">+F240</f>
        <v>6-Coût des ventes</v>
      </c>
      <c r="R240" s="655" t="str">
        <f t="shared" si="243"/>
        <v>4109</v>
      </c>
      <c r="S240" s="656">
        <f t="shared" si="243"/>
        <v>0</v>
      </c>
      <c r="T240" s="658" t="str">
        <f>+VLOOKUP($L240,Data_Validation!$A:$D,1,0)</f>
        <v>5109</v>
      </c>
      <c r="U240" s="658" t="str">
        <f>+VLOOKUP($L240,Data_Validation!$A:$D,3,0)</f>
        <v>Véhicules neufs</v>
      </c>
      <c r="V240" s="658" t="str">
        <f>+VLOOKUP($L240,Data_Validation!$A:$D,4,0)</f>
        <v>Autos détail</v>
      </c>
      <c r="W240" s="658" t="str">
        <f>+VLOOKUP($L240,Data_Validation!$A:$E,5,0)</f>
        <v>$</v>
      </c>
      <c r="X240" s="658">
        <f>+VLOOKUP($L240,Data_Validation!$A:$F,6,0)</f>
        <v>0</v>
      </c>
    </row>
    <row r="241" spans="1:24" ht="15" customHeight="1">
      <c r="A241" s="1055" t="s">
        <v>973</v>
      </c>
      <c r="B241" s="1055" t="s">
        <v>2077</v>
      </c>
      <c r="C241" s="1057">
        <v>1391371.97</v>
      </c>
      <c r="D241" s="1057">
        <v>200240.03</v>
      </c>
      <c r="E241" s="1057">
        <v>1591612</v>
      </c>
      <c r="F241" s="1055" t="s">
        <v>1112</v>
      </c>
      <c r="G241" s="1055" t="s">
        <v>974</v>
      </c>
      <c r="H241" s="1034"/>
      <c r="I241" s="1035"/>
      <c r="J241" s="1035"/>
      <c r="K241" s="1035"/>
      <c r="L241" s="655" t="str">
        <f t="shared" si="197"/>
        <v>5111</v>
      </c>
      <c r="M241" s="656" t="str">
        <f t="shared" si="0"/>
        <v>JETTA/ JETTA GLI</v>
      </c>
      <c r="N241" s="657">
        <f>+IF(OR($Q241=Parametres!$G$2,$Q241=Parametres!$G$3),I241,C241)</f>
        <v>1391371.97</v>
      </c>
      <c r="O241" s="657">
        <f>+IF(OR($Q241=Parametres!$G$2,$Q241=Parametres!$G$3),J241,D241)</f>
        <v>200240.03</v>
      </c>
      <c r="P241" s="657">
        <f>+IF(OR($Q241=Parametres!$G$2,$Q241=Parametres!$G$3),K241,E241)</f>
        <v>1591612</v>
      </c>
      <c r="Q241" s="656" t="str">
        <f t="shared" ref="Q241:S241" si="244">+F241</f>
        <v>6-Coût des ventes</v>
      </c>
      <c r="R241" s="655" t="str">
        <f t="shared" si="244"/>
        <v>4111</v>
      </c>
      <c r="S241" s="656">
        <f t="shared" si="244"/>
        <v>0</v>
      </c>
      <c r="T241" s="658" t="str">
        <f>+VLOOKUP($L241,Data_Validation!$A:$D,1,0)</f>
        <v>5111</v>
      </c>
      <c r="U241" s="658" t="str">
        <f>+VLOOKUP($L241,Data_Validation!$A:$D,3,0)</f>
        <v>Véhicules neufs</v>
      </c>
      <c r="V241" s="658" t="str">
        <f>+VLOOKUP($L241,Data_Validation!$A:$D,4,0)</f>
        <v>Autos détail</v>
      </c>
      <c r="W241" s="658" t="str">
        <f>+VLOOKUP($L241,Data_Validation!$A:$E,5,0)</f>
        <v>$</v>
      </c>
      <c r="X241" s="658">
        <f>+VLOOKUP($L241,Data_Validation!$A:$F,6,0)</f>
        <v>0</v>
      </c>
    </row>
    <row r="242" spans="1:24" ht="15" customHeight="1">
      <c r="A242" s="1055" t="s">
        <v>1114</v>
      </c>
      <c r="B242" s="1055" t="s">
        <v>3388</v>
      </c>
      <c r="C242" s="1057">
        <v>3590111.14</v>
      </c>
      <c r="D242" s="1057">
        <v>73816.33</v>
      </c>
      <c r="E242" s="1057">
        <v>3663927.47</v>
      </c>
      <c r="F242" s="1055" t="s">
        <v>1112</v>
      </c>
      <c r="G242" s="1055" t="s">
        <v>1115</v>
      </c>
      <c r="H242" s="1034"/>
      <c r="I242" s="1035"/>
      <c r="J242" s="1035"/>
      <c r="K242" s="1035"/>
      <c r="L242" s="655" t="str">
        <f t="shared" si="197"/>
        <v>5118</v>
      </c>
      <c r="M242" s="656" t="str">
        <f t="shared" si="0"/>
        <v>C/V - TAOS</v>
      </c>
      <c r="N242" s="657">
        <f>+IF(OR($Q242=Parametres!$G$2,$Q242=Parametres!$G$3),I242,C242)</f>
        <v>3590111.14</v>
      </c>
      <c r="O242" s="657">
        <f>+IF(OR($Q242=Parametres!$G$2,$Q242=Parametres!$G$3),J242,D242)</f>
        <v>73816.33</v>
      </c>
      <c r="P242" s="657">
        <f>+IF(OR($Q242=Parametres!$G$2,$Q242=Parametres!$G$3),K242,E242)</f>
        <v>3663927.47</v>
      </c>
      <c r="Q242" s="656" t="str">
        <f t="shared" ref="Q242:S242" si="245">+F242</f>
        <v>6-Coût des ventes</v>
      </c>
      <c r="R242" s="655" t="str">
        <f t="shared" si="245"/>
        <v>511</v>
      </c>
      <c r="S242" s="656">
        <f t="shared" si="245"/>
        <v>0</v>
      </c>
      <c r="T242" s="658" t="str">
        <f>+VLOOKUP($L242,Data_Validation!$A:$D,1,0)</f>
        <v>5118</v>
      </c>
      <c r="U242" s="658" t="str">
        <f>+VLOOKUP($L242,Data_Validation!$A:$D,3,0)</f>
        <v>Véhicules neufs</v>
      </c>
      <c r="V242" s="658" t="str">
        <f>+VLOOKUP($L242,Data_Validation!$A:$D,4,0)</f>
        <v>Camions détail</v>
      </c>
      <c r="W242" s="658" t="str">
        <f>+VLOOKUP($L242,Data_Validation!$A:$E,5,0)</f>
        <v>$</v>
      </c>
      <c r="X242" s="658">
        <f>+VLOOKUP($L242,Data_Validation!$A:$F,6,0)</f>
        <v>0</v>
      </c>
    </row>
    <row r="243" spans="1:24" ht="15.75" customHeight="1">
      <c r="A243" s="1055" t="s">
        <v>1116</v>
      </c>
      <c r="B243" s="1055" t="s">
        <v>2086</v>
      </c>
      <c r="C243" s="1057">
        <v>3579760.93</v>
      </c>
      <c r="D243" s="1057">
        <v>114585.37</v>
      </c>
      <c r="E243" s="1057">
        <v>3694346.3</v>
      </c>
      <c r="F243" s="1055" t="s">
        <v>1112</v>
      </c>
      <c r="G243" s="1055" t="s">
        <v>982</v>
      </c>
      <c r="H243" s="1034"/>
      <c r="I243" s="1035"/>
      <c r="J243" s="1035"/>
      <c r="K243" s="1035"/>
      <c r="L243" s="655" t="str">
        <f t="shared" si="197"/>
        <v>5119</v>
      </c>
      <c r="M243" s="656" t="str">
        <f t="shared" si="0"/>
        <v>C/V - ATLAS</v>
      </c>
      <c r="N243" s="657">
        <f>+IF(OR($Q243=Parametres!$G$2,$Q243=Parametres!$G$3),I243,C243)</f>
        <v>3579760.93</v>
      </c>
      <c r="O243" s="657">
        <f>+IF(OR($Q243=Parametres!$G$2,$Q243=Parametres!$G$3),J243,D243)</f>
        <v>114585.37</v>
      </c>
      <c r="P243" s="657">
        <f>+IF(OR($Q243=Parametres!$G$2,$Q243=Parametres!$G$3),K243,E243)</f>
        <v>3694346.3</v>
      </c>
      <c r="Q243" s="656" t="str">
        <f t="shared" ref="Q243:S243" si="246">+F243</f>
        <v>6-Coût des ventes</v>
      </c>
      <c r="R243" s="655" t="str">
        <f t="shared" si="246"/>
        <v>4119</v>
      </c>
      <c r="S243" s="656">
        <f t="shared" si="246"/>
        <v>0</v>
      </c>
      <c r="T243" s="658" t="str">
        <f>+VLOOKUP($L243,Data_Validation!$A:$D,1,0)</f>
        <v>5119</v>
      </c>
      <c r="U243" s="658" t="str">
        <f>+VLOOKUP($L243,Data_Validation!$A:$D,3,0)</f>
        <v>Véhicules neufs</v>
      </c>
      <c r="V243" s="658" t="str">
        <f>+VLOOKUP($L243,Data_Validation!$A:$D,4,0)</f>
        <v>Camions détail</v>
      </c>
      <c r="W243" s="658" t="str">
        <f>+VLOOKUP($L243,Data_Validation!$A:$E,5,0)</f>
        <v>$</v>
      </c>
      <c r="X243" s="658">
        <f>+VLOOKUP($L243,Data_Validation!$A:$F,6,0)</f>
        <v>0</v>
      </c>
    </row>
    <row r="244" spans="1:24" ht="15" customHeight="1">
      <c r="A244" s="1055" t="s">
        <v>1117</v>
      </c>
      <c r="B244" s="1055" t="s">
        <v>3389</v>
      </c>
      <c r="C244" s="1057">
        <v>126137.85</v>
      </c>
      <c r="D244" s="1057">
        <v>0</v>
      </c>
      <c r="E244" s="1057">
        <v>126137.85</v>
      </c>
      <c r="F244" s="1055" t="s">
        <v>1112</v>
      </c>
      <c r="G244" s="1055" t="s">
        <v>3353</v>
      </c>
      <c r="H244" s="1034"/>
      <c r="I244" s="1035"/>
      <c r="J244" s="1035"/>
      <c r="K244" s="1035"/>
      <c r="L244" s="655" t="str">
        <f t="shared" si="197"/>
        <v>5121</v>
      </c>
      <c r="M244" s="656" t="str">
        <f t="shared" si="0"/>
        <v>C/V - ATLAS CROSS SPORT</v>
      </c>
      <c r="N244" s="657">
        <f>+IF(OR($Q244=Parametres!$G$2,$Q244=Parametres!$G$3),I244,C244)</f>
        <v>126137.85</v>
      </c>
      <c r="O244" s="657">
        <f>+IF(OR($Q244=Parametres!$G$2,$Q244=Parametres!$G$3),J244,D244)</f>
        <v>0</v>
      </c>
      <c r="P244" s="657">
        <f>+IF(OR($Q244=Parametres!$G$2,$Q244=Parametres!$G$3),K244,E244)</f>
        <v>126137.85</v>
      </c>
      <c r="Q244" s="656" t="str">
        <f t="shared" ref="Q244:S244" si="247">+F244</f>
        <v>6-Coût des ventes</v>
      </c>
      <c r="R244" s="655" t="str">
        <f t="shared" si="247"/>
        <v>4121</v>
      </c>
      <c r="S244" s="656">
        <f t="shared" si="247"/>
        <v>0</v>
      </c>
      <c r="T244" s="658" t="str">
        <f>+VLOOKUP($L244,Data_Validation!$A:$D,1,0)</f>
        <v>5121</v>
      </c>
      <c r="U244" s="658" t="str">
        <f>+VLOOKUP($L244,Data_Validation!$A:$D,3,0)</f>
        <v>Véhicules neufs</v>
      </c>
      <c r="V244" s="658" t="str">
        <f>+VLOOKUP($L244,Data_Validation!$A:$D,4,0)</f>
        <v>Camions détail</v>
      </c>
      <c r="W244" s="658" t="str">
        <f>+VLOOKUP($L244,Data_Validation!$A:$E,5,0)</f>
        <v>$</v>
      </c>
      <c r="X244" s="658">
        <f>+VLOOKUP($L244,Data_Validation!$A:$F,6,0)</f>
        <v>0</v>
      </c>
    </row>
    <row r="245" spans="1:24" ht="15" customHeight="1">
      <c r="A245" s="1055" t="s">
        <v>1118</v>
      </c>
      <c r="B245" s="1055" t="s">
        <v>2092</v>
      </c>
      <c r="C245" s="1057">
        <v>700204.34</v>
      </c>
      <c r="D245" s="1057">
        <v>0</v>
      </c>
      <c r="E245" s="1057">
        <v>700204.34</v>
      </c>
      <c r="F245" s="1055" t="s">
        <v>1112</v>
      </c>
      <c r="G245" s="1055" t="s">
        <v>989</v>
      </c>
      <c r="H245" s="1034"/>
      <c r="I245" s="1035"/>
      <c r="J245" s="1035"/>
      <c r="K245" s="1035"/>
      <c r="L245" s="655" t="str">
        <f t="shared" si="197"/>
        <v>5127</v>
      </c>
      <c r="M245" s="656" t="str">
        <f t="shared" si="0"/>
        <v>C/V - GOLF GTI</v>
      </c>
      <c r="N245" s="657">
        <f>+IF(OR($Q245=Parametres!$G$2,$Q245=Parametres!$G$3),I245,C245)</f>
        <v>700204.34</v>
      </c>
      <c r="O245" s="657">
        <f>+IF(OR($Q245=Parametres!$G$2,$Q245=Parametres!$G$3),J245,D245)</f>
        <v>0</v>
      </c>
      <c r="P245" s="657">
        <f>+IF(OR($Q245=Parametres!$G$2,$Q245=Parametres!$G$3),K245,E245)</f>
        <v>700204.34</v>
      </c>
      <c r="Q245" s="656" t="str">
        <f t="shared" ref="Q245:S245" si="248">+F245</f>
        <v>6-Coût des ventes</v>
      </c>
      <c r="R245" s="655" t="str">
        <f t="shared" si="248"/>
        <v>4127</v>
      </c>
      <c r="S245" s="656">
        <f t="shared" si="248"/>
        <v>0</v>
      </c>
      <c r="T245" s="658" t="str">
        <f>+VLOOKUP($L245,Data_Validation!$A:$D,1,0)</f>
        <v>5127</v>
      </c>
      <c r="U245" s="658" t="str">
        <f>+VLOOKUP($L245,Data_Validation!$A:$D,3,0)</f>
        <v>Véhicules neufs</v>
      </c>
      <c r="V245" s="658" t="str">
        <f>+VLOOKUP($L245,Data_Validation!$A:$D,4,0)</f>
        <v>Autos détail</v>
      </c>
      <c r="W245" s="658" t="str">
        <f>+VLOOKUP($L245,Data_Validation!$A:$E,5,0)</f>
        <v>$</v>
      </c>
      <c r="X245" s="658">
        <f>+VLOOKUP($L245,Data_Validation!$A:$F,6,0)</f>
        <v>0</v>
      </c>
    </row>
    <row r="246" spans="1:24" ht="15" customHeight="1">
      <c r="A246" s="1055" t="s">
        <v>1119</v>
      </c>
      <c r="B246" s="1055" t="s">
        <v>2095</v>
      </c>
      <c r="C246" s="1057">
        <v>7127981.9500000002</v>
      </c>
      <c r="D246" s="1057">
        <v>1002585.66</v>
      </c>
      <c r="E246" s="1057">
        <v>8130567.6100000003</v>
      </c>
      <c r="F246" s="1055" t="s">
        <v>1112</v>
      </c>
      <c r="G246" s="1055" t="s">
        <v>993</v>
      </c>
      <c r="H246" s="1034"/>
      <c r="I246" s="1035"/>
      <c r="J246" s="1035"/>
      <c r="K246" s="1035"/>
      <c r="L246" s="655" t="str">
        <f t="shared" si="197"/>
        <v>5131</v>
      </c>
      <c r="M246" s="656" t="str">
        <f t="shared" si="0"/>
        <v>C/V - TIGUAN LWB</v>
      </c>
      <c r="N246" s="657">
        <f>+IF(OR($Q246=Parametres!$G$2,$Q246=Parametres!$G$3),I246,C246)</f>
        <v>7127981.9500000002</v>
      </c>
      <c r="O246" s="657">
        <f>+IF(OR($Q246=Parametres!$G$2,$Q246=Parametres!$G$3),J246,D246)</f>
        <v>1002585.66</v>
      </c>
      <c r="P246" s="657">
        <f>+IF(OR($Q246=Parametres!$G$2,$Q246=Parametres!$G$3),K246,E246)</f>
        <v>8130567.6100000003</v>
      </c>
      <c r="Q246" s="656" t="str">
        <f t="shared" ref="Q246:S246" si="249">+F246</f>
        <v>6-Coût des ventes</v>
      </c>
      <c r="R246" s="655" t="str">
        <f t="shared" si="249"/>
        <v>4131</v>
      </c>
      <c r="S246" s="656">
        <f t="shared" si="249"/>
        <v>0</v>
      </c>
      <c r="T246" s="658" t="str">
        <f>+VLOOKUP($L246,Data_Validation!$A:$D,1,0)</f>
        <v>5131</v>
      </c>
      <c r="U246" s="658" t="str">
        <f>+VLOOKUP($L246,Data_Validation!$A:$D,3,0)</f>
        <v>Véhicules neufs</v>
      </c>
      <c r="V246" s="658" t="str">
        <f>+VLOOKUP($L246,Data_Validation!$A:$D,4,0)</f>
        <v>Camions détail</v>
      </c>
      <c r="W246" s="658" t="str">
        <f>+VLOOKUP($L246,Data_Validation!$A:$E,5,0)</f>
        <v>$</v>
      </c>
      <c r="X246" s="658">
        <f>+VLOOKUP($L246,Data_Validation!$A:$F,6,0)</f>
        <v>0</v>
      </c>
    </row>
    <row r="247" spans="1:24" ht="15.75" customHeight="1">
      <c r="A247" s="1055" t="s">
        <v>1120</v>
      </c>
      <c r="B247" s="1055" t="s">
        <v>2101</v>
      </c>
      <c r="C247" s="1057">
        <v>612020.26</v>
      </c>
      <c r="D247" s="1057">
        <v>0</v>
      </c>
      <c r="E247" s="1057">
        <v>612020.26</v>
      </c>
      <c r="F247" s="1055" t="s">
        <v>1112</v>
      </c>
      <c r="G247" s="1055" t="s">
        <v>997</v>
      </c>
      <c r="H247" s="1034"/>
      <c r="I247" s="1035"/>
      <c r="J247" s="1035"/>
      <c r="K247" s="1035"/>
      <c r="L247" s="655" t="str">
        <f t="shared" si="197"/>
        <v>5137</v>
      </c>
      <c r="M247" s="656" t="str">
        <f t="shared" si="0"/>
        <v>C/V - VW FLOTTE/VENTE ENTR/EMPLOYE/VEH DEMONS</v>
      </c>
      <c r="N247" s="657">
        <f>+IF(OR($Q247=Parametres!$G$2,$Q247=Parametres!$G$3),I247,C247)</f>
        <v>612020.26</v>
      </c>
      <c r="O247" s="657">
        <f>+IF(OR($Q247=Parametres!$G$2,$Q247=Parametres!$G$3),J247,D247)</f>
        <v>0</v>
      </c>
      <c r="P247" s="657">
        <f>+IF(OR($Q247=Parametres!$G$2,$Q247=Parametres!$G$3),K247,E247)</f>
        <v>612020.26</v>
      </c>
      <c r="Q247" s="656" t="str">
        <f t="shared" ref="Q247:S247" si="250">+F247</f>
        <v>6-Coût des ventes</v>
      </c>
      <c r="R247" s="655" t="str">
        <f t="shared" si="250"/>
        <v>4137</v>
      </c>
      <c r="S247" s="656">
        <f t="shared" si="250"/>
        <v>0</v>
      </c>
      <c r="T247" s="658" t="str">
        <f>+VLOOKUP($L247,Data_Validation!$A:$D,1,0)</f>
        <v>5137</v>
      </c>
      <c r="U247" s="658" t="str">
        <f>+VLOOKUP($L247,Data_Validation!$A:$D,3,0)</f>
        <v>Véhicules neufs</v>
      </c>
      <c r="V247" s="658" t="str">
        <f>+VLOOKUP($L247,Data_Validation!$A:$D,4,0)</f>
        <v>Flottes</v>
      </c>
      <c r="W247" s="658" t="str">
        <f>+VLOOKUP($L247,Data_Validation!$A:$E,5,0)</f>
        <v>$</v>
      </c>
      <c r="X247" s="658">
        <f>+VLOOKUP($L247,Data_Validation!$A:$F,6,0)</f>
        <v>0</v>
      </c>
    </row>
    <row r="248" spans="1:24" ht="15" customHeight="1">
      <c r="A248" s="1055" t="s">
        <v>1120</v>
      </c>
      <c r="B248" s="1055" t="s">
        <v>2104</v>
      </c>
      <c r="C248" s="1057">
        <v>1495822.7</v>
      </c>
      <c r="D248" s="1057">
        <v>88846.22</v>
      </c>
      <c r="E248" s="1057">
        <v>1584668.92</v>
      </c>
      <c r="F248" s="1055" t="s">
        <v>1112</v>
      </c>
      <c r="G248" s="1055" t="s">
        <v>1001</v>
      </c>
      <c r="H248" s="1034"/>
      <c r="I248" s="1035"/>
      <c r="J248" s="1035"/>
      <c r="K248" s="1035"/>
      <c r="L248" s="655" t="str">
        <f t="shared" si="197"/>
        <v>5139</v>
      </c>
      <c r="M248" s="656" t="str">
        <f t="shared" si="0"/>
        <v>C/V - VW FLOTTE/VENTE ENTR/EMPLOYE/VEH DEMONS</v>
      </c>
      <c r="N248" s="657">
        <f>+IF(OR($Q248=Parametres!$G$2,$Q248=Parametres!$G$3),I248,C248)</f>
        <v>1495822.7</v>
      </c>
      <c r="O248" s="657">
        <f>+IF(OR($Q248=Parametres!$G$2,$Q248=Parametres!$G$3),J248,D248)</f>
        <v>88846.22</v>
      </c>
      <c r="P248" s="657">
        <f>+IF(OR($Q248=Parametres!$G$2,$Q248=Parametres!$G$3),K248,E248)</f>
        <v>1584668.92</v>
      </c>
      <c r="Q248" s="656" t="str">
        <f t="shared" ref="Q248:S248" si="251">+F248</f>
        <v>6-Coût des ventes</v>
      </c>
      <c r="R248" s="655" t="str">
        <f t="shared" si="251"/>
        <v>4139</v>
      </c>
      <c r="S248" s="656">
        <f t="shared" si="251"/>
        <v>0</v>
      </c>
      <c r="T248" s="658" t="str">
        <f>+VLOOKUP($L248,Data_Validation!$A:$D,1,0)</f>
        <v>5139</v>
      </c>
      <c r="U248" s="658" t="str">
        <f>+VLOOKUP($L248,Data_Validation!$A:$D,3,0)</f>
        <v>Véhicules neufs</v>
      </c>
      <c r="V248" s="658" t="str">
        <f>+VLOOKUP($L248,Data_Validation!$A:$D,4,0)</f>
        <v>Ex-Démos et courtoisies</v>
      </c>
      <c r="W248" s="658" t="str">
        <f>+VLOOKUP($L248,Data_Validation!$A:$E,5,0)</f>
        <v>$</v>
      </c>
      <c r="X248" s="658">
        <f>+VLOOKUP($L248,Data_Validation!$A:$F,6,0)</f>
        <v>0</v>
      </c>
    </row>
    <row r="249" spans="1:24" ht="15" customHeight="1">
      <c r="A249" s="1055" t="s">
        <v>1121</v>
      </c>
      <c r="B249" s="1055" t="s">
        <v>3390</v>
      </c>
      <c r="C249" s="1057">
        <v>638243.43999999994</v>
      </c>
      <c r="D249" s="1057">
        <v>0</v>
      </c>
      <c r="E249" s="1057">
        <v>638243.43999999994</v>
      </c>
      <c r="F249" s="1055" t="s">
        <v>1112</v>
      </c>
      <c r="G249" s="1055" t="s">
        <v>1122</v>
      </c>
      <c r="H249" s="1034"/>
      <c r="I249" s="1035"/>
      <c r="J249" s="1035"/>
      <c r="K249" s="1035"/>
      <c r="L249" s="655" t="str">
        <f t="shared" si="197"/>
        <v>5144</v>
      </c>
      <c r="M249" s="656" t="str">
        <f t="shared" si="0"/>
        <v>C/V - JETTA GLI</v>
      </c>
      <c r="N249" s="657">
        <f>+IF(OR($Q249=Parametres!$G$2,$Q249=Parametres!$G$3),I249,C249)</f>
        <v>638243.43999999994</v>
      </c>
      <c r="O249" s="657">
        <f>+IF(OR($Q249=Parametres!$G$2,$Q249=Parametres!$G$3),J249,D249)</f>
        <v>0</v>
      </c>
      <c r="P249" s="657">
        <f>+IF(OR($Q249=Parametres!$G$2,$Q249=Parametres!$G$3),K249,E249)</f>
        <v>638243.43999999994</v>
      </c>
      <c r="Q249" s="656" t="str">
        <f t="shared" ref="Q249:S249" si="252">+F249</f>
        <v>6-Coût des ventes</v>
      </c>
      <c r="R249" s="655" t="str">
        <f t="shared" si="252"/>
        <v>514</v>
      </c>
      <c r="S249" s="656">
        <f t="shared" si="252"/>
        <v>0</v>
      </c>
      <c r="T249" s="658" t="str">
        <f>+VLOOKUP($L249,Data_Validation!$A:$D,1,0)</f>
        <v>5144</v>
      </c>
      <c r="U249" s="658" t="str">
        <f>+VLOOKUP($L249,Data_Validation!$A:$D,3,0)</f>
        <v>Véhicules neufs</v>
      </c>
      <c r="V249" s="658" t="str">
        <f>+VLOOKUP($L249,Data_Validation!$A:$D,4,0)</f>
        <v>Autos détail</v>
      </c>
      <c r="W249" s="658" t="str">
        <f>+VLOOKUP($L249,Data_Validation!$A:$E,5,0)</f>
        <v>$</v>
      </c>
      <c r="X249" s="658">
        <f>+VLOOKUP($L249,Data_Validation!$A:$F,6,0)</f>
        <v>0</v>
      </c>
    </row>
    <row r="250" spans="1:24" ht="15" customHeight="1">
      <c r="A250" s="1055" t="s">
        <v>1123</v>
      </c>
      <c r="B250" s="1055" t="s">
        <v>2115</v>
      </c>
      <c r="C250" s="1057">
        <v>8252786.2000000002</v>
      </c>
      <c r="D250" s="1057">
        <v>543756.91</v>
      </c>
      <c r="E250" s="1057">
        <v>8796543.1099999994</v>
      </c>
      <c r="F250" s="1055" t="s">
        <v>1112</v>
      </c>
      <c r="G250" s="1055" t="s">
        <v>1009</v>
      </c>
      <c r="H250" s="1034"/>
      <c r="I250" s="1035"/>
      <c r="J250" s="1035"/>
      <c r="K250" s="1035"/>
      <c r="L250" s="655" t="str">
        <f t="shared" si="197"/>
        <v>5201</v>
      </c>
      <c r="M250" s="656" t="str">
        <f t="shared" si="0"/>
        <v>C/V - VEH.USAGE VW DETAIL CERTIFIE</v>
      </c>
      <c r="N250" s="657">
        <f>+IF(OR($Q250=Parametres!$G$2,$Q250=Parametres!$G$3),I250,C250)</f>
        <v>8252786.2000000002</v>
      </c>
      <c r="O250" s="657">
        <f>+IF(OR($Q250=Parametres!$G$2,$Q250=Parametres!$G$3),J250,D250)</f>
        <v>543756.91</v>
      </c>
      <c r="P250" s="657">
        <f>+IF(OR($Q250=Parametres!$G$2,$Q250=Parametres!$G$3),K250,E250)</f>
        <v>8796543.1099999994</v>
      </c>
      <c r="Q250" s="656" t="str">
        <f t="shared" ref="Q250:S250" si="253">+F250</f>
        <v>6-Coût des ventes</v>
      </c>
      <c r="R250" s="655" t="str">
        <f t="shared" si="253"/>
        <v>4201</v>
      </c>
      <c r="S250" s="656">
        <f t="shared" si="253"/>
        <v>0</v>
      </c>
      <c r="T250" s="658" t="str">
        <f>+VLOOKUP($L250,Data_Validation!$A:$D,1,0)</f>
        <v>5201</v>
      </c>
      <c r="U250" s="658" t="str">
        <f>+VLOOKUP($L250,Data_Validation!$A:$D,3,0)</f>
        <v>Véhicules usagés</v>
      </c>
      <c r="V250" s="658" t="str">
        <f>+VLOOKUP($L250,Data_Validation!$A:$D,4,0)</f>
        <v>Certifié</v>
      </c>
      <c r="W250" s="658" t="str">
        <f>+VLOOKUP($L250,Data_Validation!$A:$E,5,0)</f>
        <v>$</v>
      </c>
      <c r="X250" s="658">
        <f>+VLOOKUP($L250,Data_Validation!$A:$F,6,0)</f>
        <v>0</v>
      </c>
    </row>
    <row r="251" spans="1:24" ht="15" customHeight="1">
      <c r="A251" s="1055" t="s">
        <v>1124</v>
      </c>
      <c r="B251" s="1055" t="s">
        <v>2118</v>
      </c>
      <c r="C251" s="1057">
        <v>680296.63</v>
      </c>
      <c r="D251" s="1057">
        <v>46014.91</v>
      </c>
      <c r="E251" s="1057">
        <v>726311.54</v>
      </c>
      <c r="F251" s="1055" t="s">
        <v>1112</v>
      </c>
      <c r="G251" s="1055" t="s">
        <v>1009</v>
      </c>
      <c r="H251" s="1034"/>
      <c r="I251" s="1035"/>
      <c r="J251" s="1035"/>
      <c r="K251" s="1035"/>
      <c r="L251" s="655" t="str">
        <f t="shared" si="197"/>
        <v>5203</v>
      </c>
      <c r="M251" s="656" t="str">
        <f t="shared" si="0"/>
        <v>C/V - RECOND USAGE VW CERT.</v>
      </c>
      <c r="N251" s="657">
        <f>+IF(OR($Q251=Parametres!$G$2,$Q251=Parametres!$G$3),I251,C251)</f>
        <v>680296.63</v>
      </c>
      <c r="O251" s="657">
        <f>+IF(OR($Q251=Parametres!$G$2,$Q251=Parametres!$G$3),J251,D251)</f>
        <v>46014.91</v>
      </c>
      <c r="P251" s="657">
        <f>+IF(OR($Q251=Parametres!$G$2,$Q251=Parametres!$G$3),K251,E251)</f>
        <v>726311.54</v>
      </c>
      <c r="Q251" s="656" t="str">
        <f t="shared" ref="Q251:S251" si="254">+F251</f>
        <v>6-Coût des ventes</v>
      </c>
      <c r="R251" s="655" t="str">
        <f t="shared" si="254"/>
        <v>4201</v>
      </c>
      <c r="S251" s="656">
        <f t="shared" si="254"/>
        <v>0</v>
      </c>
      <c r="T251" s="658" t="str">
        <f>+VLOOKUP($L251,Data_Validation!$A:$D,1,0)</f>
        <v>5203</v>
      </c>
      <c r="U251" s="658" t="str">
        <f>+VLOOKUP($L251,Data_Validation!$A:$D,3,0)</f>
        <v>Véhicules usagés</v>
      </c>
      <c r="V251" s="658" t="str">
        <f>+VLOOKUP($L251,Data_Validation!$A:$D,4,0)</f>
        <v>Certifié</v>
      </c>
      <c r="W251" s="658" t="str">
        <f>+VLOOKUP($L251,Data_Validation!$A:$E,5,0)</f>
        <v>$</v>
      </c>
      <c r="X251" s="658">
        <f>+VLOOKUP($L251,Data_Validation!$A:$F,6,0)</f>
        <v>0</v>
      </c>
    </row>
    <row r="252" spans="1:24" ht="15.75" customHeight="1">
      <c r="A252" s="1055" t="s">
        <v>1125</v>
      </c>
      <c r="B252" s="1055" t="s">
        <v>2124</v>
      </c>
      <c r="C252" s="1057">
        <v>0</v>
      </c>
      <c r="D252" s="1057">
        <v>20600</v>
      </c>
      <c r="E252" s="1057">
        <v>20600</v>
      </c>
      <c r="F252" s="1055" t="s">
        <v>1112</v>
      </c>
      <c r="G252" s="1055" t="s">
        <v>1013</v>
      </c>
      <c r="H252" s="1034"/>
      <c r="I252" s="1035"/>
      <c r="J252" s="1035"/>
      <c r="K252" s="1035"/>
      <c r="L252" s="655" t="str">
        <f t="shared" si="197"/>
        <v>5211</v>
      </c>
      <c r="M252" s="656" t="str">
        <f t="shared" si="0"/>
        <v>C/V - VW USAGES DETAIL</v>
      </c>
      <c r="N252" s="657">
        <f>+IF(OR($Q252=Parametres!$G$2,$Q252=Parametres!$G$3),I252,C252)</f>
        <v>0</v>
      </c>
      <c r="O252" s="657">
        <f>+IF(OR($Q252=Parametres!$G$2,$Q252=Parametres!$G$3),J252,D252)</f>
        <v>20600</v>
      </c>
      <c r="P252" s="657">
        <f>+IF(OR($Q252=Parametres!$G$2,$Q252=Parametres!$G$3),K252,E252)</f>
        <v>20600</v>
      </c>
      <c r="Q252" s="656" t="str">
        <f t="shared" ref="Q252:S252" si="255">+F252</f>
        <v>6-Coût des ventes</v>
      </c>
      <c r="R252" s="655" t="str">
        <f t="shared" si="255"/>
        <v>4211</v>
      </c>
      <c r="S252" s="656">
        <f t="shared" si="255"/>
        <v>0</v>
      </c>
      <c r="T252" s="658" t="str">
        <f>+VLOOKUP($L252,Data_Validation!$A:$D,1,0)</f>
        <v>5211</v>
      </c>
      <c r="U252" s="658" t="str">
        <f>+VLOOKUP($L252,Data_Validation!$A:$D,3,0)</f>
        <v>Véhicules usagés</v>
      </c>
      <c r="V252" s="658" t="str">
        <f>+VLOOKUP($L252,Data_Validation!$A:$D,4,0)</f>
        <v>Non Certifié</v>
      </c>
      <c r="W252" s="658" t="str">
        <f>+VLOOKUP($L252,Data_Validation!$A:$E,5,0)</f>
        <v>$</v>
      </c>
      <c r="X252" s="658">
        <f>+VLOOKUP($L252,Data_Validation!$A:$F,6,0)</f>
        <v>0</v>
      </c>
    </row>
    <row r="253" spans="1:24" ht="15" customHeight="1">
      <c r="A253" s="1055" t="s">
        <v>1126</v>
      </c>
      <c r="B253" s="1055" t="s">
        <v>2127</v>
      </c>
      <c r="C253" s="1057">
        <v>0</v>
      </c>
      <c r="D253" s="1057">
        <v>547.1</v>
      </c>
      <c r="E253" s="1057">
        <v>547.1</v>
      </c>
      <c r="F253" s="1055" t="s">
        <v>1112</v>
      </c>
      <c r="G253" s="1055" t="s">
        <v>1013</v>
      </c>
      <c r="H253" s="1034"/>
      <c r="I253" s="1035"/>
      <c r="J253" s="1035"/>
      <c r="K253" s="1035"/>
      <c r="L253" s="655" t="str">
        <f t="shared" si="197"/>
        <v>5213</v>
      </c>
      <c r="M253" s="656" t="str">
        <f t="shared" si="0"/>
        <v>C/V - RECOND. USAGE VW DETAIL</v>
      </c>
      <c r="N253" s="657">
        <f>+IF(OR($Q253=Parametres!$G$2,$Q253=Parametres!$G$3),I253,C253)</f>
        <v>0</v>
      </c>
      <c r="O253" s="657">
        <f>+IF(OR($Q253=Parametres!$G$2,$Q253=Parametres!$G$3),J253,D253)</f>
        <v>547.1</v>
      </c>
      <c r="P253" s="657">
        <f>+IF(OR($Q253=Parametres!$G$2,$Q253=Parametres!$G$3),K253,E253)</f>
        <v>547.1</v>
      </c>
      <c r="Q253" s="656" t="str">
        <f t="shared" ref="Q253:S253" si="256">+F253</f>
        <v>6-Coût des ventes</v>
      </c>
      <c r="R253" s="655" t="str">
        <f t="shared" si="256"/>
        <v>4211</v>
      </c>
      <c r="S253" s="656">
        <f t="shared" si="256"/>
        <v>0</v>
      </c>
      <c r="T253" s="658" t="str">
        <f>+VLOOKUP($L253,Data_Validation!$A:$D,1,0)</f>
        <v>5213</v>
      </c>
      <c r="U253" s="658" t="str">
        <f>+VLOOKUP($L253,Data_Validation!$A:$D,3,0)</f>
        <v>Véhicules usagés</v>
      </c>
      <c r="V253" s="658" t="str">
        <f>+VLOOKUP($L253,Data_Validation!$A:$D,4,0)</f>
        <v>Non Certifié</v>
      </c>
      <c r="W253" s="658" t="str">
        <f>+VLOOKUP($L253,Data_Validation!$A:$E,5,0)</f>
        <v>$</v>
      </c>
      <c r="X253" s="658">
        <f>+VLOOKUP($L253,Data_Validation!$A:$F,6,0)</f>
        <v>0</v>
      </c>
    </row>
    <row r="254" spans="1:24" ht="15" customHeight="1">
      <c r="A254" s="1055" t="s">
        <v>1016</v>
      </c>
      <c r="B254" s="1055" t="s">
        <v>2138</v>
      </c>
      <c r="C254" s="1057">
        <v>155147.42000000001</v>
      </c>
      <c r="D254" s="1057">
        <v>0</v>
      </c>
      <c r="E254" s="1057">
        <v>155147.42000000001</v>
      </c>
      <c r="F254" s="1055" t="s">
        <v>1112</v>
      </c>
      <c r="G254" s="1055" t="s">
        <v>1017</v>
      </c>
      <c r="H254" s="1034"/>
      <c r="I254" s="1035"/>
      <c r="J254" s="1035"/>
      <c r="K254" s="1035"/>
      <c r="L254" s="655" t="str">
        <f t="shared" si="197"/>
        <v>5285</v>
      </c>
      <c r="M254" s="656" t="str">
        <f t="shared" si="0"/>
        <v>VEH. D'OCC. AUTRE DETAIL</v>
      </c>
      <c r="N254" s="657">
        <f>+IF(OR($Q254=Parametres!$G$2,$Q254=Parametres!$G$3),I254,C254)</f>
        <v>155147.42000000001</v>
      </c>
      <c r="O254" s="657">
        <f>+IF(OR($Q254=Parametres!$G$2,$Q254=Parametres!$G$3),J254,D254)</f>
        <v>0</v>
      </c>
      <c r="P254" s="657">
        <f>+IF(OR($Q254=Parametres!$G$2,$Q254=Parametres!$G$3),K254,E254)</f>
        <v>155147.42000000001</v>
      </c>
      <c r="Q254" s="656" t="str">
        <f t="shared" ref="Q254:S254" si="257">+F254</f>
        <v>6-Coût des ventes</v>
      </c>
      <c r="R254" s="655" t="str">
        <f t="shared" si="257"/>
        <v>4261</v>
      </c>
      <c r="S254" s="656">
        <f t="shared" si="257"/>
        <v>0</v>
      </c>
      <c r="T254" s="673" t="str">
        <f>+VLOOKUP($L254,Data_Validation!$A:$D,1,0)</f>
        <v>5285</v>
      </c>
      <c r="U254" s="658" t="str">
        <f>+VLOOKUP($L254,Data_Validation!$A:$D,3,0)</f>
        <v>Véhicules usagés</v>
      </c>
      <c r="V254" s="658" t="str">
        <f>+VLOOKUP($L254,Data_Validation!$A:$D,4,0)</f>
        <v>Non Certifié</v>
      </c>
      <c r="W254" s="658" t="str">
        <f>+VLOOKUP($L254,Data_Validation!$A:$E,5,0)</f>
        <v>$</v>
      </c>
      <c r="X254" s="658">
        <f>+VLOOKUP($L254,Data_Validation!$A:$F,6,0)</f>
        <v>0</v>
      </c>
    </row>
    <row r="255" spans="1:24" ht="15" customHeight="1">
      <c r="A255" s="1055" t="s">
        <v>1127</v>
      </c>
      <c r="B255" s="1055" t="s">
        <v>2141</v>
      </c>
      <c r="C255" s="1057">
        <v>12858.82</v>
      </c>
      <c r="D255" s="1057">
        <v>0</v>
      </c>
      <c r="E255" s="1057">
        <v>12858.82</v>
      </c>
      <c r="F255" s="1055" t="s">
        <v>1112</v>
      </c>
      <c r="G255" s="1055" t="s">
        <v>1017</v>
      </c>
      <c r="H255" s="1034"/>
      <c r="I255" s="1035"/>
      <c r="J255" s="1035"/>
      <c r="K255" s="1035"/>
      <c r="L255" s="655" t="str">
        <f t="shared" si="197"/>
        <v>5286</v>
      </c>
      <c r="M255" s="656" t="str">
        <f t="shared" si="0"/>
        <v>RECOND. AUTRE DETAIL</v>
      </c>
      <c r="N255" s="657">
        <f>+IF(OR($Q255=Parametres!$G$2,$Q255=Parametres!$G$3),I255,C255)</f>
        <v>12858.82</v>
      </c>
      <c r="O255" s="657">
        <f>+IF(OR($Q255=Parametres!$G$2,$Q255=Parametres!$G$3),J255,D255)</f>
        <v>0</v>
      </c>
      <c r="P255" s="657">
        <f>+IF(OR($Q255=Parametres!$G$2,$Q255=Parametres!$G$3),K255,E255)</f>
        <v>12858.82</v>
      </c>
      <c r="Q255" s="656" t="str">
        <f t="shared" ref="Q255:S255" si="258">+F255</f>
        <v>6-Coût des ventes</v>
      </c>
      <c r="R255" s="655" t="str">
        <f t="shared" si="258"/>
        <v>4261</v>
      </c>
      <c r="S255" s="656">
        <f t="shared" si="258"/>
        <v>0</v>
      </c>
      <c r="T255" s="658" t="str">
        <f>+VLOOKUP($L255,Data_Validation!$A:$D,1,0)</f>
        <v>5286</v>
      </c>
      <c r="U255" s="658" t="str">
        <f>+VLOOKUP($L255,Data_Validation!$A:$D,3,0)</f>
        <v>Véhicules usagés</v>
      </c>
      <c r="V255" s="658" t="str">
        <f>+VLOOKUP($L255,Data_Validation!$A:$D,4,0)</f>
        <v>Non Certifié</v>
      </c>
      <c r="W255" s="658" t="str">
        <f>+VLOOKUP($L255,Data_Validation!$A:$E,5,0)</f>
        <v>$</v>
      </c>
      <c r="X255" s="658">
        <f>+VLOOKUP($L255,Data_Validation!$A:$F,6,0)</f>
        <v>0</v>
      </c>
    </row>
    <row r="256" spans="1:24" ht="15.75" customHeight="1">
      <c r="A256" s="1055" t="s">
        <v>1020</v>
      </c>
      <c r="B256" s="1055" t="s">
        <v>2144</v>
      </c>
      <c r="C256" s="1057">
        <v>5630431.2999999998</v>
      </c>
      <c r="D256" s="1057">
        <v>560551.97</v>
      </c>
      <c r="E256" s="1057">
        <v>6190983.2699999996</v>
      </c>
      <c r="F256" s="1055" t="s">
        <v>1112</v>
      </c>
      <c r="G256" s="1055" t="s">
        <v>1021</v>
      </c>
      <c r="H256" s="1034"/>
      <c r="I256" s="1035"/>
      <c r="J256" s="1035"/>
      <c r="K256" s="1035"/>
      <c r="L256" s="655" t="str">
        <f t="shared" si="197"/>
        <v>5291</v>
      </c>
      <c r="M256" s="656" t="str">
        <f t="shared" si="0"/>
        <v>VEH. D'OCC. AU GROS</v>
      </c>
      <c r="N256" s="657">
        <f>+IF(OR($Q256=Parametres!$G$2,$Q256=Parametres!$G$3),I256,C256)</f>
        <v>5630431.2999999998</v>
      </c>
      <c r="O256" s="657">
        <f>+IF(OR($Q256=Parametres!$G$2,$Q256=Parametres!$G$3),J256,D256)</f>
        <v>560551.97</v>
      </c>
      <c r="P256" s="657">
        <f>+IF(OR($Q256=Parametres!$G$2,$Q256=Parametres!$G$3),K256,E256)</f>
        <v>6190983.2699999996</v>
      </c>
      <c r="Q256" s="656" t="str">
        <f t="shared" ref="Q256:S256" si="259">+F256</f>
        <v>6-Coût des ventes</v>
      </c>
      <c r="R256" s="655" t="str">
        <f t="shared" si="259"/>
        <v>4281</v>
      </c>
      <c r="S256" s="656">
        <f t="shared" si="259"/>
        <v>0</v>
      </c>
      <c r="T256" s="658" t="str">
        <f>+VLOOKUP($L256,Data_Validation!$A:$D,1,0)</f>
        <v>5291</v>
      </c>
      <c r="U256" s="658" t="str">
        <f>+VLOOKUP($L256,Data_Validation!$A:$D,3,0)</f>
        <v>Véhicules usagés</v>
      </c>
      <c r="V256" s="658" t="str">
        <f>+VLOOKUP($L256,Data_Validation!$A:$D,4,0)</f>
        <v>Ventes au Gros</v>
      </c>
      <c r="W256" s="658" t="str">
        <f>+VLOOKUP($L256,Data_Validation!$A:$E,5,0)</f>
        <v>$</v>
      </c>
      <c r="X256" s="658">
        <f>+VLOOKUP($L256,Data_Validation!$A:$F,6,0)</f>
        <v>0</v>
      </c>
    </row>
    <row r="257" spans="1:24" ht="15" customHeight="1">
      <c r="A257" s="1055" t="s">
        <v>3675</v>
      </c>
      <c r="B257" s="1055" t="s">
        <v>2147</v>
      </c>
      <c r="C257" s="1057">
        <v>333177.5</v>
      </c>
      <c r="D257" s="1057">
        <v>27460.84</v>
      </c>
      <c r="E257" s="1057">
        <v>360638.34</v>
      </c>
      <c r="F257" s="1055" t="s">
        <v>1112</v>
      </c>
      <c r="G257" s="1055" t="s">
        <v>1025</v>
      </c>
      <c r="H257" s="1034"/>
      <c r="I257" s="1035"/>
      <c r="J257" s="1035"/>
      <c r="K257" s="1035"/>
      <c r="L257" s="655" t="str">
        <f t="shared" si="197"/>
        <v>5401</v>
      </c>
      <c r="M257" s="656" t="str">
        <f t="shared" ref="M257:M511" si="260">+A257</f>
        <v>MAIN-D'OEUVRE - CLIENT VW - MCI</v>
      </c>
      <c r="N257" s="657">
        <f>+IF(OR($Q257=Parametres!$G$2,$Q257=Parametres!$G$3),I257,C257)</f>
        <v>333177.5</v>
      </c>
      <c r="O257" s="657">
        <f>+IF(OR($Q257=Parametres!$G$2,$Q257=Parametres!$G$3),J257,D257)</f>
        <v>27460.84</v>
      </c>
      <c r="P257" s="657">
        <f>+IF(OR($Q257=Parametres!$G$2,$Q257=Parametres!$G$3),K257,E257)</f>
        <v>360638.34</v>
      </c>
      <c r="Q257" s="656" t="str">
        <f t="shared" ref="Q257:S257" si="261">+F257</f>
        <v>6-Coût des ventes</v>
      </c>
      <c r="R257" s="655" t="str">
        <f t="shared" si="261"/>
        <v>4401</v>
      </c>
      <c r="S257" s="656">
        <f t="shared" si="261"/>
        <v>0</v>
      </c>
      <c r="T257" s="658" t="str">
        <f>+VLOOKUP($L257,Data_Validation!$A:$D,1,0)</f>
        <v>5401</v>
      </c>
      <c r="U257" s="658" t="str">
        <f>+VLOOKUP($L257,Data_Validation!$A:$D,3,0)</f>
        <v>Service</v>
      </c>
      <c r="V257" s="658" t="str">
        <f>+VLOOKUP($L257,Data_Validation!$A:$D,4,0)</f>
        <v>M/O Client</v>
      </c>
      <c r="W257" s="658" t="str">
        <f>+VLOOKUP($L257,Data_Validation!$A:$E,5,0)</f>
        <v>$</v>
      </c>
      <c r="X257" s="658">
        <f>+VLOOKUP($L257,Data_Validation!$A:$F,6,0)</f>
        <v>0</v>
      </c>
    </row>
    <row r="258" spans="1:24" ht="15" customHeight="1">
      <c r="A258" s="1055" t="s">
        <v>1129</v>
      </c>
      <c r="B258" s="1055" t="s">
        <v>2150</v>
      </c>
      <c r="C258" s="1057">
        <v>1510.29</v>
      </c>
      <c r="D258" s="1057">
        <v>0</v>
      </c>
      <c r="E258" s="1057">
        <v>1510.29</v>
      </c>
      <c r="F258" s="1055" t="s">
        <v>1112</v>
      </c>
      <c r="G258" s="1055" t="s">
        <v>1028</v>
      </c>
      <c r="H258" s="1034"/>
      <c r="I258" s="1036"/>
      <c r="J258" s="1034"/>
      <c r="K258" s="1036"/>
      <c r="L258" s="655" t="str">
        <f t="shared" si="197"/>
        <v>5402</v>
      </c>
      <c r="M258" s="656" t="str">
        <f t="shared" si="260"/>
        <v>C/V - M.O. ESTHETIQUE CLIENT</v>
      </c>
      <c r="N258" s="657">
        <f>+IF(OR($Q258=Parametres!$G$2,$Q258=Parametres!$G$3),I258,C258)</f>
        <v>1510.29</v>
      </c>
      <c r="O258" s="657">
        <f>+IF(OR($Q258=Parametres!$G$2,$Q258=Parametres!$G$3),J258,D258)</f>
        <v>0</v>
      </c>
      <c r="P258" s="657">
        <f>+IF(OR($Q258=Parametres!$G$2,$Q258=Parametres!$G$3),K258,E258)</f>
        <v>1510.29</v>
      </c>
      <c r="Q258" s="656" t="str">
        <f t="shared" ref="Q258:S258" si="262">+F258</f>
        <v>6-Coût des ventes</v>
      </c>
      <c r="R258" s="655" t="str">
        <f t="shared" si="262"/>
        <v>4402</v>
      </c>
      <c r="S258" s="656">
        <f t="shared" si="262"/>
        <v>0</v>
      </c>
      <c r="T258" s="658" t="str">
        <f>+VLOOKUP($L258,Data_Validation!$A:$D,1,0)</f>
        <v>5402</v>
      </c>
      <c r="U258" s="658" t="str">
        <f>+VLOOKUP($L258,Data_Validation!$A:$D,3,0)</f>
        <v>Service</v>
      </c>
      <c r="V258" s="658" t="str">
        <f>+VLOOKUP($L258,Data_Validation!$A:$D,4,0)</f>
        <v>M/O Esthétique</v>
      </c>
      <c r="W258" s="658" t="str">
        <f>+VLOOKUP($L258,Data_Validation!$A:$E,5,0)</f>
        <v>$</v>
      </c>
      <c r="X258" s="658">
        <f>+VLOOKUP($L258,Data_Validation!$A:$F,6,0)</f>
        <v>0</v>
      </c>
    </row>
    <row r="259" spans="1:24" ht="15" customHeight="1">
      <c r="A259" s="1055" t="s">
        <v>3676</v>
      </c>
      <c r="B259" s="1055" t="s">
        <v>2153</v>
      </c>
      <c r="C259" s="1057">
        <v>142433.63</v>
      </c>
      <c r="D259" s="1057">
        <v>10576.5</v>
      </c>
      <c r="E259" s="1057">
        <v>153010.13</v>
      </c>
      <c r="F259" s="1055" t="s">
        <v>1112</v>
      </c>
      <c r="G259" s="1055" t="s">
        <v>1030</v>
      </c>
      <c r="H259" s="1034"/>
      <c r="I259" s="1036"/>
      <c r="J259" s="1034"/>
      <c r="K259" s="1036"/>
      <c r="L259" s="655" t="str">
        <f t="shared" ref="L259:L322" si="263">TEXT(B259,0)</f>
        <v>5403</v>
      </c>
      <c r="M259" s="656" t="str">
        <f t="shared" si="260"/>
        <v>MAIN-D'OEUVRE - GARANTIE VW - MCI</v>
      </c>
      <c r="N259" s="657">
        <f>+IF(OR($Q259=Parametres!$G$2,$Q259=Parametres!$G$3),I259,C259)</f>
        <v>142433.63</v>
      </c>
      <c r="O259" s="657">
        <f>+IF(OR($Q259=Parametres!$G$2,$Q259=Parametres!$G$3),J259,D259)</f>
        <v>10576.5</v>
      </c>
      <c r="P259" s="657">
        <f>+IF(OR($Q259=Parametres!$G$2,$Q259=Parametres!$G$3),K259,E259)</f>
        <v>153010.13</v>
      </c>
      <c r="Q259" s="656" t="str">
        <f t="shared" ref="Q259:S259" si="264">+F259</f>
        <v>6-Coût des ventes</v>
      </c>
      <c r="R259" s="655" t="str">
        <f t="shared" si="264"/>
        <v>4403</v>
      </c>
      <c r="S259" s="656">
        <f t="shared" si="264"/>
        <v>0</v>
      </c>
      <c r="T259" s="658" t="str">
        <f>+VLOOKUP($L259,Data_Validation!$A:$D,1,0)</f>
        <v>5403</v>
      </c>
      <c r="U259" s="658" t="str">
        <f>+VLOOKUP($L259,Data_Validation!$A:$D,3,0)</f>
        <v>Service</v>
      </c>
      <c r="V259" s="658" t="str">
        <f>+VLOOKUP($L259,Data_Validation!$A:$D,4,0)</f>
        <v>M/O Garantie</v>
      </c>
      <c r="W259" s="658" t="str">
        <f>+VLOOKUP($L259,Data_Validation!$A:$E,5,0)</f>
        <v>$</v>
      </c>
      <c r="X259" s="658">
        <f>+VLOOKUP($L259,Data_Validation!$A:$F,6,0)</f>
        <v>0</v>
      </c>
    </row>
    <row r="260" spans="1:24" ht="15" customHeight="1">
      <c r="A260" s="1055" t="s">
        <v>3677</v>
      </c>
      <c r="B260" s="1055" t="s">
        <v>2156</v>
      </c>
      <c r="C260" s="1057">
        <v>142977.4</v>
      </c>
      <c r="D260" s="1057">
        <v>10757.8</v>
      </c>
      <c r="E260" s="1057">
        <v>153735.20000000001</v>
      </c>
      <c r="F260" s="1055" t="s">
        <v>1112</v>
      </c>
      <c r="G260" s="1055" t="s">
        <v>1033</v>
      </c>
      <c r="H260" s="1034"/>
      <c r="I260" s="1034"/>
      <c r="J260" s="1034"/>
      <c r="K260" s="1034"/>
      <c r="L260" s="655" t="str">
        <f t="shared" si="263"/>
        <v>5405</v>
      </c>
      <c r="M260" s="656" t="str">
        <f t="shared" si="260"/>
        <v>MAIN-D'OEUVRE - INTERNE VW - MCI</v>
      </c>
      <c r="N260" s="657">
        <f>+IF(OR($Q260=Parametres!$G$2,$Q260=Parametres!$G$3),I260,C260)</f>
        <v>142977.4</v>
      </c>
      <c r="O260" s="657">
        <f>+IF(OR($Q260=Parametres!$G$2,$Q260=Parametres!$G$3),J260,D260)</f>
        <v>10757.8</v>
      </c>
      <c r="P260" s="657">
        <f>+IF(OR($Q260=Parametres!$G$2,$Q260=Parametres!$G$3),K260,E260)</f>
        <v>153735.20000000001</v>
      </c>
      <c r="Q260" s="656" t="str">
        <f t="shared" ref="Q260:S260" si="265">+F260</f>
        <v>6-Coût des ventes</v>
      </c>
      <c r="R260" s="655" t="str">
        <f t="shared" si="265"/>
        <v>4405</v>
      </c>
      <c r="S260" s="656">
        <f t="shared" si="265"/>
        <v>0</v>
      </c>
      <c r="T260" s="658" t="str">
        <f>+VLOOKUP($L260,Data_Validation!$A:$D,1,0)</f>
        <v>5405</v>
      </c>
      <c r="U260" s="658" t="str">
        <f>+VLOOKUP($L260,Data_Validation!$A:$D,3,0)</f>
        <v>Service</v>
      </c>
      <c r="V260" s="658" t="str">
        <f>+VLOOKUP($L260,Data_Validation!$A:$D,4,0)</f>
        <v>M/O Interne</v>
      </c>
      <c r="W260" s="658" t="str">
        <f>+VLOOKUP($L260,Data_Validation!$A:$E,5,0)</f>
        <v>$</v>
      </c>
      <c r="X260" s="658">
        <f>+VLOOKUP($L260,Data_Validation!$A:$F,6,0)</f>
        <v>0</v>
      </c>
    </row>
    <row r="261" spans="1:24" ht="15" customHeight="1">
      <c r="A261" s="1055" t="s">
        <v>3685</v>
      </c>
      <c r="B261" s="1055" t="s">
        <v>2162</v>
      </c>
      <c r="C261" s="1057">
        <v>18627.75</v>
      </c>
      <c r="D261" s="1057">
        <v>2193.19</v>
      </c>
      <c r="E261" s="1057">
        <v>20820.939999999999</v>
      </c>
      <c r="F261" s="1055" t="s">
        <v>1112</v>
      </c>
      <c r="G261" s="1055" t="s">
        <v>1133</v>
      </c>
      <c r="H261" s="1034"/>
      <c r="I261" s="1036"/>
      <c r="J261" s="1034"/>
      <c r="K261" s="1036"/>
      <c r="L261" s="655" t="str">
        <f t="shared" si="263"/>
        <v>5416</v>
      </c>
      <c r="M261" s="656" t="str">
        <f t="shared" si="260"/>
        <v>C/V - MAIN D'OEUVRE SVC NON APP - TOUS</v>
      </c>
      <c r="N261" s="657">
        <f>+IF(OR($Q261=Parametres!$G$2,$Q261=Parametres!$G$3),I261,C261)</f>
        <v>18627.75</v>
      </c>
      <c r="O261" s="657">
        <f>+IF(OR($Q261=Parametres!$G$2,$Q261=Parametres!$G$3),J261,D261)</f>
        <v>2193.19</v>
      </c>
      <c r="P261" s="657">
        <f>+IF(OR($Q261=Parametres!$G$2,$Q261=Parametres!$G$3),K261,E261)</f>
        <v>20820.939999999999</v>
      </c>
      <c r="Q261" s="656" t="str">
        <f t="shared" ref="Q261:S261" si="266">+F261</f>
        <v>6-Coût des ventes</v>
      </c>
      <c r="R261" s="655" t="str">
        <f t="shared" si="266"/>
        <v>4416</v>
      </c>
      <c r="S261" s="656">
        <f t="shared" si="266"/>
        <v>0</v>
      </c>
      <c r="T261" s="658" t="str">
        <f>+VLOOKUP($L261,Data_Validation!$A:$D,1,0)</f>
        <v>5416</v>
      </c>
      <c r="U261" s="658" t="str">
        <f>+VLOOKUP($L261,Data_Validation!$A:$D,3,0)</f>
        <v>Service</v>
      </c>
      <c r="V261" s="658" t="str">
        <f>+VLOOKUP($L261,Data_Validation!$A:$D,4,0)</f>
        <v>Ajustement M/O</v>
      </c>
      <c r="W261" s="658" t="str">
        <f>+VLOOKUP($L261,Data_Validation!$A:$E,5,0)</f>
        <v>$</v>
      </c>
      <c r="X261" s="658">
        <f>+VLOOKUP($L261,Data_Validation!$A:$F,6,0)</f>
        <v>0</v>
      </c>
    </row>
    <row r="262" spans="1:24" ht="15.75" customHeight="1">
      <c r="A262" s="1055" t="s">
        <v>1035</v>
      </c>
      <c r="B262" s="1055" t="s">
        <v>2168</v>
      </c>
      <c r="C262" s="1057">
        <v>187160.75</v>
      </c>
      <c r="D262" s="1057">
        <v>13158.91</v>
      </c>
      <c r="E262" s="1057">
        <v>200319.66</v>
      </c>
      <c r="F262" s="1055" t="s">
        <v>1112</v>
      </c>
      <c r="G262" s="1055" t="s">
        <v>1036</v>
      </c>
      <c r="H262" s="1034"/>
      <c r="I262" s="1036"/>
      <c r="J262" s="1034"/>
      <c r="K262" s="1036"/>
      <c r="L262" s="655" t="str">
        <f t="shared" si="263"/>
        <v>5451</v>
      </c>
      <c r="M262" s="656" t="str">
        <f t="shared" si="260"/>
        <v>CARBURANT/HUILE/GRAISSE</v>
      </c>
      <c r="N262" s="657">
        <f>+IF(OR($Q262=Parametres!$G$2,$Q262=Parametres!$G$3),I262,C262)</f>
        <v>187160.75</v>
      </c>
      <c r="O262" s="657">
        <f>+IF(OR($Q262=Parametres!$G$2,$Q262=Parametres!$G$3),J262,D262)</f>
        <v>13158.91</v>
      </c>
      <c r="P262" s="657">
        <f>+IF(OR($Q262=Parametres!$G$2,$Q262=Parametres!$G$3),K262,E262)</f>
        <v>200319.66</v>
      </c>
      <c r="Q262" s="656" t="str">
        <f t="shared" ref="Q262:S262" si="267">+F262</f>
        <v>6-Coût des ventes</v>
      </c>
      <c r="R262" s="655" t="str">
        <f t="shared" si="267"/>
        <v>4782</v>
      </c>
      <c r="S262" s="656">
        <f t="shared" si="267"/>
        <v>0</v>
      </c>
      <c r="T262" s="658" t="str">
        <f>+VLOOKUP($L262,Data_Validation!$A:$D,1,0)</f>
        <v>5451</v>
      </c>
      <c r="U262" s="658" t="str">
        <f>+VLOOKUP($L262,Data_Validation!$A:$D,3,0)</f>
        <v>Pièces</v>
      </c>
      <c r="V262" s="658" t="str">
        <f>+VLOOKUP($L262,Data_Validation!$A:$D,4,0)</f>
        <v>Huiles et Graisse</v>
      </c>
      <c r="W262" s="658" t="str">
        <f>+VLOOKUP($L262,Data_Validation!$A:$E,5,0)</f>
        <v>$</v>
      </c>
      <c r="X262" s="658">
        <f>+VLOOKUP($L262,Data_Validation!$A:$F,6,0)</f>
        <v>0</v>
      </c>
    </row>
    <row r="263" spans="1:24" ht="15" customHeight="1">
      <c r="A263" s="1055" t="s">
        <v>1038</v>
      </c>
      <c r="B263" s="1055" t="s">
        <v>2171</v>
      </c>
      <c r="C263" s="1057">
        <v>15309.84</v>
      </c>
      <c r="D263" s="1057">
        <v>2451</v>
      </c>
      <c r="E263" s="1057">
        <v>17760.84</v>
      </c>
      <c r="F263" s="1055" t="s">
        <v>1112</v>
      </c>
      <c r="G263" s="1055" t="s">
        <v>1039</v>
      </c>
      <c r="H263" s="1034"/>
      <c r="I263" s="1034"/>
      <c r="J263" s="1034"/>
      <c r="K263" s="1034"/>
      <c r="L263" s="655" t="str">
        <f t="shared" si="263"/>
        <v>5491</v>
      </c>
      <c r="M263" s="656" t="str">
        <f t="shared" si="260"/>
        <v>REPARATION SOUS-LOC. - GENERAL</v>
      </c>
      <c r="N263" s="657">
        <f>+IF(OR($Q263=Parametres!$G$2,$Q263=Parametres!$G$3),I263,C263)</f>
        <v>15309.84</v>
      </c>
      <c r="O263" s="657">
        <f>+IF(OR($Q263=Parametres!$G$2,$Q263=Parametres!$G$3),J263,D263)</f>
        <v>2451</v>
      </c>
      <c r="P263" s="657">
        <f>+IF(OR($Q263=Parametres!$G$2,$Q263=Parametres!$G$3),K263,E263)</f>
        <v>17760.84</v>
      </c>
      <c r="Q263" s="656" t="str">
        <f t="shared" ref="Q263:S263" si="268">+F263</f>
        <v>6-Coût des ventes</v>
      </c>
      <c r="R263" s="655" t="str">
        <f t="shared" si="268"/>
        <v>4491</v>
      </c>
      <c r="S263" s="656">
        <f t="shared" si="268"/>
        <v>0</v>
      </c>
      <c r="T263" s="658" t="str">
        <f>+VLOOKUP($L263,Data_Validation!$A:$D,1,0)</f>
        <v>5491</v>
      </c>
      <c r="U263" s="658" t="str">
        <f>+VLOOKUP($L263,Data_Validation!$A:$D,3,0)</f>
        <v>Service</v>
      </c>
      <c r="V263" s="658" t="str">
        <f>+VLOOKUP($L263,Data_Validation!$A:$D,4,0)</f>
        <v>Sous-traitement</v>
      </c>
      <c r="W263" s="658" t="str">
        <f>+VLOOKUP($L263,Data_Validation!$A:$E,5,0)</f>
        <v>$</v>
      </c>
      <c r="X263" s="658">
        <f>+VLOOKUP($L263,Data_Validation!$A:$F,6,0)</f>
        <v>0</v>
      </c>
    </row>
    <row r="264" spans="1:24" ht="15" customHeight="1">
      <c r="A264" s="1055" t="s">
        <v>1134</v>
      </c>
      <c r="B264" s="1055" t="s">
        <v>2174</v>
      </c>
      <c r="C264" s="1057">
        <v>18322.73</v>
      </c>
      <c r="D264" s="1057">
        <v>6928</v>
      </c>
      <c r="E264" s="1057">
        <v>25250.73</v>
      </c>
      <c r="F264" s="1055" t="s">
        <v>1112</v>
      </c>
      <c r="G264" s="1055" t="s">
        <v>1042</v>
      </c>
      <c r="H264" s="1034"/>
      <c r="I264" s="1036"/>
      <c r="J264" s="1034"/>
      <c r="K264" s="1036"/>
      <c r="L264" s="655" t="str">
        <f t="shared" si="263"/>
        <v>5493</v>
      </c>
      <c r="M264" s="656" t="str">
        <f t="shared" si="260"/>
        <v>C/V - SOUS-TRAITANCE GARANTIE</v>
      </c>
      <c r="N264" s="657">
        <f>+IF(OR($Q264=Parametres!$G$2,$Q264=Parametres!$G$3),I264,C264)</f>
        <v>18322.73</v>
      </c>
      <c r="O264" s="657">
        <f>+IF(OR($Q264=Parametres!$G$2,$Q264=Parametres!$G$3),J264,D264)</f>
        <v>6928</v>
      </c>
      <c r="P264" s="657">
        <f>+IF(OR($Q264=Parametres!$G$2,$Q264=Parametres!$G$3),K264,E264)</f>
        <v>25250.73</v>
      </c>
      <c r="Q264" s="656" t="str">
        <f t="shared" ref="Q264:S264" si="269">+F264</f>
        <v>6-Coût des ventes</v>
      </c>
      <c r="R264" s="655" t="str">
        <f t="shared" si="269"/>
        <v>4493</v>
      </c>
      <c r="S264" s="656">
        <f t="shared" si="269"/>
        <v>0</v>
      </c>
      <c r="T264" s="658" t="str">
        <f>+VLOOKUP($L264,Data_Validation!$A:$D,1,0)</f>
        <v>5493</v>
      </c>
      <c r="U264" s="658" t="str">
        <f>+VLOOKUP($L264,Data_Validation!$A:$D,3,0)</f>
        <v>Service</v>
      </c>
      <c r="V264" s="658" t="str">
        <f>+VLOOKUP($L264,Data_Validation!$A:$D,4,0)</f>
        <v>Sous-traitement</v>
      </c>
      <c r="W264" s="658" t="str">
        <f>+VLOOKUP($L264,Data_Validation!$A:$E,5,0)</f>
        <v>$</v>
      </c>
      <c r="X264" s="658">
        <f>+VLOOKUP($L264,Data_Validation!$A:$F,6,0)</f>
        <v>0</v>
      </c>
    </row>
    <row r="265" spans="1:24" ht="15" customHeight="1">
      <c r="A265" s="1055" t="s">
        <v>1135</v>
      </c>
      <c r="B265" s="1055" t="s">
        <v>2177</v>
      </c>
      <c r="C265" s="1057">
        <v>170571.8</v>
      </c>
      <c r="D265" s="1057">
        <v>9741.6</v>
      </c>
      <c r="E265" s="1057">
        <v>180313.4</v>
      </c>
      <c r="F265" s="1055" t="s">
        <v>1112</v>
      </c>
      <c r="G265" s="1055" t="s">
        <v>1046</v>
      </c>
      <c r="H265" s="1034"/>
      <c r="I265" s="1034"/>
      <c r="J265" s="1034"/>
      <c r="K265" s="1034"/>
      <c r="L265" s="655" t="str">
        <f t="shared" si="263"/>
        <v>5495</v>
      </c>
      <c r="M265" s="656" t="str">
        <f t="shared" si="260"/>
        <v>C/V - SOUS-TRAITANCE INTERNE</v>
      </c>
      <c r="N265" s="657">
        <f>+IF(OR($Q265=Parametres!$G$2,$Q265=Parametres!$G$3),I265,C265)</f>
        <v>170571.8</v>
      </c>
      <c r="O265" s="657">
        <f>+IF(OR($Q265=Parametres!$G$2,$Q265=Parametres!$G$3),J265,D265)</f>
        <v>9741.6</v>
      </c>
      <c r="P265" s="657">
        <f>+IF(OR($Q265=Parametres!$G$2,$Q265=Parametres!$G$3),K265,E265)</f>
        <v>180313.4</v>
      </c>
      <c r="Q265" s="656" t="str">
        <f t="shared" ref="Q265:S265" si="270">+F265</f>
        <v>6-Coût des ventes</v>
      </c>
      <c r="R265" s="655" t="str">
        <f t="shared" si="270"/>
        <v>4495</v>
      </c>
      <c r="S265" s="656">
        <f t="shared" si="270"/>
        <v>0</v>
      </c>
      <c r="T265" s="658" t="str">
        <f>+VLOOKUP($L265,Data_Validation!$A:$D,1,0)</f>
        <v>5495</v>
      </c>
      <c r="U265" s="658" t="str">
        <f>+VLOOKUP($L265,Data_Validation!$A:$D,3,0)</f>
        <v>Service</v>
      </c>
      <c r="V265" s="658" t="str">
        <f>+VLOOKUP($L265,Data_Validation!$A:$D,4,0)</f>
        <v>Sous-traitement</v>
      </c>
      <c r="W265" s="658" t="str">
        <f>+VLOOKUP($L265,Data_Validation!$A:$E,5,0)</f>
        <v>$</v>
      </c>
      <c r="X265" s="658">
        <f>+VLOOKUP($L265,Data_Validation!$A:$F,6,0)</f>
        <v>0</v>
      </c>
    </row>
    <row r="266" spans="1:24" ht="15" customHeight="1">
      <c r="A266" s="1055" t="s">
        <v>1136</v>
      </c>
      <c r="B266" s="1055" t="s">
        <v>2186</v>
      </c>
      <c r="C266" s="1057">
        <v>179426.37</v>
      </c>
      <c r="D266" s="1057">
        <v>9233.16</v>
      </c>
      <c r="E266" s="1057">
        <v>188659.53</v>
      </c>
      <c r="F266" s="1055" t="s">
        <v>1112</v>
      </c>
      <c r="G266" s="1055" t="s">
        <v>1053</v>
      </c>
      <c r="H266" s="1034"/>
      <c r="I266" s="1036"/>
      <c r="J266" s="1034"/>
      <c r="K266" s="1036"/>
      <c r="L266" s="655" t="str">
        <f t="shared" si="263"/>
        <v>5591</v>
      </c>
      <c r="M266" s="656" t="str">
        <f t="shared" si="260"/>
        <v>C/V - S-TRAIT. CARR.</v>
      </c>
      <c r="N266" s="657">
        <f>+IF(OR($Q266=Parametres!$G$2,$Q266=Parametres!$G$3),I266,C266)</f>
        <v>179426.37</v>
      </c>
      <c r="O266" s="657">
        <f>+IF(OR($Q266=Parametres!$G$2,$Q266=Parametres!$G$3),J266,D266)</f>
        <v>9233.16</v>
      </c>
      <c r="P266" s="657">
        <f>+IF(OR($Q266=Parametres!$G$2,$Q266=Parametres!$G$3),K266,E266)</f>
        <v>188659.53</v>
      </c>
      <c r="Q266" s="656" t="str">
        <f t="shared" ref="Q266:S266" si="271">+F266</f>
        <v>6-Coût des ventes</v>
      </c>
      <c r="R266" s="655" t="str">
        <f t="shared" si="271"/>
        <v>4591</v>
      </c>
      <c r="S266" s="656">
        <f t="shared" si="271"/>
        <v>0</v>
      </c>
      <c r="T266" s="658" t="str">
        <f>+VLOOKUP($L266,Data_Validation!$A:$D,1,0)</f>
        <v>5591</v>
      </c>
      <c r="U266" s="658" t="str">
        <f>+VLOOKUP($L266,Data_Validation!$A:$D,3,0)</f>
        <v>Carrosserie</v>
      </c>
      <c r="V266" s="658" t="str">
        <f>+VLOOKUP($L266,Data_Validation!$A:$D,4,0)</f>
        <v>M/O Sous-traitement</v>
      </c>
      <c r="W266" s="658" t="str">
        <f>+VLOOKUP($L266,Data_Validation!$A:$E,5,0)</f>
        <v>$</v>
      </c>
      <c r="X266" s="658">
        <f>+VLOOKUP($L266,Data_Validation!$A:$F,6,0)</f>
        <v>0</v>
      </c>
    </row>
    <row r="267" spans="1:24" ht="15" customHeight="1">
      <c r="A267" s="1055" t="s">
        <v>1137</v>
      </c>
      <c r="B267" s="1055" t="s">
        <v>2189</v>
      </c>
      <c r="C267" s="1057">
        <v>632488.54</v>
      </c>
      <c r="D267" s="1057">
        <v>45682.63</v>
      </c>
      <c r="E267" s="1057">
        <v>678171.17</v>
      </c>
      <c r="F267" s="1055" t="s">
        <v>1112</v>
      </c>
      <c r="G267" s="1055" t="s">
        <v>1057</v>
      </c>
      <c r="H267" s="1034"/>
      <c r="I267" s="1036"/>
      <c r="J267" s="1034"/>
      <c r="K267" s="1036"/>
      <c r="L267" s="655" t="str">
        <f t="shared" si="263"/>
        <v>5593</v>
      </c>
      <c r="M267" s="656" t="str">
        <f t="shared" si="260"/>
        <v>C/V - S-TRAIT.GARANTIE CARROS.</v>
      </c>
      <c r="N267" s="657">
        <f>+IF(OR($Q267=Parametres!$G$2,$Q267=Parametres!$G$3),I267,C267)</f>
        <v>632488.54</v>
      </c>
      <c r="O267" s="657">
        <f>+IF(OR($Q267=Parametres!$G$2,$Q267=Parametres!$G$3),J267,D267)</f>
        <v>45682.63</v>
      </c>
      <c r="P267" s="657">
        <f>+IF(OR($Q267=Parametres!$G$2,$Q267=Parametres!$G$3),K267,E267)</f>
        <v>678171.17</v>
      </c>
      <c r="Q267" s="656" t="str">
        <f t="shared" ref="Q267:S267" si="272">+F267</f>
        <v>6-Coût des ventes</v>
      </c>
      <c r="R267" s="655" t="str">
        <f t="shared" si="272"/>
        <v>4593</v>
      </c>
      <c r="S267" s="656">
        <f t="shared" si="272"/>
        <v>0</v>
      </c>
      <c r="T267" s="658" t="str">
        <f>+VLOOKUP($L267,Data_Validation!$A:$D,1,0)</f>
        <v>5593</v>
      </c>
      <c r="U267" s="658" t="str">
        <f>+VLOOKUP($L267,Data_Validation!$A:$D,3,0)</f>
        <v>Carrosserie</v>
      </c>
      <c r="V267" s="658" t="str">
        <f>+VLOOKUP($L267,Data_Validation!$A:$D,4,0)</f>
        <v>M/O Sous-traitement</v>
      </c>
      <c r="W267" s="658" t="str">
        <f>+VLOOKUP($L267,Data_Validation!$A:$E,5,0)</f>
        <v>$</v>
      </c>
      <c r="X267" s="658">
        <f>+VLOOKUP($L267,Data_Validation!$A:$F,6,0)</f>
        <v>0</v>
      </c>
    </row>
    <row r="268" spans="1:24" ht="15" customHeight="1">
      <c r="A268" s="1055" t="s">
        <v>1138</v>
      </c>
      <c r="B268" s="1055" t="s">
        <v>2192</v>
      </c>
      <c r="C268" s="1057">
        <v>51368.12</v>
      </c>
      <c r="D268" s="1057">
        <v>3535.22</v>
      </c>
      <c r="E268" s="1057">
        <v>54903.34</v>
      </c>
      <c r="F268" s="1055" t="s">
        <v>1112</v>
      </c>
      <c r="G268" s="1055" t="s">
        <v>1061</v>
      </c>
      <c r="H268" s="1034"/>
      <c r="I268" s="1034"/>
      <c r="J268" s="1034"/>
      <c r="K268" s="1034"/>
      <c r="L268" s="655" t="str">
        <f t="shared" si="263"/>
        <v>5595</v>
      </c>
      <c r="M268" s="656" t="str">
        <f t="shared" si="260"/>
        <v>C/V - S-TRAIT.INTERNE CARROS.</v>
      </c>
      <c r="N268" s="657">
        <f>+IF(OR($Q268=Parametres!$G$2,$Q268=Parametres!$G$3),I268,C268)</f>
        <v>51368.12</v>
      </c>
      <c r="O268" s="657">
        <f>+IF(OR($Q268=Parametres!$G$2,$Q268=Parametres!$G$3),J268,D268)</f>
        <v>3535.22</v>
      </c>
      <c r="P268" s="657">
        <f>+IF(OR($Q268=Parametres!$G$2,$Q268=Parametres!$G$3),K268,E268)</f>
        <v>54903.34</v>
      </c>
      <c r="Q268" s="656" t="str">
        <f t="shared" ref="Q268:S268" si="273">+F268</f>
        <v>6-Coût des ventes</v>
      </c>
      <c r="R268" s="655" t="str">
        <f t="shared" si="273"/>
        <v>4595</v>
      </c>
      <c r="S268" s="656">
        <f t="shared" si="273"/>
        <v>0</v>
      </c>
      <c r="T268" s="658" t="str">
        <f>+VLOOKUP($L268,Data_Validation!$A:$D,1,0)</f>
        <v>5595</v>
      </c>
      <c r="U268" s="658" t="str">
        <f>+VLOOKUP($L268,Data_Validation!$A:$D,3,0)</f>
        <v>Carrosserie</v>
      </c>
      <c r="V268" s="658" t="str">
        <f>+VLOOKUP($L268,Data_Validation!$A:$D,4,0)</f>
        <v>M/O Sous-traitement</v>
      </c>
      <c r="W268" s="658" t="str">
        <f>+VLOOKUP($L268,Data_Validation!$A:$E,5,0)</f>
        <v>$</v>
      </c>
      <c r="X268" s="658">
        <f>+VLOOKUP($L268,Data_Validation!$A:$F,6,0)</f>
        <v>0</v>
      </c>
    </row>
    <row r="269" spans="1:24" ht="15" customHeight="1">
      <c r="A269" s="1055" t="s">
        <v>3678</v>
      </c>
      <c r="B269" s="1055" t="s">
        <v>2195</v>
      </c>
      <c r="C269" s="1057">
        <v>539344.22</v>
      </c>
      <c r="D269" s="1057">
        <v>51502.47</v>
      </c>
      <c r="E269" s="1057">
        <v>590846.68999999994</v>
      </c>
      <c r="F269" s="1055" t="s">
        <v>1112</v>
      </c>
      <c r="G269" s="1055" t="s">
        <v>1065</v>
      </c>
      <c r="H269" s="1034"/>
      <c r="I269" s="1036"/>
      <c r="J269" s="1034"/>
      <c r="K269" s="1036"/>
      <c r="L269" s="655" t="str">
        <f t="shared" si="263"/>
        <v>5701</v>
      </c>
      <c r="M269" s="656" t="str">
        <f t="shared" si="260"/>
        <v>VW P&amp;A - BR - CLIENT - MCI</v>
      </c>
      <c r="N269" s="657">
        <f>+IF(OR($Q269=Parametres!$G$2,$Q269=Parametres!$G$3),I269,C269)</f>
        <v>539344.22</v>
      </c>
      <c r="O269" s="657">
        <f>+IF(OR($Q269=Parametres!$G$2,$Q269=Parametres!$G$3),J269,D269)</f>
        <v>51502.47</v>
      </c>
      <c r="P269" s="657">
        <f>+IF(OR($Q269=Parametres!$G$2,$Q269=Parametres!$G$3),K269,E269)</f>
        <v>590846.68999999994</v>
      </c>
      <c r="Q269" s="656" t="str">
        <f t="shared" ref="Q269:S269" si="274">+F269</f>
        <v>6-Coût des ventes</v>
      </c>
      <c r="R269" s="655" t="str">
        <f t="shared" si="274"/>
        <v>4701</v>
      </c>
      <c r="S269" s="656">
        <f t="shared" si="274"/>
        <v>0</v>
      </c>
      <c r="T269" s="658" t="str">
        <f>+VLOOKUP($L269,Data_Validation!$A:$D,1,0)</f>
        <v>5701</v>
      </c>
      <c r="U269" s="658" t="str">
        <f>+VLOOKUP($L269,Data_Validation!$A:$D,3,0)</f>
        <v>Pièces</v>
      </c>
      <c r="V269" s="658" t="str">
        <f>+VLOOKUP($L269,Data_Validation!$A:$D,4,0)</f>
        <v>Pièces Ro Clients</v>
      </c>
      <c r="W269" s="658" t="str">
        <f>+VLOOKUP($L269,Data_Validation!$A:$E,5,0)</f>
        <v>$</v>
      </c>
      <c r="X269" s="658">
        <f>+VLOOKUP($L269,Data_Validation!$A:$F,6,0)</f>
        <v>0</v>
      </c>
    </row>
    <row r="270" spans="1:24" ht="15" customHeight="1">
      <c r="A270" s="1055" t="s">
        <v>1140</v>
      </c>
      <c r="B270" s="1055" t="s">
        <v>2198</v>
      </c>
      <c r="C270" s="1057">
        <v>5324.19</v>
      </c>
      <c r="D270" s="1057">
        <v>219.93</v>
      </c>
      <c r="E270" s="1057">
        <v>5544.12</v>
      </c>
      <c r="F270" s="1055" t="s">
        <v>1112</v>
      </c>
      <c r="G270" s="1055" t="s">
        <v>1069</v>
      </c>
      <c r="H270" s="1034"/>
      <c r="I270" s="1036"/>
      <c r="J270" s="1034"/>
      <c r="K270" s="1036"/>
      <c r="L270" s="655" t="str">
        <f t="shared" si="263"/>
        <v>5702</v>
      </c>
      <c r="M270" s="656" t="str">
        <f t="shared" si="260"/>
        <v>C/V - SHOP SUPPLY VW</v>
      </c>
      <c r="N270" s="657">
        <f>+IF(OR($Q270=Parametres!$G$2,$Q270=Parametres!$G$3),I270,C270)</f>
        <v>5324.19</v>
      </c>
      <c r="O270" s="661">
        <f>+IF(OR($Q270=Parametres!$G$2,$Q270=Parametres!$G$3),J270,D270)</f>
        <v>219.93</v>
      </c>
      <c r="P270" s="657">
        <f>+IF(OR($Q270=Parametres!$G$2,$Q270=Parametres!$G$3),K270,E270)</f>
        <v>5544.12</v>
      </c>
      <c r="Q270" s="656" t="str">
        <f t="shared" ref="Q270:S270" si="275">+F270</f>
        <v>6-Coût des ventes</v>
      </c>
      <c r="R270" s="655" t="str">
        <f t="shared" si="275"/>
        <v>4702</v>
      </c>
      <c r="S270" s="656">
        <f t="shared" si="275"/>
        <v>0</v>
      </c>
      <c r="T270" s="658" t="str">
        <f>+VLOOKUP($L270,Data_Validation!$A:$D,1,0)</f>
        <v>5702</v>
      </c>
      <c r="U270" s="658" t="str">
        <f>+VLOOKUP($L270,Data_Validation!$A:$D,3,0)</f>
        <v>Service</v>
      </c>
      <c r="V270" s="658" t="str">
        <f>+VLOOKUP($L270,Data_Validation!$A:$D,4,0)</f>
        <v>M/O Client</v>
      </c>
      <c r="W270" s="658" t="str">
        <f>+VLOOKUP($L270,Data_Validation!$A:$E,5,0)</f>
        <v>$</v>
      </c>
      <c r="X270" s="658">
        <f>+VLOOKUP($L270,Data_Validation!$A:$F,6,0)</f>
        <v>0</v>
      </c>
    </row>
    <row r="271" spans="1:24" ht="15" customHeight="1">
      <c r="A271" s="1055" t="s">
        <v>3679</v>
      </c>
      <c r="B271" s="1055" t="s">
        <v>2201</v>
      </c>
      <c r="C271" s="1057">
        <v>495564.84</v>
      </c>
      <c r="D271" s="1057">
        <v>41455.96</v>
      </c>
      <c r="E271" s="1057">
        <v>537020.80000000005</v>
      </c>
      <c r="F271" s="1055" t="s">
        <v>1112</v>
      </c>
      <c r="G271" s="1055" t="s">
        <v>1071</v>
      </c>
      <c r="H271" s="1034"/>
      <c r="I271" s="1034"/>
      <c r="J271" s="1034"/>
      <c r="K271" s="1034"/>
      <c r="L271" s="655" t="str">
        <f t="shared" si="263"/>
        <v>5703</v>
      </c>
      <c r="M271" s="656" t="str">
        <f t="shared" si="260"/>
        <v>VW P&amp;A - BR - GARANTIE - MCI</v>
      </c>
      <c r="N271" s="657">
        <f>+IF(OR($Q271=Parametres!$G$2,$Q271=Parametres!$G$3),I271,C271)</f>
        <v>495564.84</v>
      </c>
      <c r="O271" s="661">
        <f>+IF(OR($Q271=Parametres!$G$2,$Q271=Parametres!$G$3),J271,D271)</f>
        <v>41455.96</v>
      </c>
      <c r="P271" s="657">
        <f>+IF(OR($Q271=Parametres!$G$2,$Q271=Parametres!$G$3),K271,E271)</f>
        <v>537020.80000000005</v>
      </c>
      <c r="Q271" s="656" t="str">
        <f t="shared" ref="Q271:S271" si="276">+F271</f>
        <v>6-Coût des ventes</v>
      </c>
      <c r="R271" s="655" t="str">
        <f t="shared" si="276"/>
        <v>4703</v>
      </c>
      <c r="S271" s="656">
        <f t="shared" si="276"/>
        <v>0</v>
      </c>
      <c r="T271" s="658" t="str">
        <f>+VLOOKUP($L271,Data_Validation!$A:$D,1,0)</f>
        <v>5703</v>
      </c>
      <c r="U271" s="658" t="str">
        <f>+VLOOKUP($L271,Data_Validation!$A:$D,3,0)</f>
        <v>Pièces</v>
      </c>
      <c r="V271" s="658" t="str">
        <f>+VLOOKUP($L271,Data_Validation!$A:$D,4,0)</f>
        <v>P/A Garantie</v>
      </c>
      <c r="W271" s="658" t="str">
        <f>+VLOOKUP($L271,Data_Validation!$A:$E,5,0)</f>
        <v>$</v>
      </c>
      <c r="X271" s="658">
        <f>+VLOOKUP($L271,Data_Validation!$A:$F,6,0)</f>
        <v>0</v>
      </c>
    </row>
    <row r="272" spans="1:24" ht="15.75" customHeight="1">
      <c r="A272" s="1055" t="s">
        <v>3680</v>
      </c>
      <c r="B272" s="1055" t="s">
        <v>2204</v>
      </c>
      <c r="C272" s="1057">
        <v>332704.98</v>
      </c>
      <c r="D272" s="1057">
        <v>24567.599999999999</v>
      </c>
      <c r="E272" s="1057">
        <v>357272.58</v>
      </c>
      <c r="F272" s="1055" t="s">
        <v>1112</v>
      </c>
      <c r="G272" s="1055" t="s">
        <v>1075</v>
      </c>
      <c r="H272" s="1034"/>
      <c r="I272" s="1036"/>
      <c r="J272" s="1034"/>
      <c r="K272" s="1036"/>
      <c r="L272" s="655" t="str">
        <f t="shared" si="263"/>
        <v>5705</v>
      </c>
      <c r="M272" s="656" t="str">
        <f t="shared" si="260"/>
        <v>VW P&amp;A - BR - INTERNE - MCI</v>
      </c>
      <c r="N272" s="657">
        <f>+IF(OR($Q272=Parametres!$G$2,$Q272=Parametres!$G$3),I272,C272)</f>
        <v>332704.98</v>
      </c>
      <c r="O272" s="661">
        <f>+IF(OR($Q272=Parametres!$G$2,$Q272=Parametres!$G$3),J272,D272)</f>
        <v>24567.599999999999</v>
      </c>
      <c r="P272" s="657">
        <f>+IF(OR($Q272=Parametres!$G$2,$Q272=Parametres!$G$3),K272,E272)</f>
        <v>357272.58</v>
      </c>
      <c r="Q272" s="656" t="str">
        <f t="shared" ref="Q272:S272" si="277">+F272</f>
        <v>6-Coût des ventes</v>
      </c>
      <c r="R272" s="655" t="str">
        <f t="shared" si="277"/>
        <v>4705</v>
      </c>
      <c r="S272" s="656">
        <f t="shared" si="277"/>
        <v>0</v>
      </c>
      <c r="T272" s="658" t="str">
        <f>+VLOOKUP($L272,Data_Validation!$A:$D,1,0)</f>
        <v>5705</v>
      </c>
      <c r="U272" s="658" t="str">
        <f>+VLOOKUP($L272,Data_Validation!$A:$D,3,0)</f>
        <v>Pièces</v>
      </c>
      <c r="V272" s="658" t="str">
        <f>+VLOOKUP($L272,Data_Validation!$A:$D,4,0)</f>
        <v>Ventes Internes</v>
      </c>
      <c r="W272" s="658" t="str">
        <f>+VLOOKUP($L272,Data_Validation!$A:$E,5,0)</f>
        <v>$</v>
      </c>
      <c r="X272" s="658">
        <f>+VLOOKUP($L272,Data_Validation!$A:$F,6,0)</f>
        <v>0</v>
      </c>
    </row>
    <row r="273" spans="1:24" ht="15" customHeight="1">
      <c r="A273" s="1055" t="s">
        <v>3681</v>
      </c>
      <c r="B273" s="1055" t="s">
        <v>2207</v>
      </c>
      <c r="C273" s="1057">
        <v>5848.68</v>
      </c>
      <c r="D273" s="1057">
        <v>68.62</v>
      </c>
      <c r="E273" s="1057">
        <v>5917.3</v>
      </c>
      <c r="F273" s="1055" t="s">
        <v>1112</v>
      </c>
      <c r="G273" s="1055" t="s">
        <v>1078</v>
      </c>
      <c r="H273" s="1034"/>
      <c r="I273" s="1035"/>
      <c r="J273" s="1035"/>
      <c r="K273" s="1035"/>
      <c r="L273" s="655" t="str">
        <f t="shared" si="263"/>
        <v>5706</v>
      </c>
      <c r="M273" s="656" t="str">
        <f t="shared" si="260"/>
        <v>VW P&amp;A - BR - CLIENT - VEB</v>
      </c>
      <c r="N273" s="657">
        <f>+IF(OR($Q273=Parametres!$G$2,$Q273=Parametres!$G$3),I273,C273)</f>
        <v>5848.68</v>
      </c>
      <c r="O273" s="661">
        <f>+IF(OR($Q273=Parametres!$G$2,$Q273=Parametres!$G$3),J273,D273)</f>
        <v>68.62</v>
      </c>
      <c r="P273" s="657">
        <f>+IF(OR($Q273=Parametres!$G$2,$Q273=Parametres!$G$3),K273,E273)</f>
        <v>5917.3</v>
      </c>
      <c r="Q273" s="656" t="str">
        <f t="shared" ref="Q273:S273" si="278">+F273</f>
        <v>6-Coût des ventes</v>
      </c>
      <c r="R273" s="655" t="str">
        <f t="shared" si="278"/>
        <v>4706</v>
      </c>
      <c r="S273" s="656">
        <f t="shared" si="278"/>
        <v>0</v>
      </c>
      <c r="T273" s="658" t="str">
        <f>+VLOOKUP($L273,Data_Validation!$A:$D,1,0)</f>
        <v>5706</v>
      </c>
      <c r="U273" s="658" t="str">
        <f>+VLOOKUP($L273,Data_Validation!$A:$D,3,0)</f>
        <v>Service</v>
      </c>
      <c r="V273" s="658" t="str">
        <f>+VLOOKUP($L273,Data_Validation!$A:$D,4,0)</f>
        <v>M/O Interne</v>
      </c>
      <c r="W273" s="658" t="str">
        <f>+VLOOKUP($L273,Data_Validation!$A:$E,5,0)</f>
        <v>$</v>
      </c>
      <c r="X273" s="658">
        <f>+VLOOKUP($L273,Data_Validation!$A:$F,6,0)</f>
        <v>0</v>
      </c>
    </row>
    <row r="274" spans="1:24" ht="15" customHeight="1">
      <c r="A274" s="1055" t="s">
        <v>1143</v>
      </c>
      <c r="B274" s="1055" t="s">
        <v>2210</v>
      </c>
      <c r="C274" s="1057">
        <v>20099.38</v>
      </c>
      <c r="D274" s="1057">
        <v>1445.54</v>
      </c>
      <c r="E274" s="1057">
        <v>21544.92</v>
      </c>
      <c r="F274" s="1055" t="s">
        <v>1112</v>
      </c>
      <c r="G274" s="1055" t="s">
        <v>1144</v>
      </c>
      <c r="H274" s="1034"/>
      <c r="I274" s="1035"/>
      <c r="J274" s="1035"/>
      <c r="K274" s="1035"/>
      <c r="L274" s="655" t="str">
        <f t="shared" si="263"/>
        <v>5711</v>
      </c>
      <c r="M274" s="656" t="str">
        <f t="shared" si="260"/>
        <v>C/V - AUTRE PIECE/ACC/CARR B.R. CLIENT</v>
      </c>
      <c r="N274" s="657">
        <f>+IF(OR($Q274=Parametres!$G$2,$Q274=Parametres!$G$3),I274,C274)</f>
        <v>20099.38</v>
      </c>
      <c r="O274" s="661">
        <f>+IF(OR($Q274=Parametres!$G$2,$Q274=Parametres!$G$3),J274,D274)</f>
        <v>1445.54</v>
      </c>
      <c r="P274" s="657">
        <f>+IF(OR($Q274=Parametres!$G$2,$Q274=Parametres!$G$3),K274,E274)</f>
        <v>21544.92</v>
      </c>
      <c r="Q274" s="656" t="str">
        <f t="shared" ref="Q274:S274" si="279">+F274</f>
        <v>6-Coût des ventes</v>
      </c>
      <c r="R274" s="655" t="str">
        <f t="shared" si="279"/>
        <v>4711</v>
      </c>
      <c r="S274" s="656">
        <f t="shared" si="279"/>
        <v>0</v>
      </c>
      <c r="T274" s="658" t="str">
        <f>+VLOOKUP($L274,Data_Validation!$A:$D,1,0)</f>
        <v>5711</v>
      </c>
      <c r="U274" s="658" t="str">
        <f>+VLOOKUP($L274,Data_Validation!$A:$D,3,0)</f>
        <v>Pièces</v>
      </c>
      <c r="V274" s="658" t="str">
        <f>+VLOOKUP($L274,Data_Validation!$A:$D,4,0)</f>
        <v>Pièces Ro Clients</v>
      </c>
      <c r="W274" s="658" t="str">
        <f>+VLOOKUP($L274,Data_Validation!$A:$E,5,0)</f>
        <v>$</v>
      </c>
      <c r="X274" s="658">
        <f>+VLOOKUP($L274,Data_Validation!$A:$F,6,0)</f>
        <v>0</v>
      </c>
    </row>
    <row r="275" spans="1:24" ht="15" customHeight="1">
      <c r="A275" s="1055" t="s">
        <v>1145</v>
      </c>
      <c r="B275" s="1055" t="s">
        <v>3391</v>
      </c>
      <c r="C275" s="1057">
        <v>189.83</v>
      </c>
      <c r="D275" s="1057">
        <v>0</v>
      </c>
      <c r="E275" s="1057">
        <v>189.83</v>
      </c>
      <c r="F275" s="1055" t="s">
        <v>1112</v>
      </c>
      <c r="G275" s="1055" t="s">
        <v>3387</v>
      </c>
      <c r="H275" s="1034"/>
      <c r="I275" s="1035"/>
      <c r="J275" s="1035"/>
      <c r="K275" s="1035"/>
      <c r="L275" s="655" t="str">
        <f t="shared" si="263"/>
        <v>5715</v>
      </c>
      <c r="M275" s="656" t="str">
        <f t="shared" si="260"/>
        <v>C/V - AUTRE PIECE/ACC/CARR B.R. INTERNE</v>
      </c>
      <c r="N275" s="657">
        <f>+IF(OR($Q275=Parametres!$G$2,$Q275=Parametres!$G$3),I275,C275)</f>
        <v>189.83</v>
      </c>
      <c r="O275" s="661">
        <f>+IF(OR($Q275=Parametres!$G$2,$Q275=Parametres!$G$3),J275,D275)</f>
        <v>0</v>
      </c>
      <c r="P275" s="657">
        <f>+IF(OR($Q275=Parametres!$G$2,$Q275=Parametres!$G$3),K275,E275)</f>
        <v>189.83</v>
      </c>
      <c r="Q275" s="656" t="str">
        <f t="shared" ref="Q275:S275" si="280">+F275</f>
        <v>6-Coût des ventes</v>
      </c>
      <c r="R275" s="655" t="str">
        <f t="shared" si="280"/>
        <v>4715</v>
      </c>
      <c r="S275" s="656">
        <f t="shared" si="280"/>
        <v>0</v>
      </c>
      <c r="T275" s="658" t="str">
        <f>+VLOOKUP($L275,Data_Validation!$A:$D,1,0)</f>
        <v>5715</v>
      </c>
      <c r="U275" s="658" t="str">
        <f>+VLOOKUP($L275,Data_Validation!$A:$D,3,0)</f>
        <v>Pièces</v>
      </c>
      <c r="V275" s="658" t="str">
        <f>+VLOOKUP($L275,Data_Validation!$A:$D,4,0)</f>
        <v>Ventes Internes</v>
      </c>
      <c r="W275" s="658" t="str">
        <f>+VLOOKUP($L275,Data_Validation!$A:$E,5,0)</f>
        <v>$</v>
      </c>
      <c r="X275" s="658">
        <f>+VLOOKUP($L275,Data_Validation!$A:$F,6,0)</f>
        <v>0</v>
      </c>
    </row>
    <row r="276" spans="1:24" ht="15" customHeight="1">
      <c r="A276" s="1055" t="s">
        <v>3682</v>
      </c>
      <c r="B276" s="1055" t="s">
        <v>2216</v>
      </c>
      <c r="C276" s="1057">
        <v>74159.25</v>
      </c>
      <c r="D276" s="1057">
        <v>2531.7600000000002</v>
      </c>
      <c r="E276" s="1057">
        <v>76691.009999999995</v>
      </c>
      <c r="F276" s="1055" t="s">
        <v>1112</v>
      </c>
      <c r="G276" s="1055" t="s">
        <v>1088</v>
      </c>
      <c r="H276" s="1034"/>
      <c r="I276" s="1035"/>
      <c r="J276" s="1035"/>
      <c r="K276" s="1035"/>
      <c r="L276" s="655" t="str">
        <f t="shared" si="263"/>
        <v>5731</v>
      </c>
      <c r="M276" s="656" t="str">
        <f t="shared" si="260"/>
        <v>VW-P&amp;A-P&amp;BRO-CLIENT - MCI</v>
      </c>
      <c r="N276" s="657">
        <f>+IF(OR($Q276=Parametres!$G$2,$Q276=Parametres!$G$3),I276,C276)</f>
        <v>74159.25</v>
      </c>
      <c r="O276" s="661">
        <f>+IF(OR($Q276=Parametres!$G$2,$Q276=Parametres!$G$3),J276,D276)</f>
        <v>2531.7600000000002</v>
      </c>
      <c r="P276" s="657">
        <f>+IF(OR($Q276=Parametres!$G$2,$Q276=Parametres!$G$3),K276,E276)</f>
        <v>76691.009999999995</v>
      </c>
      <c r="Q276" s="656" t="str">
        <f t="shared" ref="Q276:S276" si="281">+F276</f>
        <v>6-Coût des ventes</v>
      </c>
      <c r="R276" s="655" t="str">
        <f t="shared" si="281"/>
        <v>4731</v>
      </c>
      <c r="S276" s="656">
        <f t="shared" si="281"/>
        <v>0</v>
      </c>
      <c r="T276" s="658" t="str">
        <f>+VLOOKUP($L276,Data_Validation!$A:$D,1,0)</f>
        <v>5731</v>
      </c>
      <c r="U276" s="658" t="str">
        <f>+VLOOKUP($L276,Data_Validation!$A:$D,3,0)</f>
        <v>Pièces</v>
      </c>
      <c r="V276" s="658" t="str">
        <f>+VLOOKUP($L276,Data_Validation!$A:$D,4,0)</f>
        <v>Pièces Ro Carrosserie</v>
      </c>
      <c r="W276" s="658" t="str">
        <f>+VLOOKUP($L276,Data_Validation!$A:$E,5,0)</f>
        <v>$</v>
      </c>
      <c r="X276" s="658">
        <f>+VLOOKUP($L276,Data_Validation!$A:$F,6,0)</f>
        <v>0</v>
      </c>
    </row>
    <row r="277" spans="1:24" ht="15" customHeight="1">
      <c r="A277" s="1055" t="s">
        <v>3683</v>
      </c>
      <c r="B277" s="1055" t="s">
        <v>2219</v>
      </c>
      <c r="C277" s="1057">
        <v>385030.95</v>
      </c>
      <c r="D277" s="1057">
        <v>26802.7</v>
      </c>
      <c r="E277" s="1057">
        <v>411833.65</v>
      </c>
      <c r="F277" s="1055" t="s">
        <v>1112</v>
      </c>
      <c r="G277" s="1055" t="s">
        <v>1092</v>
      </c>
      <c r="H277" s="1034"/>
      <c r="I277" s="1035"/>
      <c r="J277" s="1035"/>
      <c r="K277" s="1035"/>
      <c r="L277" s="655" t="str">
        <f t="shared" si="263"/>
        <v>5733</v>
      </c>
      <c r="M277" s="656" t="str">
        <f t="shared" si="260"/>
        <v>VW-P&amp;A-P&amp;BRO-GARANTIE - MCI</v>
      </c>
      <c r="N277" s="657">
        <f>+IF(OR($Q277=Parametres!$G$2,$Q277=Parametres!$G$3),I277,C277)</f>
        <v>385030.95</v>
      </c>
      <c r="O277" s="661">
        <f>+IF(OR($Q277=Parametres!$G$2,$Q277=Parametres!$G$3),J277,D277)</f>
        <v>26802.7</v>
      </c>
      <c r="P277" s="657">
        <f>+IF(OR($Q277=Parametres!$G$2,$Q277=Parametres!$G$3),K277,E277)</f>
        <v>411833.65</v>
      </c>
      <c r="Q277" s="656" t="str">
        <f t="shared" ref="Q277:S277" si="282">+F277</f>
        <v>6-Coût des ventes</v>
      </c>
      <c r="R277" s="655" t="str">
        <f t="shared" si="282"/>
        <v>4733</v>
      </c>
      <c r="S277" s="656">
        <f t="shared" si="282"/>
        <v>0</v>
      </c>
      <c r="T277" s="658" t="str">
        <f>+VLOOKUP($L277,Data_Validation!$A:$D,1,0)</f>
        <v>5733</v>
      </c>
      <c r="U277" s="658" t="str">
        <f>+VLOOKUP($L277,Data_Validation!$A:$D,3,0)</f>
        <v>Pièces</v>
      </c>
      <c r="V277" s="658" t="str">
        <f>+VLOOKUP($L277,Data_Validation!$A:$D,4,0)</f>
        <v>Pièces Ro Carrosserie</v>
      </c>
      <c r="W277" s="658" t="str">
        <f>+VLOOKUP($L277,Data_Validation!$A:$E,5,0)</f>
        <v>$</v>
      </c>
      <c r="X277" s="658">
        <f>+VLOOKUP($L277,Data_Validation!$A:$F,6,0)</f>
        <v>0</v>
      </c>
    </row>
    <row r="278" spans="1:24" ht="15" customHeight="1">
      <c r="A278" s="1055" t="s">
        <v>3684</v>
      </c>
      <c r="B278" s="1055" t="s">
        <v>2222</v>
      </c>
      <c r="C278" s="1057">
        <v>10014.44</v>
      </c>
      <c r="D278" s="1057">
        <v>194.62</v>
      </c>
      <c r="E278" s="1057">
        <v>10209.06</v>
      </c>
      <c r="F278" s="1055" t="s">
        <v>1112</v>
      </c>
      <c r="G278" s="1055" t="s">
        <v>1096</v>
      </c>
      <c r="H278" s="1034"/>
      <c r="I278" s="1035"/>
      <c r="J278" s="1035"/>
      <c r="K278" s="1035"/>
      <c r="L278" s="655" t="str">
        <f t="shared" si="263"/>
        <v>5735</v>
      </c>
      <c r="M278" s="656" t="str">
        <f t="shared" si="260"/>
        <v>VW-P&amp;A-P&amp;BRO-INTERNE - MCI</v>
      </c>
      <c r="N278" s="657">
        <f>+IF(OR($Q278=Parametres!$G$2,$Q278=Parametres!$G$3),I278,C278)</f>
        <v>10014.44</v>
      </c>
      <c r="O278" s="661">
        <f>+IF(OR($Q278=Parametres!$G$2,$Q278=Parametres!$G$3),J278,D278)</f>
        <v>194.62</v>
      </c>
      <c r="P278" s="657">
        <f>+IF(OR($Q278=Parametres!$G$2,$Q278=Parametres!$G$3),K278,E278)</f>
        <v>10209.06</v>
      </c>
      <c r="Q278" s="656" t="str">
        <f t="shared" ref="Q278:S278" si="283">+F278</f>
        <v>6-Coût des ventes</v>
      </c>
      <c r="R278" s="655" t="str">
        <f t="shared" si="283"/>
        <v>4735</v>
      </c>
      <c r="S278" s="656">
        <f t="shared" si="283"/>
        <v>0</v>
      </c>
      <c r="T278" s="658" t="str">
        <f>+VLOOKUP($L278,Data_Validation!$A:$D,1,0)</f>
        <v>5735</v>
      </c>
      <c r="U278" s="658" t="str">
        <f>+VLOOKUP($L278,Data_Validation!$A:$D,3,0)</f>
        <v>Pièces</v>
      </c>
      <c r="V278" s="658" t="str">
        <f>+VLOOKUP($L278,Data_Validation!$A:$D,4,0)</f>
        <v>Pièces Ro Carrosserie</v>
      </c>
      <c r="W278" s="658" t="str">
        <f>+VLOOKUP($L278,Data_Validation!$A:$E,5,0)</f>
        <v>$</v>
      </c>
      <c r="X278" s="658">
        <f>+VLOOKUP($L278,Data_Validation!$A:$F,6,0)</f>
        <v>0</v>
      </c>
    </row>
    <row r="279" spans="1:24" ht="15.75" customHeight="1">
      <c r="A279" s="1055" t="s">
        <v>1149</v>
      </c>
      <c r="B279" s="1055" t="s">
        <v>2225</v>
      </c>
      <c r="C279" s="1057">
        <v>137674.37</v>
      </c>
      <c r="D279" s="1057">
        <v>10790.48</v>
      </c>
      <c r="E279" s="1057">
        <v>148464.85</v>
      </c>
      <c r="F279" s="1055" t="s">
        <v>1112</v>
      </c>
      <c r="G279" s="1055" t="s">
        <v>1100</v>
      </c>
      <c r="H279" s="1034"/>
      <c r="I279" s="1035"/>
      <c r="J279" s="1035"/>
      <c r="K279" s="1035"/>
      <c r="L279" s="655" t="str">
        <f t="shared" si="263"/>
        <v>5761</v>
      </c>
      <c r="M279" s="656" t="str">
        <f t="shared" si="260"/>
        <v>C/V - P&amp;A VW COMPTOIR - DETAIL</v>
      </c>
      <c r="N279" s="657">
        <f>+IF(OR($Q279=Parametres!$G$2,$Q279=Parametres!$G$3),I279,C279)</f>
        <v>137674.37</v>
      </c>
      <c r="O279" s="661">
        <f>+IF(OR($Q279=Parametres!$G$2,$Q279=Parametres!$G$3),J279,D279)</f>
        <v>10790.48</v>
      </c>
      <c r="P279" s="657">
        <f>+IF(OR($Q279=Parametres!$G$2,$Q279=Parametres!$G$3),K279,E279)</f>
        <v>148464.85</v>
      </c>
      <c r="Q279" s="656" t="str">
        <f t="shared" ref="Q279:S279" si="284">+F279</f>
        <v>6-Coût des ventes</v>
      </c>
      <c r="R279" s="655" t="str">
        <f t="shared" si="284"/>
        <v>4761</v>
      </c>
      <c r="S279" s="656">
        <f t="shared" si="284"/>
        <v>0</v>
      </c>
      <c r="T279" s="658" t="str">
        <f>+VLOOKUP($L279,Data_Validation!$A:$D,1,0)</f>
        <v>5761</v>
      </c>
      <c r="U279" s="658" t="str">
        <f>+VLOOKUP($L279,Data_Validation!$A:$D,3,0)</f>
        <v>Pièces</v>
      </c>
      <c r="V279" s="658" t="str">
        <f>+VLOOKUP($L279,Data_Validation!$A:$D,4,0)</f>
        <v>Ventes Détails</v>
      </c>
      <c r="W279" s="658" t="str">
        <f>+VLOOKUP($L279,Data_Validation!$A:$E,5,0)</f>
        <v>$</v>
      </c>
      <c r="X279" s="658">
        <f>+VLOOKUP($L279,Data_Validation!$A:$F,6,0)</f>
        <v>0</v>
      </c>
    </row>
    <row r="280" spans="1:24" ht="15" customHeight="1">
      <c r="A280" s="1055" t="s">
        <v>1150</v>
      </c>
      <c r="B280" s="1055" t="s">
        <v>2228</v>
      </c>
      <c r="C280" s="1057">
        <v>763062.29</v>
      </c>
      <c r="D280" s="1057">
        <v>71924.28</v>
      </c>
      <c r="E280" s="1057">
        <v>834986.57</v>
      </c>
      <c r="F280" s="1055" t="s">
        <v>1112</v>
      </c>
      <c r="G280" s="1055" t="s">
        <v>1104</v>
      </c>
      <c r="H280" s="1034"/>
      <c r="I280" s="1035"/>
      <c r="J280" s="1035"/>
      <c r="K280" s="1035"/>
      <c r="L280" s="655" t="str">
        <f t="shared" si="263"/>
        <v>5763</v>
      </c>
      <c r="M280" s="656" t="str">
        <f t="shared" si="260"/>
        <v>C/V - P&amp;A VW COMPTOIR GROS - ECHANGE</v>
      </c>
      <c r="N280" s="657">
        <f>+IF(OR($Q280=Parametres!$G$2,$Q280=Parametres!$G$3),I280,C280)</f>
        <v>763062.29</v>
      </c>
      <c r="O280" s="661">
        <f>+IF(OR($Q280=Parametres!$G$2,$Q280=Parametres!$G$3),J280,D280)</f>
        <v>71924.28</v>
      </c>
      <c r="P280" s="657">
        <f>+IF(OR($Q280=Parametres!$G$2,$Q280=Parametres!$G$3),K280,E280)</f>
        <v>834986.57</v>
      </c>
      <c r="Q280" s="656" t="str">
        <f t="shared" ref="Q280:S280" si="285">+F280</f>
        <v>6-Coût des ventes</v>
      </c>
      <c r="R280" s="655" t="str">
        <f t="shared" si="285"/>
        <v>4763</v>
      </c>
      <c r="S280" s="656">
        <f t="shared" si="285"/>
        <v>0</v>
      </c>
      <c r="T280" s="658" t="str">
        <f>+VLOOKUP($L280,Data_Validation!$A:$D,1,0)</f>
        <v>5763</v>
      </c>
      <c r="U280" s="658" t="str">
        <f>+VLOOKUP($L280,Data_Validation!$A:$D,3,0)</f>
        <v>Pièces</v>
      </c>
      <c r="V280" s="658" t="str">
        <f>+VLOOKUP($L280,Data_Validation!$A:$D,4,0)</f>
        <v>Ventes de Gros</v>
      </c>
      <c r="W280" s="658" t="str">
        <f>+VLOOKUP($L280,Data_Validation!$A:$E,5,0)</f>
        <v>$</v>
      </c>
      <c r="X280" s="658">
        <f>+VLOOKUP($L280,Data_Validation!$A:$F,6,0)</f>
        <v>0</v>
      </c>
    </row>
    <row r="281" spans="1:24" ht="15" customHeight="1">
      <c r="A281" s="1055" t="s">
        <v>1151</v>
      </c>
      <c r="B281" s="1055" t="s">
        <v>2231</v>
      </c>
      <c r="C281" s="1057">
        <v>382588.15999999997</v>
      </c>
      <c r="D281" s="1057">
        <v>42461.16</v>
      </c>
      <c r="E281" s="1057">
        <v>425049.32</v>
      </c>
      <c r="F281" s="1055" t="s">
        <v>1112</v>
      </c>
      <c r="G281" s="1055" t="s">
        <v>1108</v>
      </c>
      <c r="H281" s="1034"/>
      <c r="I281" s="1035"/>
      <c r="J281" s="1035"/>
      <c r="K281" s="1035"/>
      <c r="L281" s="655" t="str">
        <f t="shared" si="263"/>
        <v>5781</v>
      </c>
      <c r="M281" s="656" t="str">
        <f t="shared" si="260"/>
        <v>COUT PNEUS</v>
      </c>
      <c r="N281" s="657">
        <f>+IF(OR($Q281=Parametres!$G$2,$Q281=Parametres!$G$3),I281,C281)</f>
        <v>382588.15999999997</v>
      </c>
      <c r="O281" s="661">
        <f>+IF(OR($Q281=Parametres!$G$2,$Q281=Parametres!$G$3),J281,D281)</f>
        <v>42461.16</v>
      </c>
      <c r="P281" s="657">
        <f>+IF(OR($Q281=Parametres!$G$2,$Q281=Parametres!$G$3),K281,E281)</f>
        <v>425049.32</v>
      </c>
      <c r="Q281" s="656" t="str">
        <f t="shared" ref="Q281:S281" si="286">+F281</f>
        <v>6-Coût des ventes</v>
      </c>
      <c r="R281" s="655" t="str">
        <f t="shared" si="286"/>
        <v>4781</v>
      </c>
      <c r="S281" s="656">
        <f t="shared" si="286"/>
        <v>0</v>
      </c>
      <c r="T281" s="658" t="str">
        <f>+VLOOKUP($L281,Data_Validation!$A:$D,1,0)</f>
        <v>5781</v>
      </c>
      <c r="U281" s="658" t="str">
        <f>+VLOOKUP($L281,Data_Validation!$A:$D,3,0)</f>
        <v>Pièces</v>
      </c>
      <c r="V281" s="658" t="str">
        <f>+VLOOKUP($L281,Data_Validation!$A:$D,4,0)</f>
        <v>Ventes Pneus</v>
      </c>
      <c r="W281" s="658" t="str">
        <f>+VLOOKUP($L281,Data_Validation!$A:$E,5,0)</f>
        <v>$</v>
      </c>
      <c r="X281" s="658">
        <f>+VLOOKUP($L281,Data_Validation!$A:$F,6,0)</f>
        <v>0</v>
      </c>
    </row>
    <row r="282" spans="1:24" ht="15" customHeight="1">
      <c r="A282" s="1055" t="s">
        <v>1152</v>
      </c>
      <c r="B282" s="1055" t="s">
        <v>2234</v>
      </c>
      <c r="C282" s="1057">
        <v>7089.96</v>
      </c>
      <c r="D282" s="1057">
        <v>1337.6</v>
      </c>
      <c r="E282" s="1057">
        <v>8427.56</v>
      </c>
      <c r="F282" s="1055" t="s">
        <v>1112</v>
      </c>
      <c r="G282" s="1055" t="s">
        <v>1108</v>
      </c>
      <c r="H282" s="1034"/>
      <c r="I282" s="1034"/>
      <c r="J282" s="1034"/>
      <c r="K282" s="1034"/>
      <c r="L282" s="655" t="str">
        <f t="shared" si="263"/>
        <v>5785</v>
      </c>
      <c r="M282" s="656" t="str">
        <f t="shared" si="260"/>
        <v>C/V - VW PNEUS</v>
      </c>
      <c r="N282" s="657">
        <f>+IF(OR($Q282=Parametres!$G$2,$Q282=Parametres!$G$3),I282,C282)</f>
        <v>7089.96</v>
      </c>
      <c r="O282" s="661">
        <f>+IF(OR($Q282=Parametres!$G$2,$Q282=Parametres!$G$3),J282,D282)</f>
        <v>1337.6</v>
      </c>
      <c r="P282" s="657">
        <f>+IF(OR($Q282=Parametres!$G$2,$Q282=Parametres!$G$3),K282,E282)</f>
        <v>8427.56</v>
      </c>
      <c r="Q282" s="656" t="str">
        <f t="shared" ref="Q282:S282" si="287">+F282</f>
        <v>6-Coût des ventes</v>
      </c>
      <c r="R282" s="655" t="str">
        <f t="shared" si="287"/>
        <v>4781</v>
      </c>
      <c r="S282" s="656">
        <f t="shared" si="287"/>
        <v>0</v>
      </c>
      <c r="T282" s="658" t="str">
        <f>+VLOOKUP($L282,Data_Validation!$A:$D,1,0)</f>
        <v>5785</v>
      </c>
      <c r="U282" s="658" t="str">
        <f>+VLOOKUP($L282,Data_Validation!$A:$D,3,0)</f>
        <v>Pièces</v>
      </c>
      <c r="V282" s="658" t="str">
        <f>+VLOOKUP($L282,Data_Validation!$A:$D,4,0)</f>
        <v>Ventes Pneus</v>
      </c>
      <c r="W282" s="658" t="str">
        <f>+VLOOKUP($L282,Data_Validation!$A:$E,5,0)</f>
        <v>$</v>
      </c>
      <c r="X282" s="658">
        <f>+VLOOKUP($L282,Data_Validation!$A:$F,6,0)</f>
        <v>0</v>
      </c>
    </row>
    <row r="283" spans="1:24" ht="15.75" customHeight="1">
      <c r="A283" s="1055" t="s">
        <v>1153</v>
      </c>
      <c r="B283" s="1055" t="s">
        <v>2239</v>
      </c>
      <c r="C283" s="1057">
        <v>-15645.42</v>
      </c>
      <c r="D283" s="1057">
        <v>-5367.57</v>
      </c>
      <c r="E283" s="1057">
        <v>-21012.99</v>
      </c>
      <c r="F283" s="1055" t="s">
        <v>1112</v>
      </c>
      <c r="G283" s="1055" t="s">
        <v>1154</v>
      </c>
      <c r="H283" s="1034"/>
      <c r="I283" s="1034"/>
      <c r="J283" s="1034"/>
      <c r="K283" s="1034"/>
      <c r="L283" s="655" t="str">
        <f t="shared" si="263"/>
        <v>5796</v>
      </c>
      <c r="M283" s="656" t="str">
        <f t="shared" si="260"/>
        <v>C/V - BONI / ESCPTE PI VW</v>
      </c>
      <c r="N283" s="657">
        <f>+IF(OR($Q283=Parametres!$G$2,$Q283=Parametres!$G$3),I283,C283)</f>
        <v>-15645.42</v>
      </c>
      <c r="O283" s="661">
        <f>+IF(OR($Q283=Parametres!$G$2,$Q283=Parametres!$G$3),J283,D283)</f>
        <v>-5367.57</v>
      </c>
      <c r="P283" s="657">
        <f>+IF(OR($Q283=Parametres!$G$2,$Q283=Parametres!$G$3),K283,E283)</f>
        <v>-21012.99</v>
      </c>
      <c r="Q283" s="656" t="str">
        <f t="shared" ref="Q283:S283" si="288">+F283</f>
        <v>6-Coût des ventes</v>
      </c>
      <c r="R283" s="655" t="str">
        <f t="shared" si="288"/>
        <v>5792</v>
      </c>
      <c r="S283" s="656">
        <f t="shared" si="288"/>
        <v>0</v>
      </c>
      <c r="T283" s="658" t="str">
        <f>+VLOOKUP($L283,Data_Validation!$A:$D,1,0)</f>
        <v>5796</v>
      </c>
      <c r="U283" s="658" t="str">
        <f>+VLOOKUP($L283,Data_Validation!$A:$D,3,0)</f>
        <v>Pièces</v>
      </c>
      <c r="V283" s="658" t="str">
        <f>+VLOOKUP($L283,Data_Validation!$A:$D,4,0)</f>
        <v>Escomptes</v>
      </c>
      <c r="W283" s="658" t="str">
        <f>+VLOOKUP($L283,Data_Validation!$A:$E,5,0)</f>
        <v>$</v>
      </c>
      <c r="X283" s="658">
        <f>+VLOOKUP($L283,Data_Validation!$A:$F,6,0)</f>
        <v>0</v>
      </c>
    </row>
    <row r="284" spans="1:24" ht="15" customHeight="1">
      <c r="A284" s="1055" t="s">
        <v>1155</v>
      </c>
      <c r="B284" s="1055" t="s">
        <v>1157</v>
      </c>
      <c r="C284" s="1057">
        <v>460692.04</v>
      </c>
      <c r="D284" s="1057">
        <v>29910.06</v>
      </c>
      <c r="E284" s="1057">
        <v>490602.1</v>
      </c>
      <c r="F284" s="1055" t="s">
        <v>1156</v>
      </c>
      <c r="G284" s="1055" t="s">
        <v>1157</v>
      </c>
      <c r="H284" s="1034"/>
      <c r="I284" s="1034"/>
      <c r="J284" s="1034"/>
      <c r="K284" s="1034"/>
      <c r="L284" s="655" t="str">
        <f t="shared" si="263"/>
        <v>6101</v>
      </c>
      <c r="M284" s="656" t="str">
        <f t="shared" si="260"/>
        <v>COMMISSION VENDEUR NEUFS</v>
      </c>
      <c r="N284" s="657">
        <f>+IF(OR($Q284=Parametres!$G$2,$Q284=Parametres!$G$3),I284,C284)</f>
        <v>460692.04</v>
      </c>
      <c r="O284" s="661">
        <f>+IF(OR($Q284=Parametres!$G$2,$Q284=Parametres!$G$3),J284,D284)</f>
        <v>29910.06</v>
      </c>
      <c r="P284" s="657">
        <f>+IF(OR($Q284=Parametres!$G$2,$Q284=Parametres!$G$3),K284,E284)</f>
        <v>490602.1</v>
      </c>
      <c r="Q284" s="656" t="str">
        <f t="shared" ref="Q284:S284" si="289">+F284</f>
        <v>7-Dépenses</v>
      </c>
      <c r="R284" s="655" t="str">
        <f t="shared" si="289"/>
        <v>6101</v>
      </c>
      <c r="S284" s="656">
        <f t="shared" si="289"/>
        <v>0</v>
      </c>
      <c r="T284" s="658" t="str">
        <f>+VLOOKUP($L284,Data_Validation!$A:$D,1,0)</f>
        <v>6101</v>
      </c>
      <c r="U284" s="658" t="str">
        <f>+VLOOKUP($L284,Data_Validation!$A:$D,3,0)</f>
        <v>Véhicules neufs</v>
      </c>
      <c r="V284" s="658" t="str">
        <f>+VLOOKUP($L284,Data_Validation!$A:$D,4,0)</f>
        <v>Comm. vendeurs</v>
      </c>
      <c r="W284" s="658" t="str">
        <f>+VLOOKUP($L284,Data_Validation!$A:$E,5,0)</f>
        <v>$</v>
      </c>
      <c r="X284" s="658">
        <f>+VLOOKUP($L284,Data_Validation!$A:$F,6,0)</f>
        <v>0</v>
      </c>
    </row>
    <row r="285" spans="1:24" ht="15" customHeight="1">
      <c r="A285" s="1055" t="s">
        <v>1158</v>
      </c>
      <c r="B285" s="1055" t="s">
        <v>1159</v>
      </c>
      <c r="C285" s="1057">
        <v>196964.34</v>
      </c>
      <c r="D285" s="1057">
        <v>14353.95</v>
      </c>
      <c r="E285" s="1057">
        <v>211318.29</v>
      </c>
      <c r="F285" s="1055" t="s">
        <v>1156</v>
      </c>
      <c r="G285" s="1055" t="s">
        <v>1159</v>
      </c>
      <c r="H285" s="1034"/>
      <c r="I285" s="1034"/>
      <c r="J285" s="1034"/>
      <c r="K285" s="1034"/>
      <c r="L285" s="655" t="str">
        <f t="shared" si="263"/>
        <v>6102</v>
      </c>
      <c r="M285" s="656" t="str">
        <f t="shared" si="260"/>
        <v>RENUMERATION F &amp; I</v>
      </c>
      <c r="N285" s="657">
        <f>+IF(OR($Q285=Parametres!$G$2,$Q285=Parametres!$G$3),I285,C285)</f>
        <v>196964.34</v>
      </c>
      <c r="O285" s="661">
        <f>+IF(OR($Q285=Parametres!$G$2,$Q285=Parametres!$G$3),J285,D285)</f>
        <v>14353.95</v>
      </c>
      <c r="P285" s="657">
        <f>+IF(OR($Q285=Parametres!$G$2,$Q285=Parametres!$G$3),K285,E285)</f>
        <v>211318.29</v>
      </c>
      <c r="Q285" s="656" t="str">
        <f t="shared" ref="Q285:S285" si="290">+F285</f>
        <v>7-Dépenses</v>
      </c>
      <c r="R285" s="655" t="str">
        <f t="shared" si="290"/>
        <v>6102</v>
      </c>
      <c r="S285" s="656">
        <f t="shared" si="290"/>
        <v>0</v>
      </c>
      <c r="T285" s="658" t="str">
        <f>+VLOOKUP($L285,Data_Validation!$A:$D,1,0)</f>
        <v>6102</v>
      </c>
      <c r="U285" s="658" t="str">
        <f>+VLOOKUP($L285,Data_Validation!$A:$D,3,0)</f>
        <v>Véhicules neufs</v>
      </c>
      <c r="V285" s="658" t="str">
        <f>+VLOOKUP($L285,Data_Validation!$A:$D,4,0)</f>
        <v>Comm. F&amp;I</v>
      </c>
      <c r="W285" s="658" t="str">
        <f>+VLOOKUP($L285,Data_Validation!$A:$E,5,0)</f>
        <v>$</v>
      </c>
      <c r="X285" s="658">
        <f>+VLOOKUP($L285,Data_Validation!$A:$F,6,0)</f>
        <v>0</v>
      </c>
    </row>
    <row r="286" spans="1:24" ht="15" customHeight="1">
      <c r="A286" s="1055" t="s">
        <v>1160</v>
      </c>
      <c r="B286" s="1055" t="s">
        <v>1161</v>
      </c>
      <c r="C286" s="1057">
        <v>1055.6600000000001</v>
      </c>
      <c r="D286" s="1057">
        <v>249.5</v>
      </c>
      <c r="E286" s="1057">
        <v>1305.1600000000001</v>
      </c>
      <c r="F286" s="1055" t="s">
        <v>1156</v>
      </c>
      <c r="G286" s="1055" t="s">
        <v>1161</v>
      </c>
      <c r="H286" s="1034"/>
      <c r="I286" s="1034"/>
      <c r="J286" s="1034"/>
      <c r="K286" s="1034"/>
      <c r="L286" s="655" t="str">
        <f t="shared" si="263"/>
        <v>6103</v>
      </c>
      <c r="M286" s="656" t="str">
        <f t="shared" si="260"/>
        <v>RELAT. A LA CLIENTELE &amp; AJUST.</v>
      </c>
      <c r="N286" s="657">
        <f>+IF(OR($Q286=Parametres!$G$2,$Q286=Parametres!$G$3),I286,C286)</f>
        <v>1055.6600000000001</v>
      </c>
      <c r="O286" s="661">
        <f>+IF(OR($Q286=Parametres!$G$2,$Q286=Parametres!$G$3),J286,D286)</f>
        <v>249.5</v>
      </c>
      <c r="P286" s="657">
        <f>+IF(OR($Q286=Parametres!$G$2,$Q286=Parametres!$G$3),K286,E286)</f>
        <v>1305.1600000000001</v>
      </c>
      <c r="Q286" s="656" t="str">
        <f t="shared" ref="Q286:S286" si="291">+F286</f>
        <v>7-Dépenses</v>
      </c>
      <c r="R286" s="655" t="str">
        <f t="shared" si="291"/>
        <v>6103</v>
      </c>
      <c r="S286" s="656">
        <f t="shared" si="291"/>
        <v>0</v>
      </c>
      <c r="T286" s="658" t="str">
        <f>+VLOOKUP($L286,Data_Validation!$A:$D,1,0)</f>
        <v>6103</v>
      </c>
      <c r="U286" s="658" t="str">
        <f>+VLOOKUP($L286,Data_Validation!$A:$D,3,0)</f>
        <v>Véhicules neufs</v>
      </c>
      <c r="V286" s="658" t="str">
        <f>+VLOOKUP($L286,Data_Validation!$A:$D,4,0)</f>
        <v>Service gratuit 1</v>
      </c>
      <c r="W286" s="658" t="str">
        <f>+VLOOKUP($L286,Data_Validation!$A:$E,5,0)</f>
        <v>$</v>
      </c>
      <c r="X286" s="658">
        <f>+VLOOKUP($L286,Data_Validation!$A:$F,6,0)</f>
        <v>0</v>
      </c>
    </row>
    <row r="287" spans="1:24" ht="15.75" customHeight="1">
      <c r="A287" s="1055" t="s">
        <v>1162</v>
      </c>
      <c r="B287" s="1055" t="s">
        <v>1163</v>
      </c>
      <c r="C287" s="1057">
        <v>52787.58</v>
      </c>
      <c r="D287" s="1057">
        <v>3105.58</v>
      </c>
      <c r="E287" s="1057">
        <v>55893.16</v>
      </c>
      <c r="F287" s="1055" t="s">
        <v>1156</v>
      </c>
      <c r="G287" s="1055" t="s">
        <v>1163</v>
      </c>
      <c r="H287" s="1034"/>
      <c r="I287" s="1034"/>
      <c r="J287" s="1034"/>
      <c r="K287" s="1034"/>
      <c r="L287" s="655" t="str">
        <f t="shared" si="263"/>
        <v>6106</v>
      </c>
      <c r="M287" s="656" t="str">
        <f t="shared" si="260"/>
        <v>ENTRETIEN DES STOCKS</v>
      </c>
      <c r="N287" s="657">
        <f>+IF(OR($Q287=Parametres!$G$2,$Q287=Parametres!$G$3),I287,C287)</f>
        <v>52787.58</v>
      </c>
      <c r="O287" s="661">
        <f>+IF(OR($Q287=Parametres!$G$2,$Q287=Parametres!$G$3),J287,D287)</f>
        <v>3105.58</v>
      </c>
      <c r="P287" s="657">
        <f>+IF(OR($Q287=Parametres!$G$2,$Q287=Parametres!$G$3),K287,E287)</f>
        <v>55893.16</v>
      </c>
      <c r="Q287" s="656" t="str">
        <f t="shared" ref="Q287:S287" si="292">+F287</f>
        <v>7-Dépenses</v>
      </c>
      <c r="R287" s="655" t="str">
        <f t="shared" si="292"/>
        <v>6106</v>
      </c>
      <c r="S287" s="656">
        <f t="shared" si="292"/>
        <v>0</v>
      </c>
      <c r="T287" s="658" t="str">
        <f>+VLOOKUP($L287,Data_Validation!$A:$D,1,0)</f>
        <v>6106</v>
      </c>
      <c r="U287" s="658" t="str">
        <f>+VLOOKUP($L287,Data_Validation!$A:$D,3,0)</f>
        <v>Véhicules neufs</v>
      </c>
      <c r="V287" s="658" t="str">
        <f>+VLOOKUP($L287,Data_Validation!$A:$D,4,0)</f>
        <v>Entretien stock</v>
      </c>
      <c r="W287" s="658" t="str">
        <f>+VLOOKUP($L287,Data_Validation!$A:$E,5,0)</f>
        <v>$</v>
      </c>
      <c r="X287" s="658">
        <f>+VLOOKUP($L287,Data_Validation!$A:$F,6,0)</f>
        <v>0</v>
      </c>
    </row>
    <row r="288" spans="1:24" ht="15" customHeight="1">
      <c r="A288" s="1055" t="s">
        <v>1164</v>
      </c>
      <c r="B288" s="1055" t="s">
        <v>1165</v>
      </c>
      <c r="C288" s="1057">
        <v>20315</v>
      </c>
      <c r="D288" s="1057">
        <v>9068.61</v>
      </c>
      <c r="E288" s="1057">
        <v>29383.61</v>
      </c>
      <c r="F288" s="1055" t="s">
        <v>1156</v>
      </c>
      <c r="G288" s="1055" t="s">
        <v>1165</v>
      </c>
      <c r="H288" s="1034"/>
      <c r="I288" s="1034"/>
      <c r="J288" s="1034"/>
      <c r="K288" s="1034"/>
      <c r="L288" s="655" t="str">
        <f t="shared" si="263"/>
        <v>6107</v>
      </c>
      <c r="M288" s="656" t="str">
        <f t="shared" si="260"/>
        <v>INTERET-PLAN DE FINANCEMENT</v>
      </c>
      <c r="N288" s="657">
        <f>+IF(OR($Q288=Parametres!$G$2,$Q288=Parametres!$G$3),I288,C288)</f>
        <v>20315</v>
      </c>
      <c r="O288" s="661">
        <f>+IF(OR($Q288=Parametres!$G$2,$Q288=Parametres!$G$3),J288,D288)</f>
        <v>9068.61</v>
      </c>
      <c r="P288" s="657">
        <f>+IF(OR($Q288=Parametres!$G$2,$Q288=Parametres!$G$3),K288,E288)</f>
        <v>29383.61</v>
      </c>
      <c r="Q288" s="656" t="str">
        <f t="shared" ref="Q288:S288" si="293">+F288</f>
        <v>7-Dépenses</v>
      </c>
      <c r="R288" s="655" t="str">
        <f t="shared" si="293"/>
        <v>6107</v>
      </c>
      <c r="S288" s="656">
        <f t="shared" si="293"/>
        <v>0</v>
      </c>
      <c r="T288" s="658" t="str">
        <f>+VLOOKUP($L288,Data_Validation!$A:$D,1,0)</f>
        <v>6107</v>
      </c>
      <c r="U288" s="658" t="str">
        <f>+VLOOKUP($L288,Data_Validation!$A:$D,3,0)</f>
        <v>Véhicules neufs</v>
      </c>
      <c r="V288" s="658" t="str">
        <f>+VLOOKUP($L288,Data_Validation!$A:$D,4,0)</f>
        <v>Intérêt de gros</v>
      </c>
      <c r="W288" s="658" t="str">
        <f>+VLOOKUP($L288,Data_Validation!$A:$E,5,0)</f>
        <v>$</v>
      </c>
      <c r="X288" s="658">
        <f>+VLOOKUP($L288,Data_Validation!$A:$F,6,0)</f>
        <v>0</v>
      </c>
    </row>
    <row r="289" spans="1:24" ht="15" customHeight="1">
      <c r="A289" s="1055" t="s">
        <v>1166</v>
      </c>
      <c r="B289" s="1055" t="s">
        <v>1167</v>
      </c>
      <c r="C289" s="1057">
        <v>40162.28</v>
      </c>
      <c r="D289" s="1057">
        <v>6194.72</v>
      </c>
      <c r="E289" s="1057">
        <v>46357</v>
      </c>
      <c r="F289" s="1055" t="s">
        <v>1156</v>
      </c>
      <c r="G289" s="1055" t="s">
        <v>1167</v>
      </c>
      <c r="H289" s="1032"/>
      <c r="I289" s="1033"/>
      <c r="J289" s="1033"/>
      <c r="K289" s="1033"/>
      <c r="L289" s="655" t="str">
        <f t="shared" si="263"/>
        <v>6108</v>
      </c>
      <c r="M289" s="656" t="str">
        <f t="shared" si="260"/>
        <v>FRAIS DE LIVRAISON</v>
      </c>
      <c r="N289" s="657">
        <f>+IF(OR($Q289=Parametres!$G$2,$Q289=Parametres!$G$3),I289,C289)</f>
        <v>40162.28</v>
      </c>
      <c r="O289" s="661">
        <f>+IF(OR($Q289=Parametres!$G$2,$Q289=Parametres!$G$3),J289,D289)</f>
        <v>6194.72</v>
      </c>
      <c r="P289" s="657">
        <f>+IF(OR($Q289=Parametres!$G$2,$Q289=Parametres!$G$3),K289,E289)</f>
        <v>46357</v>
      </c>
      <c r="Q289" s="656" t="str">
        <f t="shared" ref="Q289:S289" si="294">+F289</f>
        <v>7-Dépenses</v>
      </c>
      <c r="R289" s="655" t="str">
        <f t="shared" si="294"/>
        <v>6108</v>
      </c>
      <c r="S289" s="656">
        <f t="shared" si="294"/>
        <v>0</v>
      </c>
      <c r="T289" s="658" t="str">
        <f>+VLOOKUP($L289,Data_Validation!$A:$D,1,0)</f>
        <v>6108</v>
      </c>
      <c r="U289" s="658" t="str">
        <f>+VLOOKUP($L289,Data_Validation!$A:$D,3,0)</f>
        <v>Véhicules neufs</v>
      </c>
      <c r="V289" s="658" t="str">
        <f>+VLOOKUP($L289,Data_Validation!$A:$D,4,0)</f>
        <v>Frais de livraison</v>
      </c>
      <c r="W289" s="658" t="str">
        <f>+VLOOKUP($L289,Data_Validation!$A:$E,5,0)</f>
        <v>$</v>
      </c>
      <c r="X289" s="658">
        <f>+VLOOKUP($L289,Data_Validation!$A:$F,6,0)</f>
        <v>0</v>
      </c>
    </row>
    <row r="290" spans="1:24" ht="15" customHeight="1">
      <c r="A290" s="1055" t="s">
        <v>1168</v>
      </c>
      <c r="B290" s="1055" t="s">
        <v>1169</v>
      </c>
      <c r="C290" s="1057">
        <v>169914.96</v>
      </c>
      <c r="D290" s="1057">
        <v>16734.32</v>
      </c>
      <c r="E290" s="1057">
        <v>186649.28</v>
      </c>
      <c r="F290" s="1055" t="s">
        <v>1156</v>
      </c>
      <c r="G290" s="1055" t="s">
        <v>1169</v>
      </c>
      <c r="H290" s="1032"/>
      <c r="I290" s="1033"/>
      <c r="J290" s="1033"/>
      <c r="K290" s="1033"/>
      <c r="L290" s="655" t="str">
        <f t="shared" si="263"/>
        <v>6114</v>
      </c>
      <c r="M290" s="656" t="str">
        <f t="shared" si="260"/>
        <v>PUBLICITE</v>
      </c>
      <c r="N290" s="657">
        <f>+IF(OR($Q290=Parametres!$G$2,$Q290=Parametres!$G$3),I290,C290)</f>
        <v>169914.96</v>
      </c>
      <c r="O290" s="661">
        <f>+IF(OR($Q290=Parametres!$G$2,$Q290=Parametres!$G$3),J290,D290)</f>
        <v>16734.32</v>
      </c>
      <c r="P290" s="657">
        <f>+IF(OR($Q290=Parametres!$G$2,$Q290=Parametres!$G$3),K290,E290)</f>
        <v>186649.28</v>
      </c>
      <c r="Q290" s="656" t="str">
        <f t="shared" ref="Q290:S290" si="295">+F290</f>
        <v>7-Dépenses</v>
      </c>
      <c r="R290" s="655" t="str">
        <f t="shared" si="295"/>
        <v>6114</v>
      </c>
      <c r="S290" s="656">
        <f t="shared" si="295"/>
        <v>0</v>
      </c>
      <c r="T290" s="658" t="str">
        <f>+VLOOKUP($L290,Data_Validation!$A:$D,1,0)</f>
        <v>6114</v>
      </c>
      <c r="U290" s="658" t="str">
        <f>+VLOOKUP($L290,Data_Validation!$A:$D,3,0)</f>
        <v>Véhicules neufs</v>
      </c>
      <c r="V290" s="658" t="str">
        <f>+VLOOKUP($L290,Data_Validation!$A:$D,4,0)</f>
        <v>Publicité 1</v>
      </c>
      <c r="W290" s="658" t="str">
        <f>+VLOOKUP($L290,Data_Validation!$A:$E,5,0)</f>
        <v>$</v>
      </c>
      <c r="X290" s="658">
        <f>+VLOOKUP($L290,Data_Validation!$A:$F,6,0)</f>
        <v>0</v>
      </c>
    </row>
    <row r="291" spans="1:24" ht="15.75" customHeight="1">
      <c r="A291" s="1055" t="s">
        <v>1170</v>
      </c>
      <c r="B291" s="1055" t="s">
        <v>2259</v>
      </c>
      <c r="C291" s="1057">
        <v>-66850</v>
      </c>
      <c r="D291" s="1057">
        <v>-5550</v>
      </c>
      <c r="E291" s="1057">
        <v>-72400</v>
      </c>
      <c r="F291" s="1055" t="s">
        <v>1156</v>
      </c>
      <c r="G291" s="1055" t="s">
        <v>1169</v>
      </c>
      <c r="H291" s="1032"/>
      <c r="I291" s="1033"/>
      <c r="J291" s="1033"/>
      <c r="K291" s="1033"/>
      <c r="L291" s="655" t="str">
        <f t="shared" si="263"/>
        <v>6115</v>
      </c>
      <c r="M291" s="656" t="str">
        <f t="shared" si="260"/>
        <v>CREDIT PUBLICITE NEUF</v>
      </c>
      <c r="N291" s="657">
        <f>+IF(OR($Q291=Parametres!$G$2,$Q291=Parametres!$G$3),I291,C291)</f>
        <v>-66850</v>
      </c>
      <c r="O291" s="661">
        <f>+IF(OR($Q291=Parametres!$G$2,$Q291=Parametres!$G$3),J291,D291)</f>
        <v>-5550</v>
      </c>
      <c r="P291" s="657">
        <f>+IF(OR($Q291=Parametres!$G$2,$Q291=Parametres!$G$3),K291,E291)</f>
        <v>-72400</v>
      </c>
      <c r="Q291" s="656" t="str">
        <f t="shared" ref="Q291:S291" si="296">+F291</f>
        <v>7-Dépenses</v>
      </c>
      <c r="R291" s="655" t="str">
        <f t="shared" si="296"/>
        <v>6114</v>
      </c>
      <c r="S291" s="656">
        <f t="shared" si="296"/>
        <v>0</v>
      </c>
      <c r="T291" s="658" t="str">
        <f>+VLOOKUP($L291,Data_Validation!$A:$D,1,0)</f>
        <v>6115</v>
      </c>
      <c r="U291" s="658" t="str">
        <f>+VLOOKUP($L291,Data_Validation!$A:$D,3,0)</f>
        <v>Véhicules neufs</v>
      </c>
      <c r="V291" s="658" t="str">
        <f>+VLOOKUP($L291,Data_Validation!$A:$D,4,0)</f>
        <v>Publicité 1</v>
      </c>
      <c r="W291" s="658" t="str">
        <f>+VLOOKUP($L291,Data_Validation!$A:$E,5,0)</f>
        <v>$</v>
      </c>
      <c r="X291" s="658">
        <f>+VLOOKUP($L291,Data_Validation!$A:$F,6,0)</f>
        <v>0</v>
      </c>
    </row>
    <row r="292" spans="1:24" ht="15" customHeight="1">
      <c r="A292" s="1055" t="s">
        <v>1171</v>
      </c>
      <c r="B292" s="1055" t="s">
        <v>1172</v>
      </c>
      <c r="C292" s="1057">
        <v>80091.91</v>
      </c>
      <c r="D292" s="1057">
        <v>8369.7099999999991</v>
      </c>
      <c r="E292" s="1057">
        <v>88461.62</v>
      </c>
      <c r="F292" s="1055" t="s">
        <v>1156</v>
      </c>
      <c r="G292" s="1055" t="s">
        <v>1172</v>
      </c>
      <c r="H292" s="1032"/>
      <c r="I292" s="1033"/>
      <c r="J292" s="1033"/>
      <c r="K292" s="1033"/>
      <c r="L292" s="655" t="str">
        <f t="shared" si="263"/>
        <v>6121</v>
      </c>
      <c r="M292" s="656" t="str">
        <f t="shared" si="260"/>
        <v>SALAIRES - PROPRIETAIRES</v>
      </c>
      <c r="N292" s="657">
        <f>+IF(OR($Q292=Parametres!$G$2,$Q292=Parametres!$G$3),I292,C292)</f>
        <v>80091.91</v>
      </c>
      <c r="O292" s="657">
        <f>+IF(OR($Q292=Parametres!$G$2,$Q292=Parametres!$G$3),J292,D292)</f>
        <v>8369.7099999999991</v>
      </c>
      <c r="P292" s="657">
        <f>+IF(OR($Q292=Parametres!$G$2,$Q292=Parametres!$G$3),K292,E292)</f>
        <v>88461.62</v>
      </c>
      <c r="Q292" s="656" t="str">
        <f t="shared" ref="Q292:S292" si="297">+F292</f>
        <v>7-Dépenses</v>
      </c>
      <c r="R292" s="655" t="str">
        <f t="shared" si="297"/>
        <v>6121</v>
      </c>
      <c r="S292" s="656">
        <f t="shared" si="297"/>
        <v>0</v>
      </c>
      <c r="T292" s="658" t="str">
        <f>+VLOOKUP($L292,Data_Validation!$A:$D,1,0)</f>
        <v>6121</v>
      </c>
      <c r="U292" s="658" t="str">
        <f>+VLOOKUP($L292,Data_Validation!$A:$D,3,0)</f>
        <v>Véhicules neufs</v>
      </c>
      <c r="V292" s="658" t="str">
        <f>+VLOOKUP($L292,Data_Validation!$A:$D,4,0)</f>
        <v>Salaires propriétaire</v>
      </c>
      <c r="W292" s="658" t="str">
        <f>+VLOOKUP($L292,Data_Validation!$A:$E,5,0)</f>
        <v>$</v>
      </c>
      <c r="X292" s="658">
        <f>+VLOOKUP($L292,Data_Validation!$A:$F,6,0)</f>
        <v>0</v>
      </c>
    </row>
    <row r="293" spans="1:24" ht="15" customHeight="1">
      <c r="A293" s="1055" t="s">
        <v>1173</v>
      </c>
      <c r="B293" s="1055" t="s">
        <v>1174</v>
      </c>
      <c r="C293" s="1057">
        <v>165503.76999999999</v>
      </c>
      <c r="D293" s="1057">
        <v>13251.53</v>
      </c>
      <c r="E293" s="1057">
        <v>178755.3</v>
      </c>
      <c r="F293" s="1055" t="s">
        <v>1156</v>
      </c>
      <c r="G293" s="1055" t="s">
        <v>1174</v>
      </c>
      <c r="H293" s="1032"/>
      <c r="I293" s="1033"/>
      <c r="J293" s="1033"/>
      <c r="K293" s="1033"/>
      <c r="L293" s="655" t="str">
        <f t="shared" si="263"/>
        <v>6122</v>
      </c>
      <c r="M293" s="656" t="str">
        <f t="shared" si="260"/>
        <v>SAL SUPERVISION / GERANT</v>
      </c>
      <c r="N293" s="657">
        <f>+IF(OR($Q293=Parametres!$G$2,$Q293=Parametres!$G$3),I293,C293)</f>
        <v>165503.76999999999</v>
      </c>
      <c r="O293" s="657">
        <f>+IF(OR($Q293=Parametres!$G$2,$Q293=Parametres!$G$3),J293,D293)</f>
        <v>13251.53</v>
      </c>
      <c r="P293" s="657">
        <f>+IF(OR($Q293=Parametres!$G$2,$Q293=Parametres!$G$3),K293,E293)</f>
        <v>178755.3</v>
      </c>
      <c r="Q293" s="656" t="str">
        <f t="shared" ref="Q293:S293" si="298">+F293</f>
        <v>7-Dépenses</v>
      </c>
      <c r="R293" s="655" t="str">
        <f t="shared" si="298"/>
        <v>6122</v>
      </c>
      <c r="S293" s="656">
        <f t="shared" si="298"/>
        <v>0</v>
      </c>
      <c r="T293" s="658" t="str">
        <f>+VLOOKUP($L293,Data_Validation!$A:$D,1,0)</f>
        <v>6122</v>
      </c>
      <c r="U293" s="658" t="str">
        <f>+VLOOKUP($L293,Data_Validation!$A:$D,3,0)</f>
        <v>Véhicules neufs</v>
      </c>
      <c r="V293" s="658" t="str">
        <f>+VLOOKUP($L293,Data_Validation!$A:$D,4,0)</f>
        <v>Salaires cadres</v>
      </c>
      <c r="W293" s="658" t="str">
        <f>+VLOOKUP($L293,Data_Validation!$A:$E,5,0)</f>
        <v>$</v>
      </c>
      <c r="X293" s="658">
        <f>+VLOOKUP($L293,Data_Validation!$A:$F,6,0)</f>
        <v>0</v>
      </c>
    </row>
    <row r="294" spans="1:24" ht="15" customHeight="1">
      <c r="A294" s="1055" t="s">
        <v>1175</v>
      </c>
      <c r="B294" s="1055" t="s">
        <v>1176</v>
      </c>
      <c r="C294" s="1057">
        <v>85532.85</v>
      </c>
      <c r="D294" s="1057">
        <v>8271.85</v>
      </c>
      <c r="E294" s="1057">
        <v>93804.7</v>
      </c>
      <c r="F294" s="1055" t="s">
        <v>1156</v>
      </c>
      <c r="G294" s="1055" t="s">
        <v>1176</v>
      </c>
      <c r="H294" s="1032"/>
      <c r="I294" s="1033"/>
      <c r="J294" s="1033"/>
      <c r="K294" s="1033"/>
      <c r="L294" s="655" t="str">
        <f t="shared" si="263"/>
        <v>6123</v>
      </c>
      <c r="M294" s="656" t="str">
        <f t="shared" si="260"/>
        <v>SAL. &amp; RENUM. - CLERICAL</v>
      </c>
      <c r="N294" s="657">
        <f>+IF(OR($Q294=Parametres!$G$2,$Q294=Parametres!$G$3),I294,C294)</f>
        <v>85532.85</v>
      </c>
      <c r="O294" s="657">
        <f>+IF(OR($Q294=Parametres!$G$2,$Q294=Parametres!$G$3),J294,D294)</f>
        <v>8271.85</v>
      </c>
      <c r="P294" s="657">
        <f>+IF(OR($Q294=Parametres!$G$2,$Q294=Parametres!$G$3),K294,E294)</f>
        <v>93804.7</v>
      </c>
      <c r="Q294" s="656" t="str">
        <f t="shared" ref="Q294:S294" si="299">+F294</f>
        <v>7-Dépenses</v>
      </c>
      <c r="R294" s="655" t="str">
        <f t="shared" si="299"/>
        <v>6123</v>
      </c>
      <c r="S294" s="656">
        <f t="shared" si="299"/>
        <v>0</v>
      </c>
      <c r="T294" s="658" t="str">
        <f>+VLOOKUP($L294,Data_Validation!$A:$D,1,0)</f>
        <v>6123</v>
      </c>
      <c r="U294" s="658" t="str">
        <f>+VLOOKUP($L294,Data_Validation!$A:$D,3,0)</f>
        <v>Véhicules neufs</v>
      </c>
      <c r="V294" s="658" t="str">
        <f>+VLOOKUP($L294,Data_Validation!$A:$D,4,0)</f>
        <v>Salaires commis</v>
      </c>
      <c r="W294" s="658" t="str">
        <f>+VLOOKUP($L294,Data_Validation!$A:$E,5,0)</f>
        <v>$</v>
      </c>
      <c r="X294" s="658">
        <f>+VLOOKUP($L294,Data_Validation!$A:$F,6,0)</f>
        <v>0</v>
      </c>
    </row>
    <row r="295" spans="1:24" ht="15" customHeight="1">
      <c r="A295" s="1055" t="s">
        <v>1177</v>
      </c>
      <c r="B295" s="1055" t="s">
        <v>1178</v>
      </c>
      <c r="C295" s="1057">
        <v>45852.26</v>
      </c>
      <c r="D295" s="1057">
        <v>6556.67</v>
      </c>
      <c r="E295" s="1057">
        <v>52408.93</v>
      </c>
      <c r="F295" s="1055" t="s">
        <v>1156</v>
      </c>
      <c r="G295" s="1055" t="s">
        <v>1178</v>
      </c>
      <c r="H295" s="1032"/>
      <c r="I295" s="1033"/>
      <c r="J295" s="1033"/>
      <c r="K295" s="1033"/>
      <c r="L295" s="655" t="str">
        <f t="shared" si="263"/>
        <v>6124</v>
      </c>
      <c r="M295" s="656" t="str">
        <f t="shared" si="260"/>
        <v>SALAIRES &amp; RENUM. - AUTRES</v>
      </c>
      <c r="N295" s="657">
        <f>+IF(OR($Q295=Parametres!$G$2,$Q295=Parametres!$G$3),I295,C295)</f>
        <v>45852.26</v>
      </c>
      <c r="O295" s="657">
        <f>+IF(OR($Q295=Parametres!$G$2,$Q295=Parametres!$G$3),J295,D295)</f>
        <v>6556.67</v>
      </c>
      <c r="P295" s="657">
        <f>+IF(OR($Q295=Parametres!$G$2,$Q295=Parametres!$G$3),K295,E295)</f>
        <v>52408.93</v>
      </c>
      <c r="Q295" s="656" t="str">
        <f t="shared" ref="Q295:S295" si="300">+F295</f>
        <v>7-Dépenses</v>
      </c>
      <c r="R295" s="655" t="str">
        <f t="shared" si="300"/>
        <v>6124</v>
      </c>
      <c r="S295" s="656">
        <f t="shared" si="300"/>
        <v>0</v>
      </c>
      <c r="T295" s="658" t="str">
        <f>+VLOOKUP($L295,Data_Validation!$A:$D,1,0)</f>
        <v>6124</v>
      </c>
      <c r="U295" s="658" t="str">
        <f>+VLOOKUP($L295,Data_Validation!$A:$D,3,0)</f>
        <v>Véhicules neufs</v>
      </c>
      <c r="V295" s="658" t="str">
        <f>+VLOOKUP($L295,Data_Validation!$A:$D,4,0)</f>
        <v>Salaires autres</v>
      </c>
      <c r="W295" s="658" t="str">
        <f>+VLOOKUP($L295,Data_Validation!$A:$E,5,0)</f>
        <v>$</v>
      </c>
      <c r="X295" s="658">
        <f>+VLOOKUP($L295,Data_Validation!$A:$F,6,0)</f>
        <v>0</v>
      </c>
    </row>
    <row r="296" spans="1:24" ht="15" customHeight="1">
      <c r="A296" s="1055" t="s">
        <v>1179</v>
      </c>
      <c r="B296" s="1055" t="s">
        <v>1180</v>
      </c>
      <c r="C296" s="1057">
        <v>152615.57</v>
      </c>
      <c r="D296" s="1057">
        <v>33705.11</v>
      </c>
      <c r="E296" s="1057">
        <v>186320.68</v>
      </c>
      <c r="F296" s="1055" t="s">
        <v>1156</v>
      </c>
      <c r="G296" s="1055" t="s">
        <v>1180</v>
      </c>
      <c r="H296" s="1032"/>
      <c r="I296" s="1033"/>
      <c r="J296" s="1033"/>
      <c r="K296" s="1033"/>
      <c r="L296" s="655" t="str">
        <f t="shared" si="263"/>
        <v>6129</v>
      </c>
      <c r="M296" s="656" t="str">
        <f t="shared" si="260"/>
        <v>ABS., VACANCE &amp; SAL. JOURS FER</v>
      </c>
      <c r="N296" s="657">
        <f>+IF(OR($Q296=Parametres!$G$2,$Q296=Parametres!$G$3),I296,C296)</f>
        <v>152615.57</v>
      </c>
      <c r="O296" s="657">
        <f>+IF(OR($Q296=Parametres!$G$2,$Q296=Parametres!$G$3),J296,D296)</f>
        <v>33705.11</v>
      </c>
      <c r="P296" s="657">
        <f>+IF(OR($Q296=Parametres!$G$2,$Q296=Parametres!$G$3),K296,E296)</f>
        <v>186320.68</v>
      </c>
      <c r="Q296" s="656" t="str">
        <f t="shared" ref="Q296:S296" si="301">+F296</f>
        <v>7-Dépenses</v>
      </c>
      <c r="R296" s="655" t="str">
        <f t="shared" si="301"/>
        <v>6129</v>
      </c>
      <c r="S296" s="656">
        <f t="shared" si="301"/>
        <v>0</v>
      </c>
      <c r="T296" s="658" t="str">
        <f>+VLOOKUP($L296,Data_Validation!$A:$D,1,0)</f>
        <v>6129</v>
      </c>
      <c r="U296" s="658" t="str">
        <f>+VLOOKUP($L296,Data_Validation!$A:$D,3,0)</f>
        <v>Véhicules neufs</v>
      </c>
      <c r="V296" s="658" t="str">
        <f>+VLOOKUP($L296,Data_Validation!$A:$D,4,0)</f>
        <v>Salaires en absences</v>
      </c>
      <c r="W296" s="658" t="str">
        <f>+VLOOKUP($L296,Data_Validation!$A:$E,5,0)</f>
        <v>$</v>
      </c>
      <c r="X296" s="658">
        <f>+VLOOKUP($L296,Data_Validation!$A:$F,6,0)</f>
        <v>0</v>
      </c>
    </row>
    <row r="297" spans="1:24" ht="15.75" customHeight="1">
      <c r="A297" s="1055" t="s">
        <v>1181</v>
      </c>
      <c r="B297" s="1055" t="s">
        <v>1182</v>
      </c>
      <c r="C297" s="1057">
        <v>33970.050000000003</v>
      </c>
      <c r="D297" s="1057">
        <v>9053.94</v>
      </c>
      <c r="E297" s="1057">
        <v>43023.99</v>
      </c>
      <c r="F297" s="1055" t="s">
        <v>1156</v>
      </c>
      <c r="G297" s="1055" t="s">
        <v>1182</v>
      </c>
      <c r="H297" s="1032"/>
      <c r="I297" s="1033"/>
      <c r="J297" s="1033"/>
      <c r="K297" s="1033"/>
      <c r="L297" s="655" t="str">
        <f t="shared" si="263"/>
        <v>6131</v>
      </c>
      <c r="M297" s="656" t="str">
        <f t="shared" si="260"/>
        <v>CSST</v>
      </c>
      <c r="N297" s="657">
        <f>+IF(OR($Q297=Parametres!$G$2,$Q297=Parametres!$G$3),I297,C297)</f>
        <v>33970.050000000003</v>
      </c>
      <c r="O297" s="657">
        <f>+IF(OR($Q297=Parametres!$G$2,$Q297=Parametres!$G$3),J297,D297)</f>
        <v>9053.94</v>
      </c>
      <c r="P297" s="657">
        <f>+IF(OR($Q297=Parametres!$G$2,$Q297=Parametres!$G$3),K297,E297)</f>
        <v>43023.99</v>
      </c>
      <c r="Q297" s="656" t="str">
        <f t="shared" ref="Q297:S297" si="302">+F297</f>
        <v>7-Dépenses</v>
      </c>
      <c r="R297" s="655" t="str">
        <f t="shared" si="302"/>
        <v>6131</v>
      </c>
      <c r="S297" s="656">
        <f t="shared" si="302"/>
        <v>0</v>
      </c>
      <c r="T297" s="658" t="str">
        <f>+VLOOKUP($L297,Data_Validation!$A:$D,1,0)</f>
        <v>6131</v>
      </c>
      <c r="U297" s="658" t="str">
        <f>+VLOOKUP($L297,Data_Validation!$A:$D,3,0)</f>
        <v>Véhicules neufs</v>
      </c>
      <c r="V297" s="658" t="str">
        <f>+VLOOKUP($L297,Data_Validation!$A:$D,4,0)</f>
        <v>Csst</v>
      </c>
      <c r="W297" s="658" t="str">
        <f>+VLOOKUP($L297,Data_Validation!$A:$E,5,0)</f>
        <v>$</v>
      </c>
      <c r="X297" s="658">
        <f>+VLOOKUP($L297,Data_Validation!$A:$F,6,0)</f>
        <v>0</v>
      </c>
    </row>
    <row r="298" spans="1:24" ht="15" customHeight="1">
      <c r="A298" s="1055" t="s">
        <v>1183</v>
      </c>
      <c r="B298" s="1055" t="s">
        <v>1184</v>
      </c>
      <c r="C298" s="1057">
        <v>175165.9</v>
      </c>
      <c r="D298" s="1057">
        <v>22415.47</v>
      </c>
      <c r="E298" s="1057">
        <v>197581.37</v>
      </c>
      <c r="F298" s="1055" t="s">
        <v>1156</v>
      </c>
      <c r="G298" s="1055" t="s">
        <v>1184</v>
      </c>
      <c r="H298" s="1032"/>
      <c r="I298" s="1033"/>
      <c r="J298" s="1033"/>
      <c r="K298" s="1033"/>
      <c r="L298" s="655" t="str">
        <f t="shared" si="263"/>
        <v>6132</v>
      </c>
      <c r="M298" s="656" t="str">
        <f t="shared" si="260"/>
        <v>RRQ RAMQ AC</v>
      </c>
      <c r="N298" s="657">
        <f>+IF(OR($Q298=Parametres!$G$2,$Q298=Parametres!$G$3),I298,C298)</f>
        <v>175165.9</v>
      </c>
      <c r="O298" s="657">
        <f>+IF(OR($Q298=Parametres!$G$2,$Q298=Parametres!$G$3),J298,D298)</f>
        <v>22415.47</v>
      </c>
      <c r="P298" s="657">
        <f>+IF(OR($Q298=Parametres!$G$2,$Q298=Parametres!$G$3),K298,E298)</f>
        <v>197581.37</v>
      </c>
      <c r="Q298" s="656" t="str">
        <f t="shared" ref="Q298:S298" si="303">+F298</f>
        <v>7-Dépenses</v>
      </c>
      <c r="R298" s="655" t="str">
        <f t="shared" si="303"/>
        <v>6132</v>
      </c>
      <c r="S298" s="656">
        <f t="shared" si="303"/>
        <v>0</v>
      </c>
      <c r="T298" s="658" t="str">
        <f>+VLOOKUP($L298,Data_Validation!$A:$D,1,0)</f>
        <v>6132</v>
      </c>
      <c r="U298" s="658" t="str">
        <f>+VLOOKUP($L298,Data_Validation!$A:$D,3,0)</f>
        <v>Véhicules neufs</v>
      </c>
      <c r="V298" s="658" t="str">
        <f>+VLOOKUP($L298,Data_Validation!$A:$D,4,0)</f>
        <v>Déduction à la source</v>
      </c>
      <c r="W298" s="658" t="str">
        <f>+VLOOKUP($L298,Data_Validation!$A:$E,5,0)</f>
        <v>$</v>
      </c>
      <c r="X298" s="658">
        <f>+VLOOKUP($L298,Data_Validation!$A:$F,6,0)</f>
        <v>0</v>
      </c>
    </row>
    <row r="299" spans="1:24" ht="15" customHeight="1">
      <c r="A299" s="1055" t="s">
        <v>1185</v>
      </c>
      <c r="B299" s="1055" t="s">
        <v>1186</v>
      </c>
      <c r="C299" s="1057">
        <v>0</v>
      </c>
      <c r="D299" s="1057">
        <v>1484.98</v>
      </c>
      <c r="E299" s="1057">
        <v>1484.98</v>
      </c>
      <c r="F299" s="1055" t="s">
        <v>1156</v>
      </c>
      <c r="G299" s="1055" t="s">
        <v>1186</v>
      </c>
      <c r="H299" s="1032"/>
      <c r="I299" s="1033"/>
      <c r="J299" s="1033"/>
      <c r="K299" s="1033"/>
      <c r="L299" s="655" t="str">
        <f t="shared" si="263"/>
        <v>6133</v>
      </c>
      <c r="M299" s="656" t="str">
        <f t="shared" si="260"/>
        <v>FOND PENSION - NEUF</v>
      </c>
      <c r="N299" s="657">
        <f>+IF(OR($Q299=Parametres!$G$2,$Q299=Parametres!$G$3),I299,C299)</f>
        <v>0</v>
      </c>
      <c r="O299" s="657">
        <f>+IF(OR($Q299=Parametres!$G$2,$Q299=Parametres!$G$3),J299,D299)</f>
        <v>1484.98</v>
      </c>
      <c r="P299" s="657">
        <f>+IF(OR($Q299=Parametres!$G$2,$Q299=Parametres!$G$3),K299,E299)</f>
        <v>1484.98</v>
      </c>
      <c r="Q299" s="656" t="str">
        <f t="shared" ref="Q299:S299" si="304">+F299</f>
        <v>7-Dépenses</v>
      </c>
      <c r="R299" s="655" t="str">
        <f t="shared" si="304"/>
        <v>6133</v>
      </c>
      <c r="S299" s="656">
        <f t="shared" si="304"/>
        <v>0</v>
      </c>
      <c r="T299" s="658" t="str">
        <f>+VLOOKUP($L299,Data_Validation!$A:$D,1,0)</f>
        <v>6133</v>
      </c>
      <c r="U299" s="658" t="str">
        <f>+VLOOKUP($L299,Data_Validation!$A:$D,3,0)</f>
        <v>Véhicules neufs</v>
      </c>
      <c r="V299" s="658" t="str">
        <f>+VLOOKUP($L299,Data_Validation!$A:$D,4,0)</f>
        <v>Bénéfices marginaux</v>
      </c>
      <c r="W299" s="658" t="str">
        <f>+VLOOKUP($L299,Data_Validation!$A:$E,5,0)</f>
        <v>$</v>
      </c>
      <c r="X299" s="658">
        <f>+VLOOKUP($L299,Data_Validation!$A:$F,6,0)</f>
        <v>0</v>
      </c>
    </row>
    <row r="300" spans="1:24" ht="15" customHeight="1">
      <c r="A300" s="1055" t="s">
        <v>1187</v>
      </c>
      <c r="B300" s="1055" t="s">
        <v>1188</v>
      </c>
      <c r="C300" s="1057">
        <v>69862.69</v>
      </c>
      <c r="D300" s="1057">
        <v>5142.59</v>
      </c>
      <c r="E300" s="1057">
        <v>75005.279999999999</v>
      </c>
      <c r="F300" s="1055" t="s">
        <v>1156</v>
      </c>
      <c r="G300" s="1055" t="s">
        <v>1188</v>
      </c>
      <c r="H300" s="1032"/>
      <c r="I300" s="1033"/>
      <c r="J300" s="1033"/>
      <c r="K300" s="1033"/>
      <c r="L300" s="655" t="str">
        <f t="shared" si="263"/>
        <v>6139</v>
      </c>
      <c r="M300" s="656" t="str">
        <f t="shared" si="260"/>
        <v>ASSURANCE GROUPS</v>
      </c>
      <c r="N300" s="657">
        <f>+IF(OR($Q300=Parametres!$G$2,$Q300=Parametres!$G$3),I300,C300)</f>
        <v>69862.69</v>
      </c>
      <c r="O300" s="657">
        <f>+IF(OR($Q300=Parametres!$G$2,$Q300=Parametres!$G$3),J300,D300)</f>
        <v>5142.59</v>
      </c>
      <c r="P300" s="657">
        <f>+IF(OR($Q300=Parametres!$G$2,$Q300=Parametres!$G$3),K300,E300)</f>
        <v>75005.279999999999</v>
      </c>
      <c r="Q300" s="656" t="str">
        <f t="shared" ref="Q300:S300" si="305">+F300</f>
        <v>7-Dépenses</v>
      </c>
      <c r="R300" s="655" t="str">
        <f t="shared" si="305"/>
        <v>6139</v>
      </c>
      <c r="S300" s="656">
        <f t="shared" si="305"/>
        <v>0</v>
      </c>
      <c r="T300" s="658" t="str">
        <f>+VLOOKUP($L300,Data_Validation!$A:$D,1,0)</f>
        <v>6139</v>
      </c>
      <c r="U300" s="658" t="str">
        <f>+VLOOKUP($L300,Data_Validation!$A:$D,3,0)</f>
        <v>Véhicules neufs</v>
      </c>
      <c r="V300" s="658" t="str">
        <f>+VLOOKUP($L300,Data_Validation!$A:$D,4,0)</f>
        <v>Bénéfices marginaux</v>
      </c>
      <c r="W300" s="658" t="str">
        <f>+VLOOKUP($L300,Data_Validation!$A:$E,5,0)</f>
        <v>$</v>
      </c>
      <c r="X300" s="658">
        <f>+VLOOKUP($L300,Data_Validation!$A:$F,6,0)</f>
        <v>0</v>
      </c>
    </row>
    <row r="301" spans="1:24" ht="15.75" customHeight="1">
      <c r="A301" s="1055" t="s">
        <v>1189</v>
      </c>
      <c r="B301" s="1055" t="s">
        <v>1190</v>
      </c>
      <c r="C301" s="1057">
        <v>339.81</v>
      </c>
      <c r="D301" s="1057">
        <v>0</v>
      </c>
      <c r="E301" s="1057">
        <v>339.81</v>
      </c>
      <c r="F301" s="1055" t="s">
        <v>1156</v>
      </c>
      <c r="G301" s="1055" t="s">
        <v>1190</v>
      </c>
      <c r="H301" s="1032"/>
      <c r="I301" s="1033"/>
      <c r="J301" s="1033"/>
      <c r="K301" s="1033"/>
      <c r="L301" s="655" t="str">
        <f t="shared" si="263"/>
        <v>6142</v>
      </c>
      <c r="M301" s="656" t="str">
        <f t="shared" si="260"/>
        <v>FOURNITURES &amp; PETITS OUTILS</v>
      </c>
      <c r="N301" s="657">
        <f>+IF(OR($Q301=Parametres!$G$2,$Q301=Parametres!$G$3),I301,C301)</f>
        <v>339.81</v>
      </c>
      <c r="O301" s="657">
        <f>+IF(OR($Q301=Parametres!$G$2,$Q301=Parametres!$G$3),J301,D301)</f>
        <v>0</v>
      </c>
      <c r="P301" s="657">
        <f>+IF(OR($Q301=Parametres!$G$2,$Q301=Parametres!$G$3),K301,E301)</f>
        <v>339.81</v>
      </c>
      <c r="Q301" s="656" t="str">
        <f t="shared" ref="Q301:S301" si="306">+F301</f>
        <v>7-Dépenses</v>
      </c>
      <c r="R301" s="655" t="str">
        <f t="shared" si="306"/>
        <v>6142</v>
      </c>
      <c r="S301" s="656">
        <f t="shared" si="306"/>
        <v>0</v>
      </c>
      <c r="T301" s="658" t="str">
        <f>+VLOOKUP($L301,Data_Validation!$A:$D,1,0)</f>
        <v>6142</v>
      </c>
      <c r="U301" s="658" t="str">
        <f>+VLOOKUP($L301,Data_Validation!$A:$D,3,0)</f>
        <v>Véhicules neufs</v>
      </c>
      <c r="V301" s="658" t="str">
        <f>+VLOOKUP($L301,Data_Validation!$A:$D,4,0)</f>
        <v>Fournitures autres</v>
      </c>
      <c r="W301" s="658" t="str">
        <f>+VLOOKUP($L301,Data_Validation!$A:$E,5,0)</f>
        <v>$</v>
      </c>
      <c r="X301" s="658">
        <f>+VLOOKUP($L301,Data_Validation!$A:$F,6,0)</f>
        <v>0</v>
      </c>
    </row>
    <row r="302" spans="1:24" ht="15" customHeight="1">
      <c r="A302" s="1055" t="s">
        <v>1191</v>
      </c>
      <c r="B302" s="1055" t="s">
        <v>1192</v>
      </c>
      <c r="C302" s="1057">
        <v>113.99</v>
      </c>
      <c r="D302" s="1057">
        <v>0</v>
      </c>
      <c r="E302" s="1057">
        <v>113.99</v>
      </c>
      <c r="F302" s="1055" t="s">
        <v>1156</v>
      </c>
      <c r="G302" s="1055" t="s">
        <v>1192</v>
      </c>
      <c r="H302" s="1032"/>
      <c r="I302" s="1033"/>
      <c r="J302" s="1033"/>
      <c r="K302" s="1033"/>
      <c r="L302" s="655" t="str">
        <f t="shared" si="263"/>
        <v>6143</v>
      </c>
      <c r="M302" s="656" t="str">
        <f t="shared" si="260"/>
        <v>UNIFORMES &amp; LESSIVE</v>
      </c>
      <c r="N302" s="657">
        <f>+IF(OR($Q302=Parametres!$G$2,$Q302=Parametres!$G$3),I302,C302)</f>
        <v>113.99</v>
      </c>
      <c r="O302" s="657">
        <f>+IF(OR($Q302=Parametres!$G$2,$Q302=Parametres!$G$3),J302,D302)</f>
        <v>0</v>
      </c>
      <c r="P302" s="657">
        <f>+IF(OR($Q302=Parametres!$G$2,$Q302=Parametres!$G$3),K302,E302)</f>
        <v>113.99</v>
      </c>
      <c r="Q302" s="656" t="str">
        <f t="shared" ref="Q302:S302" si="307">+F302</f>
        <v>7-Dépenses</v>
      </c>
      <c r="R302" s="655" t="str">
        <f t="shared" si="307"/>
        <v>6143</v>
      </c>
      <c r="S302" s="656">
        <f t="shared" si="307"/>
        <v>0</v>
      </c>
      <c r="T302" s="658" t="str">
        <f>+VLOOKUP($L302,Data_Validation!$A:$D,1,0)</f>
        <v>6143</v>
      </c>
      <c r="U302" s="658" t="str">
        <f>+VLOOKUP($L302,Data_Validation!$A:$D,3,0)</f>
        <v>Véhicules neufs</v>
      </c>
      <c r="V302" s="658" t="str">
        <f>+VLOOKUP($L302,Data_Validation!$A:$D,4,0)</f>
        <v>Uniformes</v>
      </c>
      <c r="W302" s="658" t="str">
        <f>+VLOOKUP($L302,Data_Validation!$A:$E,5,0)</f>
        <v>$</v>
      </c>
      <c r="X302" s="658">
        <f>+VLOOKUP($L302,Data_Validation!$A:$F,6,0)</f>
        <v>0</v>
      </c>
    </row>
    <row r="303" spans="1:24" ht="15" customHeight="1">
      <c r="A303" s="1055" t="s">
        <v>1193</v>
      </c>
      <c r="B303" s="1055" t="s">
        <v>1194</v>
      </c>
      <c r="C303" s="1057">
        <v>13726.62</v>
      </c>
      <c r="D303" s="1057">
        <v>2965.24</v>
      </c>
      <c r="E303" s="1057">
        <v>16691.86</v>
      </c>
      <c r="F303" s="1055" t="s">
        <v>1156</v>
      </c>
      <c r="G303" s="1055" t="s">
        <v>1194</v>
      </c>
      <c r="H303" s="1032"/>
      <c r="I303" s="1033"/>
      <c r="J303" s="1033"/>
      <c r="K303" s="1033"/>
      <c r="L303" s="655" t="str">
        <f t="shared" si="263"/>
        <v>6144</v>
      </c>
      <c r="M303" s="656" t="str">
        <f t="shared" si="260"/>
        <v>FORMATION</v>
      </c>
      <c r="N303" s="657">
        <f>+IF(OR($Q303=Parametres!$G$2,$Q303=Parametres!$G$3),I303,C303)</f>
        <v>13726.62</v>
      </c>
      <c r="O303" s="657">
        <f>+IF(OR($Q303=Parametres!$G$2,$Q303=Parametres!$G$3),J303,D303)</f>
        <v>2965.24</v>
      </c>
      <c r="P303" s="657">
        <f>+IF(OR($Q303=Parametres!$G$2,$Q303=Parametres!$G$3),K303,E303)</f>
        <v>16691.86</v>
      </c>
      <c r="Q303" s="656" t="str">
        <f t="shared" ref="Q303:S303" si="308">+F303</f>
        <v>7-Dépenses</v>
      </c>
      <c r="R303" s="655" t="str">
        <f t="shared" si="308"/>
        <v>6144</v>
      </c>
      <c r="S303" s="656">
        <f t="shared" si="308"/>
        <v>0</v>
      </c>
      <c r="T303" s="658" t="str">
        <f>+VLOOKUP($L303,Data_Validation!$A:$D,1,0)</f>
        <v>6144</v>
      </c>
      <c r="U303" s="658" t="str">
        <f>+VLOOKUP($L303,Data_Validation!$A:$D,3,0)</f>
        <v>Véhicules neufs</v>
      </c>
      <c r="V303" s="658" t="str">
        <f>+VLOOKUP($L303,Data_Validation!$A:$D,4,0)</f>
        <v>Formation</v>
      </c>
      <c r="W303" s="658" t="str">
        <f>+VLOOKUP($L303,Data_Validation!$A:$E,5,0)</f>
        <v>$</v>
      </c>
      <c r="X303" s="658">
        <f>+VLOOKUP($L303,Data_Validation!$A:$F,6,0)</f>
        <v>0</v>
      </c>
    </row>
    <row r="304" spans="1:24" ht="15" customHeight="1">
      <c r="A304" s="1055" t="s">
        <v>1195</v>
      </c>
      <c r="B304" s="1055" t="s">
        <v>1196</v>
      </c>
      <c r="C304" s="1057">
        <v>91428.6</v>
      </c>
      <c r="D304" s="1057">
        <v>12232.5</v>
      </c>
      <c r="E304" s="1057">
        <v>103661.1</v>
      </c>
      <c r="F304" s="1055" t="s">
        <v>1156</v>
      </c>
      <c r="G304" s="1055" t="s">
        <v>1196</v>
      </c>
      <c r="H304" s="1032"/>
      <c r="I304" s="1033"/>
      <c r="J304" s="1033"/>
      <c r="K304" s="1033"/>
      <c r="L304" s="655" t="str">
        <f t="shared" si="263"/>
        <v>6145</v>
      </c>
      <c r="M304" s="656" t="str">
        <f t="shared" si="260"/>
        <v>VEHICULE DE COMPAGNIE - DEPENS</v>
      </c>
      <c r="N304" s="657">
        <f>+IF(OR($Q304=Parametres!$G$2,$Q304=Parametres!$G$3),I304,C304)</f>
        <v>91428.6</v>
      </c>
      <c r="O304" s="657">
        <f>+IF(OR($Q304=Parametres!$G$2,$Q304=Parametres!$G$3),J304,D304)</f>
        <v>12232.5</v>
      </c>
      <c r="P304" s="657">
        <f>+IF(OR($Q304=Parametres!$G$2,$Q304=Parametres!$G$3),K304,E304)</f>
        <v>103661.1</v>
      </c>
      <c r="Q304" s="656" t="str">
        <f t="shared" ref="Q304:S304" si="309">+F304</f>
        <v>7-Dépenses</v>
      </c>
      <c r="R304" s="655" t="str">
        <f t="shared" si="309"/>
        <v>6145</v>
      </c>
      <c r="S304" s="656">
        <f t="shared" si="309"/>
        <v>0</v>
      </c>
      <c r="T304" s="658" t="str">
        <f>+VLOOKUP($L304,Data_Validation!$A:$D,1,0)</f>
        <v>6145</v>
      </c>
      <c r="U304" s="658" t="str">
        <f>+VLOOKUP($L304,Data_Validation!$A:$D,3,0)</f>
        <v>Véhicules neufs</v>
      </c>
      <c r="V304" s="658" t="str">
        <f>+VLOOKUP($L304,Data_Validation!$A:$D,4,0)</f>
        <v>Frais véhicules de cie</v>
      </c>
      <c r="W304" s="658" t="str">
        <f>+VLOOKUP($L304,Data_Validation!$A:$E,5,0)</f>
        <v>$</v>
      </c>
      <c r="X304" s="658">
        <f>+VLOOKUP($L304,Data_Validation!$A:$F,6,0)</f>
        <v>0</v>
      </c>
    </row>
    <row r="305" spans="1:24" ht="15.75" customHeight="1">
      <c r="A305" s="1055" t="s">
        <v>1197</v>
      </c>
      <c r="B305" s="1055" t="s">
        <v>1198</v>
      </c>
      <c r="C305" s="1057">
        <v>1572.14</v>
      </c>
      <c r="D305" s="1057">
        <v>158.28</v>
      </c>
      <c r="E305" s="1057">
        <v>1730.42</v>
      </c>
      <c r="F305" s="1055" t="s">
        <v>1156</v>
      </c>
      <c r="G305" s="1055" t="s">
        <v>1198</v>
      </c>
      <c r="H305" s="1032"/>
      <c r="I305" s="1033"/>
      <c r="J305" s="1033"/>
      <c r="K305" s="1033"/>
      <c r="L305" s="655" t="str">
        <f t="shared" si="263"/>
        <v>6147</v>
      </c>
      <c r="M305" s="656" t="str">
        <f t="shared" si="260"/>
        <v>FRET/EXPRESS/TRANS. PAR CAMION</v>
      </c>
      <c r="N305" s="657">
        <f>+IF(OR($Q305=Parametres!$G$2,$Q305=Parametres!$G$3),I305,C305)</f>
        <v>1572.14</v>
      </c>
      <c r="O305" s="657">
        <f>+IF(OR($Q305=Parametres!$G$2,$Q305=Parametres!$G$3),J305,D305)</f>
        <v>158.28</v>
      </c>
      <c r="P305" s="657">
        <f>+IF(OR($Q305=Parametres!$G$2,$Q305=Parametres!$G$3),K305,E305)</f>
        <v>1730.42</v>
      </c>
      <c r="Q305" s="656" t="str">
        <f t="shared" ref="Q305:S305" si="310">+F305</f>
        <v>7-Dépenses</v>
      </c>
      <c r="R305" s="655" t="str">
        <f t="shared" si="310"/>
        <v>6147</v>
      </c>
      <c r="S305" s="656">
        <f t="shared" si="310"/>
        <v>0</v>
      </c>
      <c r="T305" s="658" t="str">
        <f>+VLOOKUP($L305,Data_Validation!$A:$D,1,0)</f>
        <v>6147</v>
      </c>
      <c r="U305" s="658" t="str">
        <f>+VLOOKUP($L305,Data_Validation!$A:$D,3,0)</f>
        <v>Véhicules neufs</v>
      </c>
      <c r="V305" s="658" t="str">
        <f>+VLOOKUP($L305,Data_Validation!$A:$D,4,0)</f>
        <v>Frais postaux</v>
      </c>
      <c r="W305" s="658" t="str">
        <f>+VLOOKUP($L305,Data_Validation!$A:$E,5,0)</f>
        <v>$</v>
      </c>
      <c r="X305" s="658">
        <f>+VLOOKUP($L305,Data_Validation!$A:$F,6,0)</f>
        <v>0</v>
      </c>
    </row>
    <row r="306" spans="1:24" ht="15" customHeight="1">
      <c r="A306" s="1055" t="s">
        <v>1199</v>
      </c>
      <c r="B306" s="1055" t="s">
        <v>1200</v>
      </c>
      <c r="C306" s="1057">
        <v>83241.56</v>
      </c>
      <c r="D306" s="1057">
        <v>5935.79</v>
      </c>
      <c r="E306" s="1057">
        <v>89177.35</v>
      </c>
      <c r="F306" s="1055" t="s">
        <v>1156</v>
      </c>
      <c r="G306" s="1055" t="s">
        <v>1200</v>
      </c>
      <c r="H306" s="1032"/>
      <c r="I306" s="1033"/>
      <c r="J306" s="1033"/>
      <c r="K306" s="1033"/>
      <c r="L306" s="655" t="str">
        <f t="shared" si="263"/>
        <v>6151</v>
      </c>
      <c r="M306" s="656" t="str">
        <f t="shared" si="260"/>
        <v>DEP. DU TRAITEMENT DES DONNEES</v>
      </c>
      <c r="N306" s="657">
        <f>+IF(OR($Q306=Parametres!$G$2,$Q306=Parametres!$G$3),I306,C306)</f>
        <v>83241.56</v>
      </c>
      <c r="O306" s="657">
        <f>+IF(OR($Q306=Parametres!$G$2,$Q306=Parametres!$G$3),J306,D306)</f>
        <v>5935.79</v>
      </c>
      <c r="P306" s="657">
        <f>+IF(OR($Q306=Parametres!$G$2,$Q306=Parametres!$G$3),K306,E306)</f>
        <v>89177.35</v>
      </c>
      <c r="Q306" s="656" t="str">
        <f t="shared" ref="Q306:S306" si="311">+F306</f>
        <v>7-Dépenses</v>
      </c>
      <c r="R306" s="655" t="str">
        <f t="shared" si="311"/>
        <v>6151</v>
      </c>
      <c r="S306" s="656">
        <f t="shared" si="311"/>
        <v>0</v>
      </c>
      <c r="T306" s="658" t="str">
        <f>+VLOOKUP($L306,Data_Validation!$A:$D,1,0)</f>
        <v>6151</v>
      </c>
      <c r="U306" s="658" t="str">
        <f>+VLOOKUP($L306,Data_Validation!$A:$D,3,0)</f>
        <v>Véhicules neufs</v>
      </c>
      <c r="V306" s="658" t="str">
        <f>+VLOOKUP($L306,Data_Validation!$A:$D,4,0)</f>
        <v>Informatique</v>
      </c>
      <c r="W306" s="658" t="str">
        <f>+VLOOKUP($L306,Data_Validation!$A:$E,5,0)</f>
        <v>$</v>
      </c>
      <c r="X306" s="658">
        <f>+VLOOKUP($L306,Data_Validation!$A:$F,6,0)</f>
        <v>0</v>
      </c>
    </row>
    <row r="307" spans="1:24" ht="15" customHeight="1">
      <c r="A307" s="1055" t="s">
        <v>1201</v>
      </c>
      <c r="B307" s="1055" t="s">
        <v>1202</v>
      </c>
      <c r="C307" s="1057">
        <v>7650.15</v>
      </c>
      <c r="D307" s="1057">
        <v>942.03</v>
      </c>
      <c r="E307" s="1057">
        <v>8592.18</v>
      </c>
      <c r="F307" s="1055" t="s">
        <v>1156</v>
      </c>
      <c r="G307" s="1055" t="s">
        <v>1202</v>
      </c>
      <c r="H307" s="1032"/>
      <c r="I307" s="1033"/>
      <c r="J307" s="1033"/>
      <c r="K307" s="1033"/>
      <c r="L307" s="655" t="str">
        <f t="shared" si="263"/>
        <v>6152</v>
      </c>
      <c r="M307" s="656" t="str">
        <f t="shared" si="260"/>
        <v>PAPETERIE</v>
      </c>
      <c r="N307" s="657">
        <f>+IF(OR($Q307=Parametres!$G$2,$Q307=Parametres!$G$3),I307,C307)</f>
        <v>7650.15</v>
      </c>
      <c r="O307" s="657">
        <f>+IF(OR($Q307=Parametres!$G$2,$Q307=Parametres!$G$3),J307,D307)</f>
        <v>942.03</v>
      </c>
      <c r="P307" s="657">
        <f>+IF(OR($Q307=Parametres!$G$2,$Q307=Parametres!$G$3),K307,E307)</f>
        <v>8592.18</v>
      </c>
      <c r="Q307" s="656" t="str">
        <f t="shared" ref="Q307:S307" si="312">+F307</f>
        <v>7-Dépenses</v>
      </c>
      <c r="R307" s="655" t="str">
        <f t="shared" si="312"/>
        <v>6152</v>
      </c>
      <c r="S307" s="656">
        <f t="shared" si="312"/>
        <v>0</v>
      </c>
      <c r="T307" s="658" t="str">
        <f>+VLOOKUP($L307,Data_Validation!$A:$D,1,0)</f>
        <v>6152</v>
      </c>
      <c r="U307" s="658" t="str">
        <f>+VLOOKUP($L307,Data_Validation!$A:$D,3,0)</f>
        <v>Véhicules neufs</v>
      </c>
      <c r="V307" s="658" t="str">
        <f>+VLOOKUP($L307,Data_Validation!$A:$D,4,0)</f>
        <v>Papeterie</v>
      </c>
      <c r="W307" s="658" t="str">
        <f>+VLOOKUP($L307,Data_Validation!$A:$E,5,0)</f>
        <v>$</v>
      </c>
      <c r="X307" s="658">
        <f>+VLOOKUP($L307,Data_Validation!$A:$F,6,0)</f>
        <v>0</v>
      </c>
    </row>
    <row r="308" spans="1:24" ht="15" customHeight="1">
      <c r="A308" s="1055" t="s">
        <v>1203</v>
      </c>
      <c r="B308" s="1055" t="s">
        <v>1204</v>
      </c>
      <c r="C308" s="1057">
        <v>2959.06</v>
      </c>
      <c r="D308" s="1057">
        <v>241.05</v>
      </c>
      <c r="E308" s="1057">
        <v>3200.11</v>
      </c>
      <c r="F308" s="1055" t="s">
        <v>1156</v>
      </c>
      <c r="G308" s="1055" t="s">
        <v>1204</v>
      </c>
      <c r="H308" s="1032"/>
      <c r="I308" s="1033"/>
      <c r="J308" s="1033"/>
      <c r="K308" s="1033"/>
      <c r="L308" s="655" t="str">
        <f t="shared" si="263"/>
        <v>6153</v>
      </c>
      <c r="M308" s="656" t="str">
        <f t="shared" si="260"/>
        <v>TELEPHONE ET TELEX</v>
      </c>
      <c r="N308" s="657">
        <f>+IF(OR($Q308=Parametres!$G$2,$Q308=Parametres!$G$3),I308,C308)</f>
        <v>2959.06</v>
      </c>
      <c r="O308" s="657">
        <f>+IF(OR($Q308=Parametres!$G$2,$Q308=Parametres!$G$3),J308,D308)</f>
        <v>241.05</v>
      </c>
      <c r="P308" s="657">
        <f>+IF(OR($Q308=Parametres!$G$2,$Q308=Parametres!$G$3),K308,E308)</f>
        <v>3200.11</v>
      </c>
      <c r="Q308" s="656" t="str">
        <f t="shared" ref="Q308:S308" si="313">+F308</f>
        <v>7-Dépenses</v>
      </c>
      <c r="R308" s="655" t="str">
        <f t="shared" si="313"/>
        <v>6153</v>
      </c>
      <c r="S308" s="656">
        <f t="shared" si="313"/>
        <v>0</v>
      </c>
      <c r="T308" s="658" t="str">
        <f>+VLOOKUP($L308,Data_Validation!$A:$D,1,0)</f>
        <v>6153</v>
      </c>
      <c r="U308" s="658" t="str">
        <f>+VLOOKUP($L308,Data_Validation!$A:$D,3,0)</f>
        <v>Véhicules neufs</v>
      </c>
      <c r="V308" s="658" t="str">
        <f>+VLOOKUP($L308,Data_Validation!$A:$D,4,0)</f>
        <v>Téléphone</v>
      </c>
      <c r="W308" s="658" t="str">
        <f>+VLOOKUP($L308,Data_Validation!$A:$E,5,0)</f>
        <v>$</v>
      </c>
      <c r="X308" s="658">
        <f>+VLOOKUP($L308,Data_Validation!$A:$F,6,0)</f>
        <v>0</v>
      </c>
    </row>
    <row r="309" spans="1:24" ht="15.75" customHeight="1">
      <c r="A309" s="1055" t="s">
        <v>1205</v>
      </c>
      <c r="B309" s="1055" t="s">
        <v>1206</v>
      </c>
      <c r="C309" s="1057">
        <v>2931.35</v>
      </c>
      <c r="D309" s="1057">
        <v>-3.75</v>
      </c>
      <c r="E309" s="1057">
        <v>2927.6</v>
      </c>
      <c r="F309" s="1055" t="s">
        <v>1156</v>
      </c>
      <c r="G309" s="1055" t="s">
        <v>1206</v>
      </c>
      <c r="H309" s="1032"/>
      <c r="I309" s="1033"/>
      <c r="J309" s="1033"/>
      <c r="K309" s="1033"/>
      <c r="L309" s="655" t="str">
        <f t="shared" si="263"/>
        <v>6155</v>
      </c>
      <c r="M309" s="656" t="str">
        <f t="shared" si="260"/>
        <v>DEPENSES DIVERS</v>
      </c>
      <c r="N309" s="657">
        <f>+IF(OR($Q309=Parametres!$G$2,$Q309=Parametres!$G$3),I309,C309)</f>
        <v>2931.35</v>
      </c>
      <c r="O309" s="657">
        <f>+IF(OR($Q309=Parametres!$G$2,$Q309=Parametres!$G$3),J309,D309)</f>
        <v>-3.75</v>
      </c>
      <c r="P309" s="657">
        <f>+IF(OR($Q309=Parametres!$G$2,$Q309=Parametres!$G$3),K309,E309)</f>
        <v>2927.6</v>
      </c>
      <c r="Q309" s="656" t="str">
        <f t="shared" ref="Q309:S309" si="314">+F309</f>
        <v>7-Dépenses</v>
      </c>
      <c r="R309" s="655" t="str">
        <f t="shared" si="314"/>
        <v>6155</v>
      </c>
      <c r="S309" s="656">
        <f t="shared" si="314"/>
        <v>0</v>
      </c>
      <c r="T309" s="658" t="str">
        <f>+VLOOKUP($L309,Data_Validation!$A:$D,1,0)</f>
        <v>6155</v>
      </c>
      <c r="U309" s="658" t="str">
        <f>+VLOOKUP($L309,Data_Validation!$A:$D,3,0)</f>
        <v>Véhicules neufs</v>
      </c>
      <c r="V309" s="658" t="str">
        <f>+VLOOKUP($L309,Data_Validation!$A:$D,4,0)</f>
        <v>Divers</v>
      </c>
      <c r="W309" s="658" t="str">
        <f>+VLOOKUP($L309,Data_Validation!$A:$E,5,0)</f>
        <v>$</v>
      </c>
      <c r="X309" s="658">
        <f>+VLOOKUP($L309,Data_Validation!$A:$F,6,0)</f>
        <v>0</v>
      </c>
    </row>
    <row r="310" spans="1:24" ht="15" customHeight="1">
      <c r="A310" s="1055" t="s">
        <v>1207</v>
      </c>
      <c r="B310" s="1055" t="s">
        <v>1208</v>
      </c>
      <c r="C310" s="1057">
        <v>12492.64</v>
      </c>
      <c r="D310" s="1057">
        <v>862.19</v>
      </c>
      <c r="E310" s="1057">
        <v>13354.83</v>
      </c>
      <c r="F310" s="1055" t="s">
        <v>1156</v>
      </c>
      <c r="G310" s="1055" t="s">
        <v>1208</v>
      </c>
      <c r="H310" s="1032"/>
      <c r="I310" s="1033"/>
      <c r="J310" s="1033"/>
      <c r="K310" s="1033"/>
      <c r="L310" s="655" t="str">
        <f t="shared" si="263"/>
        <v>6156</v>
      </c>
      <c r="M310" s="656" t="str">
        <f t="shared" si="260"/>
        <v>FRAIS REPRESENTATION - NEUF</v>
      </c>
      <c r="N310" s="657">
        <f>+IF(OR($Q310=Parametres!$G$2,$Q310=Parametres!$G$3),I310,C310)</f>
        <v>12492.64</v>
      </c>
      <c r="O310" s="657">
        <f>+IF(OR($Q310=Parametres!$G$2,$Q310=Parametres!$G$3),J310,D310)</f>
        <v>862.19</v>
      </c>
      <c r="P310" s="657">
        <f>+IF(OR($Q310=Parametres!$G$2,$Q310=Parametres!$G$3),K310,E310)</f>
        <v>13354.83</v>
      </c>
      <c r="Q310" s="656" t="str">
        <f t="shared" ref="Q310:S310" si="315">+F310</f>
        <v>7-Dépenses</v>
      </c>
      <c r="R310" s="655" t="str">
        <f t="shared" si="315"/>
        <v>6156</v>
      </c>
      <c r="S310" s="656">
        <f t="shared" si="315"/>
        <v>0</v>
      </c>
      <c r="T310" s="658" t="str">
        <f>+VLOOKUP($L310,Data_Validation!$A:$D,1,0)</f>
        <v>6156</v>
      </c>
      <c r="U310" s="658" t="str">
        <f>+VLOOKUP($L310,Data_Validation!$A:$D,3,0)</f>
        <v>Véhicules neufs</v>
      </c>
      <c r="V310" s="658" t="str">
        <f>+VLOOKUP($L310,Data_Validation!$A:$D,4,0)</f>
        <v>Frais de déplacement</v>
      </c>
      <c r="W310" s="658" t="str">
        <f>+VLOOKUP($L310,Data_Validation!$A:$E,5,0)</f>
        <v>$</v>
      </c>
      <c r="X310" s="658">
        <f>+VLOOKUP($L310,Data_Validation!$A:$F,6,0)</f>
        <v>0</v>
      </c>
    </row>
    <row r="311" spans="1:24" ht="15" customHeight="1">
      <c r="A311" s="1055" t="s">
        <v>1209</v>
      </c>
      <c r="B311" s="1055" t="s">
        <v>3392</v>
      </c>
      <c r="C311" s="1057">
        <v>49147.26</v>
      </c>
      <c r="D311" s="1057">
        <v>-3163.38</v>
      </c>
      <c r="E311" s="1057">
        <v>45983.88</v>
      </c>
      <c r="F311" s="1055" t="s">
        <v>1156</v>
      </c>
      <c r="G311" s="1055" t="s">
        <v>1210</v>
      </c>
      <c r="H311" s="1032"/>
      <c r="I311" s="1033"/>
      <c r="J311" s="1033"/>
      <c r="K311" s="1033"/>
      <c r="L311" s="655" t="str">
        <f t="shared" si="263"/>
        <v>6157</v>
      </c>
      <c r="M311" s="656" t="str">
        <f t="shared" si="260"/>
        <v>FRAIS BANCAIRES - NEUF</v>
      </c>
      <c r="N311" s="657">
        <f>+IF(OR($Q311=Parametres!$G$2,$Q311=Parametres!$G$3),I311,C311)</f>
        <v>49147.26</v>
      </c>
      <c r="O311" s="657">
        <f>+IF(OR($Q311=Parametres!$G$2,$Q311=Parametres!$G$3),J311,D311)</f>
        <v>-3163.38</v>
      </c>
      <c r="P311" s="657">
        <f>+IF(OR($Q311=Parametres!$G$2,$Q311=Parametres!$G$3),K311,E311)</f>
        <v>45983.88</v>
      </c>
      <c r="Q311" s="656" t="str">
        <f t="shared" ref="Q311:S311" si="316">+F311</f>
        <v>7-Dépenses</v>
      </c>
      <c r="R311" s="655" t="str">
        <f t="shared" si="316"/>
        <v>615</v>
      </c>
      <c r="S311" s="656">
        <f t="shared" si="316"/>
        <v>0</v>
      </c>
      <c r="T311" s="658" t="str">
        <f>+VLOOKUP($L311,Data_Validation!$A:$D,1,0)</f>
        <v>6157</v>
      </c>
      <c r="U311" s="658" t="str">
        <f>+VLOOKUP($L311,Data_Validation!$A:$D,3,0)</f>
        <v>Véhicules neufs</v>
      </c>
      <c r="V311" s="658" t="str">
        <f>+VLOOKUP($L311,Data_Validation!$A:$D,4,0)</f>
        <v>Frais bancaires</v>
      </c>
      <c r="W311" s="658" t="str">
        <f>+VLOOKUP($L311,Data_Validation!$A:$E,5,0)</f>
        <v>$</v>
      </c>
      <c r="X311" s="658">
        <f>+VLOOKUP($L311,Data_Validation!$A:$F,6,0)</f>
        <v>0</v>
      </c>
    </row>
    <row r="312" spans="1:24" ht="15" customHeight="1">
      <c r="A312" s="1055" t="s">
        <v>1211</v>
      </c>
      <c r="B312" s="1055" t="s">
        <v>1212</v>
      </c>
      <c r="C312" s="1057">
        <v>74595.070000000007</v>
      </c>
      <c r="D312" s="1057">
        <v>6386.01</v>
      </c>
      <c r="E312" s="1057">
        <v>80981.08</v>
      </c>
      <c r="F312" s="1055" t="s">
        <v>1156</v>
      </c>
      <c r="G312" s="1055" t="s">
        <v>1212</v>
      </c>
      <c r="H312" s="1032"/>
      <c r="I312" s="1033"/>
      <c r="J312" s="1033"/>
      <c r="K312" s="1033"/>
      <c r="L312" s="655" t="str">
        <f t="shared" si="263"/>
        <v>6159</v>
      </c>
      <c r="M312" s="656" t="str">
        <f t="shared" si="260"/>
        <v>SERVICE EXTERIEUR</v>
      </c>
      <c r="N312" s="657">
        <f>+IF(OR($Q312=Parametres!$G$2,$Q312=Parametres!$G$3),I312,C312)</f>
        <v>74595.070000000007</v>
      </c>
      <c r="O312" s="657">
        <f>+IF(OR($Q312=Parametres!$G$2,$Q312=Parametres!$G$3),J312,D312)</f>
        <v>6386.01</v>
      </c>
      <c r="P312" s="657">
        <f>+IF(OR($Q312=Parametres!$G$2,$Q312=Parametres!$G$3),K312,E312)</f>
        <v>80981.08</v>
      </c>
      <c r="Q312" s="656" t="str">
        <f t="shared" ref="Q312:S312" si="317">+F312</f>
        <v>7-Dépenses</v>
      </c>
      <c r="R312" s="655" t="str">
        <f t="shared" si="317"/>
        <v>6159</v>
      </c>
      <c r="S312" s="656">
        <f t="shared" si="317"/>
        <v>0</v>
      </c>
      <c r="T312" s="658" t="str">
        <f>+VLOOKUP($L312,Data_Validation!$A:$D,1,0)</f>
        <v>6159</v>
      </c>
      <c r="U312" s="658" t="str">
        <f>+VLOOKUP($L312,Data_Validation!$A:$D,3,0)</f>
        <v>Véhicules neufs</v>
      </c>
      <c r="V312" s="658" t="str">
        <f>+VLOOKUP($L312,Data_Validation!$A:$D,4,0)</f>
        <v>Services extérieurs</v>
      </c>
      <c r="W312" s="658" t="str">
        <f>+VLOOKUP($L312,Data_Validation!$A:$E,5,0)</f>
        <v>$</v>
      </c>
      <c r="X312" s="658">
        <f>+VLOOKUP($L312,Data_Validation!$A:$F,6,0)</f>
        <v>0</v>
      </c>
    </row>
    <row r="313" spans="1:24" ht="15" customHeight="1">
      <c r="A313" s="1055" t="s">
        <v>1213</v>
      </c>
      <c r="B313" s="1055" t="s">
        <v>1214</v>
      </c>
      <c r="C313" s="1057">
        <v>15187.04</v>
      </c>
      <c r="D313" s="1057">
        <v>1380.64</v>
      </c>
      <c r="E313" s="1057">
        <v>16567.68</v>
      </c>
      <c r="F313" s="1055" t="s">
        <v>1156</v>
      </c>
      <c r="G313" s="1055" t="s">
        <v>1214</v>
      </c>
      <c r="H313" s="1032"/>
      <c r="I313" s="1033"/>
      <c r="J313" s="1033"/>
      <c r="K313" s="1033"/>
      <c r="L313" s="655" t="str">
        <f t="shared" si="263"/>
        <v>6161</v>
      </c>
      <c r="M313" s="656" t="str">
        <f t="shared" si="260"/>
        <v>DEPRECIATION EQUIP. &amp; FIXTURES</v>
      </c>
      <c r="N313" s="657">
        <f>+IF(OR($Q313=Parametres!$G$2,$Q313=Parametres!$G$3),I313,C313)</f>
        <v>15187.04</v>
      </c>
      <c r="O313" s="657">
        <f>+IF(OR($Q313=Parametres!$G$2,$Q313=Parametres!$G$3),J313,D313)</f>
        <v>1380.64</v>
      </c>
      <c r="P313" s="657">
        <f>+IF(OR($Q313=Parametres!$G$2,$Q313=Parametres!$G$3),K313,E313)</f>
        <v>16567.68</v>
      </c>
      <c r="Q313" s="656" t="str">
        <f t="shared" ref="Q313:S313" si="318">+F313</f>
        <v>7-Dépenses</v>
      </c>
      <c r="R313" s="655" t="str">
        <f t="shared" si="318"/>
        <v>6161</v>
      </c>
      <c r="S313" s="656">
        <f t="shared" si="318"/>
        <v>0</v>
      </c>
      <c r="T313" s="658" t="str">
        <f>+VLOOKUP($L313,Data_Validation!$A:$D,1,0)</f>
        <v>6161</v>
      </c>
      <c r="U313" s="658" t="str">
        <f>+VLOOKUP($L313,Data_Validation!$A:$D,3,0)</f>
        <v>Véhicules neufs</v>
      </c>
      <c r="V313" s="658" t="str">
        <f>+VLOOKUP($L313,Data_Validation!$A:$D,4,0)</f>
        <v>Amortissement</v>
      </c>
      <c r="W313" s="658" t="str">
        <f>+VLOOKUP($L313,Data_Validation!$A:$E,5,0)</f>
        <v>$</v>
      </c>
      <c r="X313" s="658">
        <f>+VLOOKUP($L313,Data_Validation!$A:$F,6,0)</f>
        <v>0</v>
      </c>
    </row>
    <row r="314" spans="1:24" ht="15" customHeight="1">
      <c r="A314" s="1055" t="s">
        <v>1215</v>
      </c>
      <c r="B314" s="1055" t="s">
        <v>1216</v>
      </c>
      <c r="C314" s="1057">
        <v>8906.51</v>
      </c>
      <c r="D314" s="1057">
        <v>297.87</v>
      </c>
      <c r="E314" s="1057">
        <v>9204.3799999999992</v>
      </c>
      <c r="F314" s="1055" t="s">
        <v>1156</v>
      </c>
      <c r="G314" s="1055" t="s">
        <v>1216</v>
      </c>
      <c r="H314" s="1032"/>
      <c r="I314" s="1033"/>
      <c r="J314" s="1033"/>
      <c r="K314" s="1033"/>
      <c r="L314" s="655" t="str">
        <f t="shared" si="263"/>
        <v>6181</v>
      </c>
      <c r="M314" s="656" t="str">
        <f t="shared" si="260"/>
        <v>ELECTRICITE CHAUFFAGE</v>
      </c>
      <c r="N314" s="657">
        <f>+IF(OR($Q314=Parametres!$G$2,$Q314=Parametres!$G$3),I314,C314)</f>
        <v>8906.51</v>
      </c>
      <c r="O314" s="657">
        <f>+IF(OR($Q314=Parametres!$G$2,$Q314=Parametres!$G$3),J314,D314)</f>
        <v>297.87</v>
      </c>
      <c r="P314" s="657">
        <f>+IF(OR($Q314=Parametres!$G$2,$Q314=Parametres!$G$3),K314,E314)</f>
        <v>9204.3799999999992</v>
      </c>
      <c r="Q314" s="656" t="str">
        <f t="shared" ref="Q314:S314" si="319">+F314</f>
        <v>7-Dépenses</v>
      </c>
      <c r="R314" s="655" t="str">
        <f t="shared" si="319"/>
        <v>6181</v>
      </c>
      <c r="S314" s="656">
        <f t="shared" si="319"/>
        <v>0</v>
      </c>
      <c r="T314" s="658" t="str">
        <f>+VLOOKUP($L314,Data_Validation!$A:$D,1,0)</f>
        <v>6181</v>
      </c>
      <c r="U314" s="658" t="str">
        <f>+VLOOKUP($L314,Data_Validation!$A:$D,3,0)</f>
        <v>Véhicules neufs</v>
      </c>
      <c r="V314" s="658" t="str">
        <f>+VLOOKUP($L314,Data_Validation!$A:$D,4,0)</f>
        <v>Chauffage, éclairage</v>
      </c>
      <c r="W314" s="658" t="str">
        <f>+VLOOKUP($L314,Data_Validation!$A:$E,5,0)</f>
        <v>$</v>
      </c>
      <c r="X314" s="658">
        <f>+VLOOKUP($L314,Data_Validation!$A:$F,6,0)</f>
        <v>0</v>
      </c>
    </row>
    <row r="315" spans="1:24" ht="15" customHeight="1">
      <c r="A315" s="1055" t="s">
        <v>1217</v>
      </c>
      <c r="B315" s="1055" t="s">
        <v>1218</v>
      </c>
      <c r="C315" s="1057">
        <v>91520</v>
      </c>
      <c r="D315" s="1057">
        <v>8320</v>
      </c>
      <c r="E315" s="1057">
        <v>99840</v>
      </c>
      <c r="F315" s="1055" t="s">
        <v>1156</v>
      </c>
      <c r="G315" s="1055" t="s">
        <v>1218</v>
      </c>
      <c r="H315" s="1032"/>
      <c r="I315" s="1033"/>
      <c r="J315" s="1033"/>
      <c r="K315" s="1033"/>
      <c r="L315" s="655" t="str">
        <f t="shared" si="263"/>
        <v>6182</v>
      </c>
      <c r="M315" s="656" t="str">
        <f t="shared" si="260"/>
        <v>LOYER NEUFS</v>
      </c>
      <c r="N315" s="657">
        <f>+IF(OR($Q315=Parametres!$G$2,$Q315=Parametres!$G$3),I315,C315)</f>
        <v>91520</v>
      </c>
      <c r="O315" s="657">
        <f>+IF(OR($Q315=Parametres!$G$2,$Q315=Parametres!$G$3),J315,D315)</f>
        <v>8320</v>
      </c>
      <c r="P315" s="657">
        <f>+IF(OR($Q315=Parametres!$G$2,$Q315=Parametres!$G$3),K315,E315)</f>
        <v>99840</v>
      </c>
      <c r="Q315" s="656" t="str">
        <f t="shared" ref="Q315:S315" si="320">+F315</f>
        <v>7-Dépenses</v>
      </c>
      <c r="R315" s="655" t="str">
        <f t="shared" si="320"/>
        <v>6182</v>
      </c>
      <c r="S315" s="656">
        <f t="shared" si="320"/>
        <v>0</v>
      </c>
      <c r="T315" s="658" t="str">
        <f>+VLOOKUP($L315,Data_Validation!$A:$D,1,0)</f>
        <v>6182</v>
      </c>
      <c r="U315" s="658" t="str">
        <f>+VLOOKUP($L315,Data_Validation!$A:$D,3,0)</f>
        <v>Véhicules neufs</v>
      </c>
      <c r="V315" s="658" t="str">
        <f>+VLOOKUP($L315,Data_Validation!$A:$D,4,0)</f>
        <v>Loyer</v>
      </c>
      <c r="W315" s="658" t="str">
        <f>+VLOOKUP($L315,Data_Validation!$A:$E,5,0)</f>
        <v>$</v>
      </c>
      <c r="X315" s="658">
        <f>+VLOOKUP($L315,Data_Validation!$A:$F,6,0)</f>
        <v>0</v>
      </c>
    </row>
    <row r="316" spans="1:24" ht="15" customHeight="1">
      <c r="A316" s="1055" t="s">
        <v>1219</v>
      </c>
      <c r="B316" s="1055" t="s">
        <v>1220</v>
      </c>
      <c r="C316" s="1057">
        <v>15033.92</v>
      </c>
      <c r="D316" s="1057">
        <v>1366.72</v>
      </c>
      <c r="E316" s="1057">
        <v>16400.64</v>
      </c>
      <c r="F316" s="1055" t="s">
        <v>1156</v>
      </c>
      <c r="G316" s="1055" t="s">
        <v>1220</v>
      </c>
      <c r="H316" s="1032"/>
      <c r="I316" s="1033"/>
      <c r="J316" s="1033"/>
      <c r="K316" s="1033"/>
      <c r="L316" s="655" t="str">
        <f t="shared" si="263"/>
        <v>6186</v>
      </c>
      <c r="M316" s="656" t="str">
        <f t="shared" si="260"/>
        <v>ASSURANCE BATIMENT</v>
      </c>
      <c r="N316" s="657">
        <f>+IF(OR($Q316=Parametres!$G$2,$Q316=Parametres!$G$3),I316,C316)</f>
        <v>15033.92</v>
      </c>
      <c r="O316" s="657">
        <f>+IF(OR($Q316=Parametres!$G$2,$Q316=Parametres!$G$3),J316,D316)</f>
        <v>1366.72</v>
      </c>
      <c r="P316" s="657">
        <f>+IF(OR($Q316=Parametres!$G$2,$Q316=Parametres!$G$3),K316,E316)</f>
        <v>16400.64</v>
      </c>
      <c r="Q316" s="656" t="str">
        <f t="shared" ref="Q316:S316" si="321">+F316</f>
        <v>7-Dépenses</v>
      </c>
      <c r="R316" s="655" t="str">
        <f t="shared" si="321"/>
        <v>6186</v>
      </c>
      <c r="S316" s="656">
        <f t="shared" si="321"/>
        <v>0</v>
      </c>
      <c r="T316" s="658" t="str">
        <f>+VLOOKUP($L316,Data_Validation!$A:$D,1,0)</f>
        <v>6186</v>
      </c>
      <c r="U316" s="658" t="str">
        <f>+VLOOKUP($L316,Data_Validation!$A:$D,3,0)</f>
        <v>Véhicules neufs</v>
      </c>
      <c r="V316" s="658" t="str">
        <f>+VLOOKUP($L316,Data_Validation!$A:$D,4,0)</f>
        <v>Assurances</v>
      </c>
      <c r="W316" s="658" t="str">
        <f>+VLOOKUP($L316,Data_Validation!$A:$E,5,0)</f>
        <v>$</v>
      </c>
      <c r="X316" s="658">
        <f>+VLOOKUP($L316,Data_Validation!$A:$F,6,0)</f>
        <v>0</v>
      </c>
    </row>
    <row r="317" spans="1:24" ht="15" customHeight="1">
      <c r="A317" s="1055" t="s">
        <v>1221</v>
      </c>
      <c r="B317" s="1055" t="s">
        <v>1222</v>
      </c>
      <c r="C317" s="1057">
        <v>17353.599999999999</v>
      </c>
      <c r="D317" s="1057">
        <v>529.92999999999995</v>
      </c>
      <c r="E317" s="1057">
        <v>17883.53</v>
      </c>
      <c r="F317" s="1055" t="s">
        <v>1156</v>
      </c>
      <c r="G317" s="1055" t="s">
        <v>1222</v>
      </c>
      <c r="H317" s="1032"/>
      <c r="I317" s="1033"/>
      <c r="J317" s="1033"/>
      <c r="K317" s="1033"/>
      <c r="L317" s="655" t="str">
        <f t="shared" si="263"/>
        <v>6187</v>
      </c>
      <c r="M317" s="656" t="str">
        <f t="shared" si="260"/>
        <v>TAXE SUR PROPRIETE</v>
      </c>
      <c r="N317" s="657">
        <f>+IF(OR($Q317=Parametres!$G$2,$Q317=Parametres!$G$3),I317,C317)</f>
        <v>17353.599999999999</v>
      </c>
      <c r="O317" s="657">
        <f>+IF(OR($Q317=Parametres!$G$2,$Q317=Parametres!$G$3),J317,D317)</f>
        <v>529.92999999999995</v>
      </c>
      <c r="P317" s="657">
        <f>+IF(OR($Q317=Parametres!$G$2,$Q317=Parametres!$G$3),K317,E317)</f>
        <v>17883.53</v>
      </c>
      <c r="Q317" s="656" t="str">
        <f t="shared" ref="Q317:S317" si="322">+F317</f>
        <v>7-Dépenses</v>
      </c>
      <c r="R317" s="655" t="str">
        <f t="shared" si="322"/>
        <v>6187</v>
      </c>
      <c r="S317" s="656">
        <f t="shared" si="322"/>
        <v>0</v>
      </c>
      <c r="T317" s="658" t="str">
        <f>+VLOOKUP($L317,Data_Validation!$A:$D,1,0)</f>
        <v>6187</v>
      </c>
      <c r="U317" s="658" t="str">
        <f>+VLOOKUP($L317,Data_Validation!$A:$D,3,0)</f>
        <v>Véhicules neufs</v>
      </c>
      <c r="V317" s="658" t="str">
        <f>+VLOOKUP($L317,Data_Validation!$A:$D,4,0)</f>
        <v>Taxes foncières</v>
      </c>
      <c r="W317" s="658" t="str">
        <f>+VLOOKUP($L317,Data_Validation!$A:$E,5,0)</f>
        <v>$</v>
      </c>
      <c r="X317" s="658">
        <f>+VLOOKUP($L317,Data_Validation!$A:$F,6,0)</f>
        <v>0</v>
      </c>
    </row>
    <row r="318" spans="1:24" ht="15.75" customHeight="1">
      <c r="A318" s="1055" t="s">
        <v>1223</v>
      </c>
      <c r="B318" s="1055" t="s">
        <v>1224</v>
      </c>
      <c r="C318" s="1057">
        <v>11545.6</v>
      </c>
      <c r="D318" s="1057">
        <v>1049.5999999999999</v>
      </c>
      <c r="E318" s="1057">
        <v>12595.2</v>
      </c>
      <c r="F318" s="1055" t="s">
        <v>1156</v>
      </c>
      <c r="G318" s="1055" t="s">
        <v>1224</v>
      </c>
      <c r="H318" s="1032"/>
      <c r="I318" s="1033"/>
      <c r="J318" s="1033"/>
      <c r="K318" s="1033"/>
      <c r="L318" s="655" t="str">
        <f t="shared" si="263"/>
        <v>6193</v>
      </c>
      <c r="M318" s="656" t="str">
        <f t="shared" si="260"/>
        <v>TAXES AUTRES PERMIS LICENCE</v>
      </c>
      <c r="N318" s="657">
        <f>+IF(OR($Q318=Parametres!$G$2,$Q318=Parametres!$G$3),I318,C318)</f>
        <v>11545.6</v>
      </c>
      <c r="O318" s="657">
        <f>+IF(OR($Q318=Parametres!$G$2,$Q318=Parametres!$G$3),J318,D318)</f>
        <v>1049.5999999999999</v>
      </c>
      <c r="P318" s="657">
        <f>+IF(OR($Q318=Parametres!$G$2,$Q318=Parametres!$G$3),K318,E318)</f>
        <v>12595.2</v>
      </c>
      <c r="Q318" s="656" t="str">
        <f t="shared" ref="Q318:S318" si="323">+F318</f>
        <v>7-Dépenses</v>
      </c>
      <c r="R318" s="655" t="str">
        <f t="shared" si="323"/>
        <v>6193</v>
      </c>
      <c r="S318" s="656">
        <f t="shared" si="323"/>
        <v>0</v>
      </c>
      <c r="T318" s="658" t="str">
        <f>+VLOOKUP($L318,Data_Validation!$A:$D,1,0)</f>
        <v>6193</v>
      </c>
      <c r="U318" s="658" t="str">
        <f>+VLOOKUP($L318,Data_Validation!$A:$D,3,0)</f>
        <v>Véhicules neufs</v>
      </c>
      <c r="V318" s="658" t="str">
        <f>+VLOOKUP($L318,Data_Validation!$A:$D,4,0)</f>
        <v>Taxes d`affaires</v>
      </c>
      <c r="W318" s="658" t="str">
        <f>+VLOOKUP($L318,Data_Validation!$A:$E,5,0)</f>
        <v>$</v>
      </c>
      <c r="X318" s="658">
        <f>+VLOOKUP($L318,Data_Validation!$A:$F,6,0)</f>
        <v>0</v>
      </c>
    </row>
    <row r="319" spans="1:24" ht="15" customHeight="1">
      <c r="A319" s="1055" t="s">
        <v>1225</v>
      </c>
      <c r="B319" s="1055" t="s">
        <v>1226</v>
      </c>
      <c r="C319" s="1057">
        <v>21554.17</v>
      </c>
      <c r="D319" s="1057">
        <v>1959.47</v>
      </c>
      <c r="E319" s="1057">
        <v>23513.64</v>
      </c>
      <c r="F319" s="1055" t="s">
        <v>1156</v>
      </c>
      <c r="G319" s="1055" t="s">
        <v>1226</v>
      </c>
      <c r="H319" s="1032"/>
      <c r="I319" s="1033"/>
      <c r="J319" s="1033"/>
      <c r="K319" s="1033"/>
      <c r="L319" s="655" t="str">
        <f t="shared" si="263"/>
        <v>6194</v>
      </c>
      <c r="M319" s="656" t="str">
        <f t="shared" si="260"/>
        <v>HONORAIRES PROFESSIONNELS</v>
      </c>
      <c r="N319" s="657">
        <f>+IF(OR($Q319=Parametres!$G$2,$Q319=Parametres!$G$3),I319,C319)</f>
        <v>21554.17</v>
      </c>
      <c r="O319" s="657">
        <f>+IF(OR($Q319=Parametres!$G$2,$Q319=Parametres!$G$3),J319,D319)</f>
        <v>1959.47</v>
      </c>
      <c r="P319" s="657">
        <f>+IF(OR($Q319=Parametres!$G$2,$Q319=Parametres!$G$3),K319,E319)</f>
        <v>23513.64</v>
      </c>
      <c r="Q319" s="656" t="str">
        <f t="shared" ref="Q319:S319" si="324">+F319</f>
        <v>7-Dépenses</v>
      </c>
      <c r="R319" s="655" t="str">
        <f t="shared" si="324"/>
        <v>6194</v>
      </c>
      <c r="S319" s="656">
        <f t="shared" si="324"/>
        <v>0</v>
      </c>
      <c r="T319" s="658" t="str">
        <f>+VLOOKUP($L319,Data_Validation!$A:$D,1,0)</f>
        <v>6194</v>
      </c>
      <c r="U319" s="658" t="str">
        <f>+VLOOKUP($L319,Data_Validation!$A:$D,3,0)</f>
        <v>Véhicules neufs</v>
      </c>
      <c r="V319" s="658" t="str">
        <f>+VLOOKUP($L319,Data_Validation!$A:$D,4,0)</f>
        <v>Honoraires</v>
      </c>
      <c r="W319" s="658" t="str">
        <f>+VLOOKUP($L319,Data_Validation!$A:$E,5,0)</f>
        <v>$</v>
      </c>
      <c r="X319" s="658">
        <f>+VLOOKUP($L319,Data_Validation!$A:$F,6,0)</f>
        <v>0</v>
      </c>
    </row>
    <row r="320" spans="1:24" ht="15" customHeight="1">
      <c r="A320" s="1055" t="s">
        <v>1227</v>
      </c>
      <c r="B320" s="1055" t="s">
        <v>2321</v>
      </c>
      <c r="C320" s="1057">
        <v>276749.90000000002</v>
      </c>
      <c r="D320" s="1057">
        <v>10925.41</v>
      </c>
      <c r="E320" s="1057">
        <v>287675.31</v>
      </c>
      <c r="F320" s="1055" t="s">
        <v>1156</v>
      </c>
      <c r="G320" s="1055" t="s">
        <v>1157</v>
      </c>
      <c r="H320" s="1032"/>
      <c r="I320" s="1033"/>
      <c r="J320" s="1033"/>
      <c r="K320" s="1033"/>
      <c r="L320" s="655" t="str">
        <f t="shared" si="263"/>
        <v>6201</v>
      </c>
      <c r="M320" s="656" t="str">
        <f t="shared" si="260"/>
        <v>COMMISSION USAGES</v>
      </c>
      <c r="N320" s="657">
        <f>+IF(OR($Q320=Parametres!$G$2,$Q320=Parametres!$G$3),I320,C320)</f>
        <v>276749.90000000002</v>
      </c>
      <c r="O320" s="657">
        <f>+IF(OR($Q320=Parametres!$G$2,$Q320=Parametres!$G$3),J320,D320)</f>
        <v>10925.41</v>
      </c>
      <c r="P320" s="657">
        <f>+IF(OR($Q320=Parametres!$G$2,$Q320=Parametres!$G$3),K320,E320)</f>
        <v>287675.31</v>
      </c>
      <c r="Q320" s="656" t="str">
        <f t="shared" ref="Q320:S320" si="325">+F320</f>
        <v>7-Dépenses</v>
      </c>
      <c r="R320" s="655" t="str">
        <f t="shared" si="325"/>
        <v>6101</v>
      </c>
      <c r="S320" s="656">
        <f t="shared" si="325"/>
        <v>0</v>
      </c>
      <c r="T320" s="658" t="str">
        <f>+VLOOKUP($L320,Data_Validation!$A:$D,1,0)</f>
        <v>6201</v>
      </c>
      <c r="U320" s="658" t="str">
        <f>+VLOOKUP($L320,Data_Validation!$A:$D,3,0)</f>
        <v>Véhicules usagés</v>
      </c>
      <c r="V320" s="658" t="str">
        <f>+VLOOKUP($L320,Data_Validation!$A:$D,4,0)</f>
        <v>Comm. vendeurs</v>
      </c>
      <c r="W320" s="658" t="str">
        <f>+VLOOKUP($L320,Data_Validation!$A:$E,5,0)</f>
        <v>$</v>
      </c>
      <c r="X320" s="658">
        <f>+VLOOKUP($L320,Data_Validation!$A:$F,6,0)</f>
        <v>0</v>
      </c>
    </row>
    <row r="321" spans="1:24" ht="15" customHeight="1">
      <c r="A321" s="1055" t="s">
        <v>1158</v>
      </c>
      <c r="B321" s="1055" t="s">
        <v>2324</v>
      </c>
      <c r="C321" s="1057">
        <v>244478.97</v>
      </c>
      <c r="D321" s="1057">
        <v>13256.64</v>
      </c>
      <c r="E321" s="1057">
        <v>257735.61</v>
      </c>
      <c r="F321" s="1055" t="s">
        <v>1156</v>
      </c>
      <c r="G321" s="1055" t="s">
        <v>1159</v>
      </c>
      <c r="H321" s="1032"/>
      <c r="I321" s="1033"/>
      <c r="J321" s="1033"/>
      <c r="K321" s="1033"/>
      <c r="L321" s="655" t="str">
        <f t="shared" si="263"/>
        <v>6202</v>
      </c>
      <c r="M321" s="656" t="str">
        <f t="shared" si="260"/>
        <v>RENUMERATION F &amp; I</v>
      </c>
      <c r="N321" s="657">
        <f>+IF(OR($Q321=Parametres!$G$2,$Q321=Parametres!$G$3),I321,C321)</f>
        <v>244478.97</v>
      </c>
      <c r="O321" s="657">
        <f>+IF(OR($Q321=Parametres!$G$2,$Q321=Parametres!$G$3),J321,D321)</f>
        <v>13256.64</v>
      </c>
      <c r="P321" s="657">
        <f>+IF(OR($Q321=Parametres!$G$2,$Q321=Parametres!$G$3),K321,E321)</f>
        <v>257735.61</v>
      </c>
      <c r="Q321" s="656" t="str">
        <f t="shared" ref="Q321:S321" si="326">+F321</f>
        <v>7-Dépenses</v>
      </c>
      <c r="R321" s="655" t="str">
        <f t="shared" si="326"/>
        <v>6102</v>
      </c>
      <c r="S321" s="656">
        <f t="shared" si="326"/>
        <v>0</v>
      </c>
      <c r="T321" s="658" t="str">
        <f>+VLOOKUP($L321,Data_Validation!$A:$D,1,0)</f>
        <v>6202</v>
      </c>
      <c r="U321" s="658" t="str">
        <f>+VLOOKUP($L321,Data_Validation!$A:$D,3,0)</f>
        <v>Véhicules usagés</v>
      </c>
      <c r="V321" s="658" t="str">
        <f>+VLOOKUP($L321,Data_Validation!$A:$D,4,0)</f>
        <v>Comm. F&amp;I</v>
      </c>
      <c r="W321" s="658" t="str">
        <f>+VLOOKUP($L321,Data_Validation!$A:$E,5,0)</f>
        <v>$</v>
      </c>
      <c r="X321" s="658">
        <f>+VLOOKUP($L321,Data_Validation!$A:$F,6,0)</f>
        <v>0</v>
      </c>
    </row>
    <row r="322" spans="1:24" ht="15.75" customHeight="1">
      <c r="A322" s="1055" t="s">
        <v>1228</v>
      </c>
      <c r="B322" s="1055" t="s">
        <v>2327</v>
      </c>
      <c r="C322" s="1057">
        <v>1812.09</v>
      </c>
      <c r="D322" s="1057">
        <v>0</v>
      </c>
      <c r="E322" s="1057">
        <v>1812.09</v>
      </c>
      <c r="F322" s="1055" t="s">
        <v>1156</v>
      </c>
      <c r="G322" s="1055" t="s">
        <v>1161</v>
      </c>
      <c r="H322" s="1032"/>
      <c r="I322" s="1033"/>
      <c r="J322" s="1033"/>
      <c r="K322" s="1033"/>
      <c r="L322" s="655" t="str">
        <f t="shared" si="263"/>
        <v>6203</v>
      </c>
      <c r="M322" s="656" t="str">
        <f t="shared" si="260"/>
        <v>RELAT. A LA CLIENTELLE &amp; AJUST</v>
      </c>
      <c r="N322" s="657">
        <f>+IF(OR($Q322=Parametres!$G$2,$Q322=Parametres!$G$3),I322,C322)</f>
        <v>1812.09</v>
      </c>
      <c r="O322" s="657">
        <f>+IF(OR($Q322=Parametres!$G$2,$Q322=Parametres!$G$3),J322,D322)</f>
        <v>0</v>
      </c>
      <c r="P322" s="657">
        <f>+IF(OR($Q322=Parametres!$G$2,$Q322=Parametres!$G$3),K322,E322)</f>
        <v>1812.09</v>
      </c>
      <c r="Q322" s="656" t="str">
        <f t="shared" ref="Q322:S322" si="327">+F322</f>
        <v>7-Dépenses</v>
      </c>
      <c r="R322" s="655" t="str">
        <f t="shared" si="327"/>
        <v>6103</v>
      </c>
      <c r="S322" s="656">
        <f t="shared" si="327"/>
        <v>0</v>
      </c>
      <c r="T322" s="658" t="str">
        <f>+VLOOKUP($L322,Data_Validation!$A:$D,1,0)</f>
        <v>6203</v>
      </c>
      <c r="U322" s="658" t="str">
        <f>+VLOOKUP($L322,Data_Validation!$A:$D,3,0)</f>
        <v>Véhicules usagés</v>
      </c>
      <c r="V322" s="658" t="str">
        <f>+VLOOKUP($L322,Data_Validation!$A:$D,4,0)</f>
        <v>Service gratuit 1</v>
      </c>
      <c r="W322" s="658" t="str">
        <f>+VLOOKUP($L322,Data_Validation!$A:$E,5,0)</f>
        <v>$</v>
      </c>
      <c r="X322" s="658">
        <f>+VLOOKUP($L322,Data_Validation!$A:$F,6,0)</f>
        <v>0</v>
      </c>
    </row>
    <row r="323" spans="1:24" ht="15" customHeight="1">
      <c r="A323" s="1055" t="s">
        <v>1162</v>
      </c>
      <c r="B323" s="1055" t="s">
        <v>2330</v>
      </c>
      <c r="C323" s="1057">
        <v>51151.41</v>
      </c>
      <c r="D323" s="1057">
        <v>4374.82</v>
      </c>
      <c r="E323" s="1057">
        <v>55526.23</v>
      </c>
      <c r="F323" s="1055" t="s">
        <v>1156</v>
      </c>
      <c r="G323" s="1055" t="s">
        <v>1163</v>
      </c>
      <c r="H323" s="1032"/>
      <c r="I323" s="1033"/>
      <c r="J323" s="1033"/>
      <c r="K323" s="1033"/>
      <c r="L323" s="655" t="str">
        <f t="shared" ref="L323:L386" si="328">TEXT(B323,0)</f>
        <v>6206</v>
      </c>
      <c r="M323" s="656" t="str">
        <f t="shared" si="260"/>
        <v>ENTRETIEN DES STOCKS</v>
      </c>
      <c r="N323" s="657">
        <f>+IF(OR($Q323=Parametres!$G$2,$Q323=Parametres!$G$3),I323,C323)</f>
        <v>51151.41</v>
      </c>
      <c r="O323" s="657">
        <f>+IF(OR($Q323=Parametres!$G$2,$Q323=Parametres!$G$3),J323,D323)</f>
        <v>4374.82</v>
      </c>
      <c r="P323" s="657">
        <f>+IF(OR($Q323=Parametres!$G$2,$Q323=Parametres!$G$3),K323,E323)</f>
        <v>55526.23</v>
      </c>
      <c r="Q323" s="656" t="str">
        <f t="shared" ref="Q323:S323" si="329">+F323</f>
        <v>7-Dépenses</v>
      </c>
      <c r="R323" s="655" t="str">
        <f t="shared" si="329"/>
        <v>6106</v>
      </c>
      <c r="S323" s="656">
        <f t="shared" si="329"/>
        <v>0</v>
      </c>
      <c r="T323" s="658" t="str">
        <f>+VLOOKUP($L323,Data_Validation!$A:$D,1,0)</f>
        <v>6206</v>
      </c>
      <c r="U323" s="658" t="str">
        <f>+VLOOKUP($L323,Data_Validation!$A:$D,3,0)</f>
        <v>Véhicules usagés</v>
      </c>
      <c r="V323" s="658" t="str">
        <f>+VLOOKUP($L323,Data_Validation!$A:$D,4,0)</f>
        <v>Entretien stock</v>
      </c>
      <c r="W323" s="658" t="str">
        <f>+VLOOKUP($L323,Data_Validation!$A:$E,5,0)</f>
        <v>$</v>
      </c>
      <c r="X323" s="658">
        <f>+VLOOKUP($L323,Data_Validation!$A:$F,6,0)</f>
        <v>0</v>
      </c>
    </row>
    <row r="324" spans="1:24" ht="15" customHeight="1">
      <c r="A324" s="1055" t="s">
        <v>1164</v>
      </c>
      <c r="B324" s="1055" t="s">
        <v>2333</v>
      </c>
      <c r="C324" s="1057">
        <v>28976.73</v>
      </c>
      <c r="D324" s="1057">
        <v>9450.74</v>
      </c>
      <c r="E324" s="1057">
        <v>38427.47</v>
      </c>
      <c r="F324" s="1055" t="s">
        <v>1156</v>
      </c>
      <c r="G324" s="1055" t="s">
        <v>1165</v>
      </c>
      <c r="H324" s="1032"/>
      <c r="I324" s="1033"/>
      <c r="J324" s="1033"/>
      <c r="K324" s="1033"/>
      <c r="L324" s="655" t="str">
        <f t="shared" si="328"/>
        <v>6207</v>
      </c>
      <c r="M324" s="656" t="str">
        <f t="shared" si="260"/>
        <v>INTERET-PLAN DE FINANCEMENT</v>
      </c>
      <c r="N324" s="657">
        <f>+IF(OR($Q324=Parametres!$G$2,$Q324=Parametres!$G$3),I324,C324)</f>
        <v>28976.73</v>
      </c>
      <c r="O324" s="657">
        <f>+IF(OR($Q324=Parametres!$G$2,$Q324=Parametres!$G$3),J324,D324)</f>
        <v>9450.74</v>
      </c>
      <c r="P324" s="657">
        <f>+IF(OR($Q324=Parametres!$G$2,$Q324=Parametres!$G$3),K324,E324)</f>
        <v>38427.47</v>
      </c>
      <c r="Q324" s="656" t="str">
        <f t="shared" ref="Q324:S324" si="330">+F324</f>
        <v>7-Dépenses</v>
      </c>
      <c r="R324" s="655" t="str">
        <f t="shared" si="330"/>
        <v>6107</v>
      </c>
      <c r="S324" s="656">
        <f t="shared" si="330"/>
        <v>0</v>
      </c>
      <c r="T324" s="658" t="str">
        <f>+VLOOKUP($L324,Data_Validation!$A:$D,1,0)</f>
        <v>6207</v>
      </c>
      <c r="U324" s="658" t="str">
        <f>+VLOOKUP($L324,Data_Validation!$A:$D,3,0)</f>
        <v>Véhicules usagés</v>
      </c>
      <c r="V324" s="658" t="str">
        <f>+VLOOKUP($L324,Data_Validation!$A:$D,4,0)</f>
        <v>Intérêt de gros</v>
      </c>
      <c r="W324" s="658" t="str">
        <f>+VLOOKUP($L324,Data_Validation!$A:$E,5,0)</f>
        <v>$</v>
      </c>
      <c r="X324" s="658">
        <f>+VLOOKUP($L324,Data_Validation!$A:$F,6,0)</f>
        <v>0</v>
      </c>
    </row>
    <row r="325" spans="1:24" ht="15" customHeight="1">
      <c r="A325" s="1055" t="s">
        <v>1166</v>
      </c>
      <c r="B325" s="1055" t="s">
        <v>2336</v>
      </c>
      <c r="C325" s="1057">
        <v>7787.54</v>
      </c>
      <c r="D325" s="1057">
        <v>2310.11</v>
      </c>
      <c r="E325" s="1057">
        <v>10097.65</v>
      </c>
      <c r="F325" s="1055" t="s">
        <v>1156</v>
      </c>
      <c r="G325" s="1055" t="s">
        <v>1167</v>
      </c>
      <c r="H325" s="1032"/>
      <c r="I325" s="1033"/>
      <c r="J325" s="1033"/>
      <c r="K325" s="1033"/>
      <c r="L325" s="655" t="str">
        <f t="shared" si="328"/>
        <v>6208</v>
      </c>
      <c r="M325" s="656" t="str">
        <f t="shared" si="260"/>
        <v>FRAIS DE LIVRAISON</v>
      </c>
      <c r="N325" s="657">
        <f>+IF(OR($Q325=Parametres!$G$2,$Q325=Parametres!$G$3),I325,C325)</f>
        <v>7787.54</v>
      </c>
      <c r="O325" s="657">
        <f>+IF(OR($Q325=Parametres!$G$2,$Q325=Parametres!$G$3),J325,D325)</f>
        <v>2310.11</v>
      </c>
      <c r="P325" s="657">
        <f>+IF(OR($Q325=Parametres!$G$2,$Q325=Parametres!$G$3),K325,E325)</f>
        <v>10097.65</v>
      </c>
      <c r="Q325" s="656" t="str">
        <f t="shared" ref="Q325:S325" si="331">+F325</f>
        <v>7-Dépenses</v>
      </c>
      <c r="R325" s="655" t="str">
        <f t="shared" si="331"/>
        <v>6108</v>
      </c>
      <c r="S325" s="656">
        <f t="shared" si="331"/>
        <v>0</v>
      </c>
      <c r="T325" s="658" t="str">
        <f>+VLOOKUP($L325,Data_Validation!$A:$D,1,0)</f>
        <v>6208</v>
      </c>
      <c r="U325" s="658" t="str">
        <f>+VLOOKUP($L325,Data_Validation!$A:$D,3,0)</f>
        <v>Véhicules usagés</v>
      </c>
      <c r="V325" s="658" t="str">
        <f>+VLOOKUP($L325,Data_Validation!$A:$D,4,0)</f>
        <v>Frais de livraison</v>
      </c>
      <c r="W325" s="658" t="str">
        <f>+VLOOKUP($L325,Data_Validation!$A:$E,5,0)</f>
        <v>$</v>
      </c>
      <c r="X325" s="658">
        <f>+VLOOKUP($L325,Data_Validation!$A:$F,6,0)</f>
        <v>0</v>
      </c>
    </row>
    <row r="326" spans="1:24" ht="15" customHeight="1">
      <c r="A326" s="1055" t="s">
        <v>1168</v>
      </c>
      <c r="B326" s="1055" t="s">
        <v>2342</v>
      </c>
      <c r="C326" s="1057">
        <v>97727.83</v>
      </c>
      <c r="D326" s="1057">
        <v>11744.93</v>
      </c>
      <c r="E326" s="1057">
        <v>109472.76</v>
      </c>
      <c r="F326" s="1055" t="s">
        <v>1156</v>
      </c>
      <c r="G326" s="1055" t="s">
        <v>1169</v>
      </c>
      <c r="H326" s="1032"/>
      <c r="I326" s="1033"/>
      <c r="J326" s="1033"/>
      <c r="K326" s="1033"/>
      <c r="L326" s="655" t="str">
        <f t="shared" si="328"/>
        <v>6214</v>
      </c>
      <c r="M326" s="656" t="str">
        <f t="shared" si="260"/>
        <v>PUBLICITE</v>
      </c>
      <c r="N326" s="657">
        <f>+IF(OR($Q326=Parametres!$G$2,$Q326=Parametres!$G$3),I326,C326)</f>
        <v>97727.83</v>
      </c>
      <c r="O326" s="657">
        <f>+IF(OR($Q326=Parametres!$G$2,$Q326=Parametres!$G$3),J326,D326)</f>
        <v>11744.93</v>
      </c>
      <c r="P326" s="657">
        <f>+IF(OR($Q326=Parametres!$G$2,$Q326=Parametres!$G$3),K326,E326)</f>
        <v>109472.76</v>
      </c>
      <c r="Q326" s="656" t="str">
        <f t="shared" ref="Q326:S326" si="332">+F326</f>
        <v>7-Dépenses</v>
      </c>
      <c r="R326" s="655" t="str">
        <f t="shared" si="332"/>
        <v>6114</v>
      </c>
      <c r="S326" s="656">
        <f t="shared" si="332"/>
        <v>0</v>
      </c>
      <c r="T326" s="658" t="str">
        <f>+VLOOKUP($L326,Data_Validation!$A:$D,1,0)</f>
        <v>6214</v>
      </c>
      <c r="U326" s="658" t="str">
        <f>+VLOOKUP($L326,Data_Validation!$A:$D,3,0)</f>
        <v>Véhicules usagés</v>
      </c>
      <c r="V326" s="658" t="str">
        <f>+VLOOKUP($L326,Data_Validation!$A:$D,4,0)</f>
        <v>Publicité 1</v>
      </c>
      <c r="W326" s="658" t="str">
        <f>+VLOOKUP($L326,Data_Validation!$A:$E,5,0)</f>
        <v>$</v>
      </c>
      <c r="X326" s="658">
        <f>+VLOOKUP($L326,Data_Validation!$A:$F,6,0)</f>
        <v>0</v>
      </c>
    </row>
    <row r="327" spans="1:24" ht="15.75" customHeight="1">
      <c r="A327" s="1055" t="s">
        <v>1229</v>
      </c>
      <c r="B327" s="1055" t="s">
        <v>2345</v>
      </c>
      <c r="C327" s="1057">
        <v>-35300</v>
      </c>
      <c r="D327" s="1057">
        <v>-2400</v>
      </c>
      <c r="E327" s="1057">
        <v>-37700</v>
      </c>
      <c r="F327" s="1055" t="s">
        <v>1156</v>
      </c>
      <c r="G327" s="1055" t="s">
        <v>1169</v>
      </c>
      <c r="H327" s="1032"/>
      <c r="I327" s="1033"/>
      <c r="J327" s="1033"/>
      <c r="K327" s="1033"/>
      <c r="L327" s="655" t="str">
        <f t="shared" si="328"/>
        <v>6215</v>
      </c>
      <c r="M327" s="656" t="str">
        <f t="shared" si="260"/>
        <v>CREDIT PUBLICITE USAGES</v>
      </c>
      <c r="N327" s="657">
        <f>+IF(OR($Q327=Parametres!$G$2,$Q327=Parametres!$G$3),I327,C327)</f>
        <v>-35300</v>
      </c>
      <c r="O327" s="657">
        <f>+IF(OR($Q327=Parametres!$G$2,$Q327=Parametres!$G$3),J327,D327)</f>
        <v>-2400</v>
      </c>
      <c r="P327" s="657">
        <f>+IF(OR($Q327=Parametres!$G$2,$Q327=Parametres!$G$3),K327,E327)</f>
        <v>-37700</v>
      </c>
      <c r="Q327" s="656" t="str">
        <f t="shared" ref="Q327:S327" si="333">+F327</f>
        <v>7-Dépenses</v>
      </c>
      <c r="R327" s="655" t="str">
        <f t="shared" si="333"/>
        <v>6114</v>
      </c>
      <c r="S327" s="656">
        <f t="shared" si="333"/>
        <v>0</v>
      </c>
      <c r="T327" s="658" t="str">
        <f>+VLOOKUP($L327,Data_Validation!$A:$D,1,0)</f>
        <v>6215</v>
      </c>
      <c r="U327" s="658" t="str">
        <f>+VLOOKUP($L327,Data_Validation!$A:$D,3,0)</f>
        <v>Véhicules usagés</v>
      </c>
      <c r="V327" s="658" t="str">
        <f>+VLOOKUP($L327,Data_Validation!$A:$D,4,0)</f>
        <v>Publicité 1</v>
      </c>
      <c r="W327" s="658" t="str">
        <f>+VLOOKUP($L327,Data_Validation!$A:$E,5,0)</f>
        <v>$</v>
      </c>
      <c r="X327" s="658">
        <f>+VLOOKUP($L327,Data_Validation!$A:$F,6,0)</f>
        <v>0</v>
      </c>
    </row>
    <row r="328" spans="1:24" ht="15" customHeight="1">
      <c r="A328" s="1055" t="s">
        <v>1171</v>
      </c>
      <c r="B328" s="1055" t="s">
        <v>2351</v>
      </c>
      <c r="C328" s="1057">
        <v>17798.060000000001</v>
      </c>
      <c r="D328" s="1057">
        <v>1859.92</v>
      </c>
      <c r="E328" s="1057">
        <v>19657.98</v>
      </c>
      <c r="F328" s="1055" t="s">
        <v>1156</v>
      </c>
      <c r="G328" s="1055" t="s">
        <v>1172</v>
      </c>
      <c r="H328" s="1032"/>
      <c r="I328" s="1033"/>
      <c r="J328" s="1033"/>
      <c r="K328" s="1033"/>
      <c r="L328" s="655" t="str">
        <f t="shared" si="328"/>
        <v>6221</v>
      </c>
      <c r="M328" s="656" t="str">
        <f t="shared" si="260"/>
        <v>SALAIRES - PROPRIETAIRES</v>
      </c>
      <c r="N328" s="657">
        <f>+IF(OR($Q328=Parametres!$G$2,$Q328=Parametres!$G$3),I328,C328)</f>
        <v>17798.060000000001</v>
      </c>
      <c r="O328" s="657">
        <f>+IF(OR($Q328=Parametres!$G$2,$Q328=Parametres!$G$3),J328,D328)</f>
        <v>1859.92</v>
      </c>
      <c r="P328" s="657">
        <f>+IF(OR($Q328=Parametres!$G$2,$Q328=Parametres!$G$3),K328,E328)</f>
        <v>19657.98</v>
      </c>
      <c r="Q328" s="656" t="str">
        <f t="shared" ref="Q328:S328" si="334">+F328</f>
        <v>7-Dépenses</v>
      </c>
      <c r="R328" s="655" t="str">
        <f t="shared" si="334"/>
        <v>6121</v>
      </c>
      <c r="S328" s="656">
        <f t="shared" si="334"/>
        <v>0</v>
      </c>
      <c r="T328" s="658" t="str">
        <f>+VLOOKUP($L328,Data_Validation!$A:$D,1,0)</f>
        <v>6221</v>
      </c>
      <c r="U328" s="658" t="str">
        <f>+VLOOKUP($L328,Data_Validation!$A:$D,3,0)</f>
        <v>Véhicules usagés</v>
      </c>
      <c r="V328" s="658" t="str">
        <f>+VLOOKUP($L328,Data_Validation!$A:$D,4,0)</f>
        <v>Salaires propriétaire</v>
      </c>
      <c r="W328" s="658" t="str">
        <f>+VLOOKUP($L328,Data_Validation!$A:$E,5,0)</f>
        <v>$</v>
      </c>
      <c r="X328" s="658">
        <f>+VLOOKUP($L328,Data_Validation!$A:$F,6,0)</f>
        <v>0</v>
      </c>
    </row>
    <row r="329" spans="1:24" ht="15" customHeight="1">
      <c r="A329" s="1055" t="s">
        <v>1173</v>
      </c>
      <c r="B329" s="1055" t="s">
        <v>2354</v>
      </c>
      <c r="C329" s="1057">
        <v>108665.56</v>
      </c>
      <c r="D329" s="1057">
        <v>7995.62</v>
      </c>
      <c r="E329" s="1057">
        <v>116661.18</v>
      </c>
      <c r="F329" s="1055" t="s">
        <v>1156</v>
      </c>
      <c r="G329" s="1055" t="s">
        <v>1174</v>
      </c>
      <c r="H329" s="1032"/>
      <c r="I329" s="1033"/>
      <c r="J329" s="1033"/>
      <c r="K329" s="1033"/>
      <c r="L329" s="655" t="str">
        <f t="shared" si="328"/>
        <v>6222</v>
      </c>
      <c r="M329" s="656" t="str">
        <f t="shared" si="260"/>
        <v>SAL SUPERVISION / GERANT</v>
      </c>
      <c r="N329" s="657">
        <f>+IF(OR($Q329=Parametres!$G$2,$Q329=Parametres!$G$3),I329,C329)</f>
        <v>108665.56</v>
      </c>
      <c r="O329" s="657">
        <f>+IF(OR($Q329=Parametres!$G$2,$Q329=Parametres!$G$3),J329,D329)</f>
        <v>7995.62</v>
      </c>
      <c r="P329" s="657">
        <f>+IF(OR($Q329=Parametres!$G$2,$Q329=Parametres!$G$3),K329,E329)</f>
        <v>116661.18</v>
      </c>
      <c r="Q329" s="656" t="str">
        <f t="shared" ref="Q329:S329" si="335">+F329</f>
        <v>7-Dépenses</v>
      </c>
      <c r="R329" s="655" t="str">
        <f t="shared" si="335"/>
        <v>6122</v>
      </c>
      <c r="S329" s="656">
        <f t="shared" si="335"/>
        <v>0</v>
      </c>
      <c r="T329" s="658" t="str">
        <f>+VLOOKUP($L329,Data_Validation!$A:$D,1,0)</f>
        <v>6222</v>
      </c>
      <c r="U329" s="658" t="str">
        <f>+VLOOKUP($L329,Data_Validation!$A:$D,3,0)</f>
        <v>Véhicules usagés</v>
      </c>
      <c r="V329" s="658" t="str">
        <f>+VLOOKUP($L329,Data_Validation!$A:$D,4,0)</f>
        <v>Salaires cadres</v>
      </c>
      <c r="W329" s="658" t="str">
        <f>+VLOOKUP($L329,Data_Validation!$A:$E,5,0)</f>
        <v>$</v>
      </c>
      <c r="X329" s="658">
        <f>+VLOOKUP($L329,Data_Validation!$A:$F,6,0)</f>
        <v>0</v>
      </c>
    </row>
    <row r="330" spans="1:24" ht="15" customHeight="1">
      <c r="A330" s="1055" t="s">
        <v>1175</v>
      </c>
      <c r="B330" s="1055" t="s">
        <v>2357</v>
      </c>
      <c r="C330" s="1057">
        <v>19007.28</v>
      </c>
      <c r="D330" s="1057">
        <v>2858.19</v>
      </c>
      <c r="E330" s="1057">
        <v>21865.47</v>
      </c>
      <c r="F330" s="1055" t="s">
        <v>1156</v>
      </c>
      <c r="G330" s="1055" t="s">
        <v>1176</v>
      </c>
      <c r="H330" s="1032"/>
      <c r="I330" s="1033"/>
      <c r="J330" s="1033"/>
      <c r="K330" s="1033"/>
      <c r="L330" s="655" t="str">
        <f t="shared" si="328"/>
        <v>6223</v>
      </c>
      <c r="M330" s="656" t="str">
        <f t="shared" si="260"/>
        <v>SAL. &amp; RENUM. - CLERICAL</v>
      </c>
      <c r="N330" s="657">
        <f>+IF(OR($Q330=Parametres!$G$2,$Q330=Parametres!$G$3),I330,C330)</f>
        <v>19007.28</v>
      </c>
      <c r="O330" s="657">
        <f>+IF(OR($Q330=Parametres!$G$2,$Q330=Parametres!$G$3),J330,D330)</f>
        <v>2858.19</v>
      </c>
      <c r="P330" s="657">
        <f>+IF(OR($Q330=Parametres!$G$2,$Q330=Parametres!$G$3),K330,E330)</f>
        <v>21865.47</v>
      </c>
      <c r="Q330" s="656" t="str">
        <f t="shared" ref="Q330:S330" si="336">+F330</f>
        <v>7-Dépenses</v>
      </c>
      <c r="R330" s="655" t="str">
        <f t="shared" si="336"/>
        <v>6123</v>
      </c>
      <c r="S330" s="656">
        <f t="shared" si="336"/>
        <v>0</v>
      </c>
      <c r="T330" s="658" t="str">
        <f>+VLOOKUP($L330,Data_Validation!$A:$D,1,0)</f>
        <v>6223</v>
      </c>
      <c r="U330" s="658" t="str">
        <f>+VLOOKUP($L330,Data_Validation!$A:$D,3,0)</f>
        <v>Véhicules usagés</v>
      </c>
      <c r="V330" s="658" t="str">
        <f>+VLOOKUP($L330,Data_Validation!$A:$D,4,0)</f>
        <v>Salaires commis</v>
      </c>
      <c r="W330" s="658" t="str">
        <f>+VLOOKUP($L330,Data_Validation!$A:$E,5,0)</f>
        <v>$</v>
      </c>
      <c r="X330" s="658">
        <f>+VLOOKUP($L330,Data_Validation!$A:$F,6,0)</f>
        <v>0</v>
      </c>
    </row>
    <row r="331" spans="1:24" ht="15" customHeight="1">
      <c r="A331" s="1055" t="s">
        <v>1230</v>
      </c>
      <c r="B331" s="1055" t="s">
        <v>2360</v>
      </c>
      <c r="C331" s="1057">
        <v>83330.259999999995</v>
      </c>
      <c r="D331" s="1057">
        <v>8410.67</v>
      </c>
      <c r="E331" s="1057">
        <v>91740.93</v>
      </c>
      <c r="F331" s="1055" t="s">
        <v>1156</v>
      </c>
      <c r="G331" s="1055" t="s">
        <v>1178</v>
      </c>
      <c r="H331" s="1032"/>
      <c r="I331" s="1033"/>
      <c r="J331" s="1033"/>
      <c r="K331" s="1033"/>
      <c r="L331" s="655" t="str">
        <f t="shared" si="328"/>
        <v>6224</v>
      </c>
      <c r="M331" s="656" t="str">
        <f t="shared" si="260"/>
        <v>SALAIRE &amp; RENUM. - AUTRES</v>
      </c>
      <c r="N331" s="657">
        <f>+IF(OR($Q331=Parametres!$G$2,$Q331=Parametres!$G$3),I331,C331)</f>
        <v>83330.259999999995</v>
      </c>
      <c r="O331" s="657">
        <f>+IF(OR($Q331=Parametres!$G$2,$Q331=Parametres!$G$3),J331,D331)</f>
        <v>8410.67</v>
      </c>
      <c r="P331" s="657">
        <f>+IF(OR($Q331=Parametres!$G$2,$Q331=Parametres!$G$3),K331,E331)</f>
        <v>91740.93</v>
      </c>
      <c r="Q331" s="656" t="str">
        <f t="shared" ref="Q331:S331" si="337">+F331</f>
        <v>7-Dépenses</v>
      </c>
      <c r="R331" s="655" t="str">
        <f t="shared" si="337"/>
        <v>6124</v>
      </c>
      <c r="S331" s="656">
        <f t="shared" si="337"/>
        <v>0</v>
      </c>
      <c r="T331" s="658" t="str">
        <f>+VLOOKUP($L331,Data_Validation!$A:$D,1,0)</f>
        <v>6224</v>
      </c>
      <c r="U331" s="658" t="str">
        <f>+VLOOKUP($L331,Data_Validation!$A:$D,3,0)</f>
        <v>Véhicules usagés</v>
      </c>
      <c r="V331" s="658" t="str">
        <f>+VLOOKUP($L331,Data_Validation!$A:$D,4,0)</f>
        <v>Salaires autres</v>
      </c>
      <c r="W331" s="658" t="str">
        <f>+VLOOKUP($L331,Data_Validation!$A:$E,5,0)</f>
        <v>$</v>
      </c>
      <c r="X331" s="658">
        <f>+VLOOKUP($L331,Data_Validation!$A:$F,6,0)</f>
        <v>0</v>
      </c>
    </row>
    <row r="332" spans="1:24" ht="15" customHeight="1">
      <c r="A332" s="1055" t="s">
        <v>1231</v>
      </c>
      <c r="B332" s="1055" t="s">
        <v>2361</v>
      </c>
      <c r="C332" s="1057">
        <v>40448.980000000003</v>
      </c>
      <c r="D332" s="1057">
        <v>8469.86</v>
      </c>
      <c r="E332" s="1057">
        <v>48918.84</v>
      </c>
      <c r="F332" s="1055" t="s">
        <v>1156</v>
      </c>
      <c r="G332" s="1055" t="s">
        <v>1180</v>
      </c>
      <c r="H332" s="1032"/>
      <c r="I332" s="1033"/>
      <c r="J332" s="1033"/>
      <c r="K332" s="1033"/>
      <c r="L332" s="655" t="str">
        <f t="shared" si="328"/>
        <v>6229</v>
      </c>
      <c r="M332" s="656" t="str">
        <f t="shared" si="260"/>
        <v>ABS.,VACANCES &amp; SAL. JOURS FER</v>
      </c>
      <c r="N332" s="657">
        <f>+IF(OR($Q332=Parametres!$G$2,$Q332=Parametres!$G$3),I332,C332)</f>
        <v>40448.980000000003</v>
      </c>
      <c r="O332" s="657">
        <f>+IF(OR($Q332=Parametres!$G$2,$Q332=Parametres!$G$3),J332,D332)</f>
        <v>8469.86</v>
      </c>
      <c r="P332" s="657">
        <f>+IF(OR($Q332=Parametres!$G$2,$Q332=Parametres!$G$3),K332,E332)</f>
        <v>48918.84</v>
      </c>
      <c r="Q332" s="656" t="str">
        <f t="shared" ref="Q332:S332" si="338">+F332</f>
        <v>7-Dépenses</v>
      </c>
      <c r="R332" s="655" t="str">
        <f t="shared" si="338"/>
        <v>6129</v>
      </c>
      <c r="S332" s="656">
        <f t="shared" si="338"/>
        <v>0</v>
      </c>
      <c r="T332" s="658" t="str">
        <f>+VLOOKUP($L332,Data_Validation!$A:$D,1,0)</f>
        <v>6229</v>
      </c>
      <c r="U332" s="658" t="str">
        <f>+VLOOKUP($L332,Data_Validation!$A:$D,3,0)</f>
        <v>Véhicules usagés</v>
      </c>
      <c r="V332" s="658" t="str">
        <f>+VLOOKUP($L332,Data_Validation!$A:$D,4,0)</f>
        <v>Salaires en absences</v>
      </c>
      <c r="W332" s="658" t="str">
        <f>+VLOOKUP($L332,Data_Validation!$A:$E,5,0)</f>
        <v>$</v>
      </c>
      <c r="X332" s="658">
        <f>+VLOOKUP($L332,Data_Validation!$A:$F,6,0)</f>
        <v>0</v>
      </c>
    </row>
    <row r="333" spans="1:24" ht="15.75" customHeight="1">
      <c r="A333" s="1055" t="s">
        <v>1181</v>
      </c>
      <c r="B333" s="1055" t="s">
        <v>2364</v>
      </c>
      <c r="C333" s="1057">
        <v>17573.97</v>
      </c>
      <c r="D333" s="1057">
        <v>4570.97</v>
      </c>
      <c r="E333" s="1057">
        <v>22144.94</v>
      </c>
      <c r="F333" s="1055" t="s">
        <v>1156</v>
      </c>
      <c r="G333" s="1055" t="s">
        <v>1182</v>
      </c>
      <c r="H333" s="1032"/>
      <c r="I333" s="1033"/>
      <c r="J333" s="1033"/>
      <c r="K333" s="1033"/>
      <c r="L333" s="655" t="str">
        <f t="shared" si="328"/>
        <v>6231</v>
      </c>
      <c r="M333" s="656" t="str">
        <f t="shared" si="260"/>
        <v>CSST</v>
      </c>
      <c r="N333" s="657">
        <f>+IF(OR($Q333=Parametres!$G$2,$Q333=Parametres!$G$3),I333,C333)</f>
        <v>17573.97</v>
      </c>
      <c r="O333" s="657">
        <f>+IF(OR($Q333=Parametres!$G$2,$Q333=Parametres!$G$3),J333,D333)</f>
        <v>4570.97</v>
      </c>
      <c r="P333" s="657">
        <f>+IF(OR($Q333=Parametres!$G$2,$Q333=Parametres!$G$3),K333,E333)</f>
        <v>22144.94</v>
      </c>
      <c r="Q333" s="656" t="str">
        <f t="shared" ref="Q333:S333" si="339">+F333</f>
        <v>7-Dépenses</v>
      </c>
      <c r="R333" s="655" t="str">
        <f t="shared" si="339"/>
        <v>6131</v>
      </c>
      <c r="S333" s="656">
        <f t="shared" si="339"/>
        <v>0</v>
      </c>
      <c r="T333" s="658" t="str">
        <f>+VLOOKUP($L333,Data_Validation!$A:$D,1,0)</f>
        <v>6231</v>
      </c>
      <c r="U333" s="658" t="str">
        <f>+VLOOKUP($L333,Data_Validation!$A:$D,3,0)</f>
        <v>Véhicules usagés</v>
      </c>
      <c r="V333" s="658" t="str">
        <f>+VLOOKUP($L333,Data_Validation!$A:$D,4,0)</f>
        <v>Csst</v>
      </c>
      <c r="W333" s="658" t="str">
        <f>+VLOOKUP($L333,Data_Validation!$A:$E,5,0)</f>
        <v>$</v>
      </c>
      <c r="X333" s="658">
        <f>+VLOOKUP($L333,Data_Validation!$A:$F,6,0)</f>
        <v>0</v>
      </c>
    </row>
    <row r="334" spans="1:24" ht="15.75" customHeight="1">
      <c r="A334" s="1055" t="s">
        <v>1183</v>
      </c>
      <c r="B334" s="1055" t="s">
        <v>2367</v>
      </c>
      <c r="C334" s="1057">
        <v>47352.15</v>
      </c>
      <c r="D334" s="1057">
        <v>6702.32</v>
      </c>
      <c r="E334" s="1057">
        <v>54054.47</v>
      </c>
      <c r="F334" s="1055" t="s">
        <v>1156</v>
      </c>
      <c r="G334" s="1055" t="s">
        <v>1184</v>
      </c>
      <c r="H334" s="1032"/>
      <c r="I334" s="1033"/>
      <c r="J334" s="1033"/>
      <c r="K334" s="1033"/>
      <c r="L334" s="655" t="str">
        <f t="shared" si="328"/>
        <v>6232</v>
      </c>
      <c r="M334" s="656" t="str">
        <f t="shared" si="260"/>
        <v>RRQ RAMQ AC</v>
      </c>
      <c r="N334" s="657">
        <f>+IF(OR($Q334=Parametres!$G$2,$Q334=Parametres!$G$3),I334,C334)</f>
        <v>47352.15</v>
      </c>
      <c r="O334" s="657">
        <f>+IF(OR($Q334=Parametres!$G$2,$Q334=Parametres!$G$3),J334,D334)</f>
        <v>6702.32</v>
      </c>
      <c r="P334" s="657">
        <f>+IF(OR($Q334=Parametres!$G$2,$Q334=Parametres!$G$3),K334,E334)</f>
        <v>54054.47</v>
      </c>
      <c r="Q334" s="656" t="str">
        <f t="shared" ref="Q334:S334" si="340">+F334</f>
        <v>7-Dépenses</v>
      </c>
      <c r="R334" s="655" t="str">
        <f t="shared" si="340"/>
        <v>6132</v>
      </c>
      <c r="S334" s="656">
        <f t="shared" si="340"/>
        <v>0</v>
      </c>
      <c r="T334" s="658" t="str">
        <f>+VLOOKUP($L334,Data_Validation!$A:$D,1,0)</f>
        <v>6232</v>
      </c>
      <c r="U334" s="658" t="str">
        <f>+VLOOKUP($L334,Data_Validation!$A:$D,3,0)</f>
        <v>Véhicules usagés</v>
      </c>
      <c r="V334" s="658" t="str">
        <f>+VLOOKUP($L334,Data_Validation!$A:$D,4,0)</f>
        <v>Déduction à la source</v>
      </c>
      <c r="W334" s="658" t="str">
        <f>+VLOOKUP($L334,Data_Validation!$A:$E,5,0)</f>
        <v>$</v>
      </c>
      <c r="X334" s="658">
        <f>+VLOOKUP($L334,Data_Validation!$A:$F,6,0)</f>
        <v>0</v>
      </c>
    </row>
    <row r="335" spans="1:24" ht="15" customHeight="1">
      <c r="A335" s="1055" t="s">
        <v>1232</v>
      </c>
      <c r="B335" s="1055" t="s">
        <v>3394</v>
      </c>
      <c r="C335" s="1057">
        <v>0</v>
      </c>
      <c r="D335" s="1057">
        <v>267.44</v>
      </c>
      <c r="E335" s="1057">
        <v>267.44</v>
      </c>
      <c r="F335" s="1055" t="s">
        <v>1156</v>
      </c>
      <c r="G335" s="1055" t="s">
        <v>1186</v>
      </c>
      <c r="H335" s="1032"/>
      <c r="I335" s="1033"/>
      <c r="J335" s="1033"/>
      <c r="K335" s="1033"/>
      <c r="L335" s="655" t="str">
        <f t="shared" si="328"/>
        <v>6233</v>
      </c>
      <c r="M335" s="656" t="str">
        <f t="shared" si="260"/>
        <v>FOND PENSION - USAGE</v>
      </c>
      <c r="N335" s="657">
        <f>+IF(OR($Q335=Parametres!$G$2,$Q335=Parametres!$G$3),I335,C335)</f>
        <v>0</v>
      </c>
      <c r="O335" s="657">
        <f>+IF(OR($Q335=Parametres!$G$2,$Q335=Parametres!$G$3),J335,D335)</f>
        <v>267.44</v>
      </c>
      <c r="P335" s="657">
        <f>+IF(OR($Q335=Parametres!$G$2,$Q335=Parametres!$G$3),K335,E335)</f>
        <v>267.44</v>
      </c>
      <c r="Q335" s="656" t="str">
        <f t="shared" ref="Q335:S335" si="341">+F335</f>
        <v>7-Dépenses</v>
      </c>
      <c r="R335" s="655" t="str">
        <f t="shared" si="341"/>
        <v>6133</v>
      </c>
      <c r="S335" s="656">
        <f t="shared" si="341"/>
        <v>0</v>
      </c>
      <c r="T335" s="658" t="str">
        <f>+VLOOKUP($L335,Data_Validation!$A:$D,1,0)</f>
        <v>6233</v>
      </c>
      <c r="U335" s="658" t="str">
        <f>+VLOOKUP($L335,Data_Validation!$A:$D,3,0)</f>
        <v>Véhicules usagés</v>
      </c>
      <c r="V335" s="658" t="str">
        <f>+VLOOKUP($L335,Data_Validation!$A:$D,4,0)</f>
        <v>Bénéfices marginaux</v>
      </c>
      <c r="W335" s="658" t="str">
        <f>+VLOOKUP($L335,Data_Validation!$A:$E,5,0)</f>
        <v>$</v>
      </c>
      <c r="X335" s="658">
        <f>+VLOOKUP($L335,Data_Validation!$A:$F,6,0)</f>
        <v>0</v>
      </c>
    </row>
    <row r="336" spans="1:24" ht="15" customHeight="1">
      <c r="A336" s="1055" t="s">
        <v>1233</v>
      </c>
      <c r="B336" s="1055" t="s">
        <v>2370</v>
      </c>
      <c r="C336" s="1057">
        <v>31408.639999999999</v>
      </c>
      <c r="D336" s="1057">
        <v>1869.15</v>
      </c>
      <c r="E336" s="1057">
        <v>33277.79</v>
      </c>
      <c r="F336" s="1055" t="s">
        <v>1156</v>
      </c>
      <c r="G336" s="1055" t="s">
        <v>1188</v>
      </c>
      <c r="H336" s="1032"/>
      <c r="I336" s="1033"/>
      <c r="J336" s="1033"/>
      <c r="K336" s="1033"/>
      <c r="L336" s="655" t="str">
        <f t="shared" si="328"/>
        <v>6239</v>
      </c>
      <c r="M336" s="656" t="str">
        <f t="shared" si="260"/>
        <v>ASSURANCE GROUPE</v>
      </c>
      <c r="N336" s="657">
        <f>+IF(OR($Q336=Parametres!$G$2,$Q336=Parametres!$G$3),I336,C336)</f>
        <v>31408.639999999999</v>
      </c>
      <c r="O336" s="657">
        <f>+IF(OR($Q336=Parametres!$G$2,$Q336=Parametres!$G$3),J336,D336)</f>
        <v>1869.15</v>
      </c>
      <c r="P336" s="657">
        <f>+IF(OR($Q336=Parametres!$G$2,$Q336=Parametres!$G$3),K336,E336)</f>
        <v>33277.79</v>
      </c>
      <c r="Q336" s="656" t="str">
        <f t="shared" ref="Q336:S336" si="342">+F336</f>
        <v>7-Dépenses</v>
      </c>
      <c r="R336" s="655" t="str">
        <f t="shared" si="342"/>
        <v>6139</v>
      </c>
      <c r="S336" s="656">
        <f t="shared" si="342"/>
        <v>0</v>
      </c>
      <c r="T336" s="658" t="str">
        <f>+VLOOKUP($L336,Data_Validation!$A:$D,1,0)</f>
        <v>6239</v>
      </c>
      <c r="U336" s="658" t="str">
        <f>+VLOOKUP($L336,Data_Validation!$A:$D,3,0)</f>
        <v>Véhicules usagés</v>
      </c>
      <c r="V336" s="658" t="str">
        <f>+VLOOKUP($L336,Data_Validation!$A:$D,4,0)</f>
        <v>Bénéfices marginaux</v>
      </c>
      <c r="W336" s="658" t="str">
        <f>+VLOOKUP($L336,Data_Validation!$A:$E,5,0)</f>
        <v>$</v>
      </c>
      <c r="X336" s="658">
        <f>+VLOOKUP($L336,Data_Validation!$A:$F,6,0)</f>
        <v>0</v>
      </c>
    </row>
    <row r="337" spans="1:24" ht="15" customHeight="1">
      <c r="A337" s="1055" t="s">
        <v>1189</v>
      </c>
      <c r="B337" s="1055" t="s">
        <v>2376</v>
      </c>
      <c r="C337" s="1057">
        <v>1707.74</v>
      </c>
      <c r="D337" s="1057">
        <v>0</v>
      </c>
      <c r="E337" s="1057">
        <v>1707.74</v>
      </c>
      <c r="F337" s="1055" t="s">
        <v>1156</v>
      </c>
      <c r="G337" s="1055" t="s">
        <v>1190</v>
      </c>
      <c r="H337" s="1032"/>
      <c r="I337" s="1034"/>
      <c r="J337" s="1034"/>
      <c r="K337" s="1034"/>
      <c r="L337" s="655" t="str">
        <f t="shared" si="328"/>
        <v>6242</v>
      </c>
      <c r="M337" s="656" t="str">
        <f t="shared" si="260"/>
        <v>FOURNITURES &amp; PETITS OUTILS</v>
      </c>
      <c r="N337" s="657">
        <f>+IF(OR($Q337=Parametres!$G$2,$Q337=Parametres!$G$3),I337,C337)</f>
        <v>1707.74</v>
      </c>
      <c r="O337" s="657">
        <f>+IF(OR($Q337=Parametres!$G$2,$Q337=Parametres!$G$3),J337,D337)</f>
        <v>0</v>
      </c>
      <c r="P337" s="657">
        <f>+IF(OR($Q337=Parametres!$G$2,$Q337=Parametres!$G$3),K337,E337)</f>
        <v>1707.74</v>
      </c>
      <c r="Q337" s="656" t="str">
        <f t="shared" ref="Q337:S337" si="343">+F337</f>
        <v>7-Dépenses</v>
      </c>
      <c r="R337" s="655" t="str">
        <f t="shared" si="343"/>
        <v>6142</v>
      </c>
      <c r="S337" s="656">
        <f t="shared" si="343"/>
        <v>0</v>
      </c>
      <c r="T337" s="658" t="str">
        <f>+VLOOKUP($L337,Data_Validation!$A:$D,1,0)</f>
        <v>6242</v>
      </c>
      <c r="U337" s="658" t="str">
        <f>+VLOOKUP($L337,Data_Validation!$A:$D,3,0)</f>
        <v>Véhicules usagés</v>
      </c>
      <c r="V337" s="658" t="str">
        <f>+VLOOKUP($L337,Data_Validation!$A:$D,4,0)</f>
        <v>Fournitures autres</v>
      </c>
      <c r="W337" s="658" t="str">
        <f>+VLOOKUP($L337,Data_Validation!$A:$E,5,0)</f>
        <v>$</v>
      </c>
      <c r="X337" s="658">
        <f>+VLOOKUP($L337,Data_Validation!$A:$F,6,0)</f>
        <v>0</v>
      </c>
    </row>
    <row r="338" spans="1:24" ht="15.75" customHeight="1">
      <c r="A338" s="1055" t="s">
        <v>1193</v>
      </c>
      <c r="B338" s="1055" t="s">
        <v>2381</v>
      </c>
      <c r="C338" s="1057">
        <v>2291.85</v>
      </c>
      <c r="D338" s="1057">
        <v>1249.67</v>
      </c>
      <c r="E338" s="1057">
        <v>3541.52</v>
      </c>
      <c r="F338" s="1055" t="s">
        <v>1156</v>
      </c>
      <c r="G338" s="1055" t="s">
        <v>1194</v>
      </c>
      <c r="H338" s="1032"/>
      <c r="I338" s="1034"/>
      <c r="J338" s="1034"/>
      <c r="K338" s="1034"/>
      <c r="L338" s="655" t="str">
        <f t="shared" si="328"/>
        <v>6244</v>
      </c>
      <c r="M338" s="656" t="str">
        <f t="shared" si="260"/>
        <v>FORMATION</v>
      </c>
      <c r="N338" s="657">
        <f>+IF(OR($Q338=Parametres!$G$2,$Q338=Parametres!$G$3),I338,C338)</f>
        <v>2291.85</v>
      </c>
      <c r="O338" s="657">
        <f>+IF(OR($Q338=Parametres!$G$2,$Q338=Parametres!$G$3),J338,D338)</f>
        <v>1249.67</v>
      </c>
      <c r="P338" s="657">
        <f>+IF(OR($Q338=Parametres!$G$2,$Q338=Parametres!$G$3),K338,E338)</f>
        <v>3541.52</v>
      </c>
      <c r="Q338" s="656" t="str">
        <f t="shared" ref="Q338:S338" si="344">+F338</f>
        <v>7-Dépenses</v>
      </c>
      <c r="R338" s="655" t="str">
        <f t="shared" si="344"/>
        <v>6144</v>
      </c>
      <c r="S338" s="656">
        <f t="shared" si="344"/>
        <v>0</v>
      </c>
      <c r="T338" s="658" t="str">
        <f>+VLOOKUP($L338,Data_Validation!$A:$D,1,0)</f>
        <v>6244</v>
      </c>
      <c r="U338" s="658" t="str">
        <f>+VLOOKUP($L338,Data_Validation!$A:$D,3,0)</f>
        <v>Véhicules usagés</v>
      </c>
      <c r="V338" s="658" t="str">
        <f>+VLOOKUP($L338,Data_Validation!$A:$D,4,0)</f>
        <v>Formation</v>
      </c>
      <c r="W338" s="658" t="str">
        <f>+VLOOKUP($L338,Data_Validation!$A:$E,5,0)</f>
        <v>$</v>
      </c>
      <c r="X338" s="658">
        <f>+VLOOKUP($L338,Data_Validation!$A:$F,6,0)</f>
        <v>0</v>
      </c>
    </row>
    <row r="339" spans="1:24" ht="15" customHeight="1">
      <c r="A339" s="1055" t="s">
        <v>1195</v>
      </c>
      <c r="B339" s="1055" t="s">
        <v>2384</v>
      </c>
      <c r="C339" s="1057">
        <v>2438.73</v>
      </c>
      <c r="D339" s="1057">
        <v>1106.7</v>
      </c>
      <c r="E339" s="1057">
        <v>3545.43</v>
      </c>
      <c r="F339" s="1055" t="s">
        <v>1156</v>
      </c>
      <c r="G339" s="1055" t="s">
        <v>1196</v>
      </c>
      <c r="H339" s="1032"/>
      <c r="I339" s="1034"/>
      <c r="J339" s="1034"/>
      <c r="K339" s="1034"/>
      <c r="L339" s="655" t="str">
        <f t="shared" si="328"/>
        <v>6245</v>
      </c>
      <c r="M339" s="656" t="str">
        <f t="shared" si="260"/>
        <v>VEHICULE DE COMPAGNIE - DEPENS</v>
      </c>
      <c r="N339" s="657">
        <f>+IF(OR($Q339=Parametres!$G$2,$Q339=Parametres!$G$3),I339,C339)</f>
        <v>2438.73</v>
      </c>
      <c r="O339" s="657">
        <f>+IF(OR($Q339=Parametres!$G$2,$Q339=Parametres!$G$3),J339,D339)</f>
        <v>1106.7</v>
      </c>
      <c r="P339" s="657">
        <f>+IF(OR($Q339=Parametres!$G$2,$Q339=Parametres!$G$3),K339,E339)</f>
        <v>3545.43</v>
      </c>
      <c r="Q339" s="656" t="str">
        <f t="shared" ref="Q339:S339" si="345">+F339</f>
        <v>7-Dépenses</v>
      </c>
      <c r="R339" s="655" t="str">
        <f t="shared" si="345"/>
        <v>6145</v>
      </c>
      <c r="S339" s="656">
        <f t="shared" si="345"/>
        <v>0</v>
      </c>
      <c r="T339" s="658" t="str">
        <f>+VLOOKUP($L339,Data_Validation!$A:$D,1,0)</f>
        <v>6245</v>
      </c>
      <c r="U339" s="658" t="str">
        <f>+VLOOKUP($L339,Data_Validation!$A:$D,3,0)</f>
        <v>Véhicules usagés</v>
      </c>
      <c r="V339" s="658" t="str">
        <f>+VLOOKUP($L339,Data_Validation!$A:$D,4,0)</f>
        <v>Frais véhicules de cie</v>
      </c>
      <c r="W339" s="658" t="str">
        <f>+VLOOKUP($L339,Data_Validation!$A:$E,5,0)</f>
        <v>$</v>
      </c>
      <c r="X339" s="658">
        <f>+VLOOKUP($L339,Data_Validation!$A:$F,6,0)</f>
        <v>0</v>
      </c>
    </row>
    <row r="340" spans="1:24" ht="15" customHeight="1">
      <c r="A340" s="1055" t="s">
        <v>1197</v>
      </c>
      <c r="B340" s="1055" t="s">
        <v>2387</v>
      </c>
      <c r="C340" s="1057">
        <v>772.4</v>
      </c>
      <c r="D340" s="1057">
        <v>59.36</v>
      </c>
      <c r="E340" s="1057">
        <v>831.76</v>
      </c>
      <c r="F340" s="1055" t="s">
        <v>1156</v>
      </c>
      <c r="G340" s="1055" t="s">
        <v>1198</v>
      </c>
      <c r="H340" s="1032"/>
      <c r="I340" s="1034"/>
      <c r="J340" s="1034"/>
      <c r="K340" s="1034"/>
      <c r="L340" s="655" t="str">
        <f t="shared" si="328"/>
        <v>6247</v>
      </c>
      <c r="M340" s="656" t="str">
        <f t="shared" si="260"/>
        <v>FRET/EXPRESS/TRANS. PAR CAMION</v>
      </c>
      <c r="N340" s="657">
        <f>+IF(OR($Q340=Parametres!$G$2,$Q340=Parametres!$G$3),I340,C340)</f>
        <v>772.4</v>
      </c>
      <c r="O340" s="657">
        <f>+IF(OR($Q340=Parametres!$G$2,$Q340=Parametres!$G$3),J340,D340)</f>
        <v>59.36</v>
      </c>
      <c r="P340" s="657">
        <f>+IF(OR($Q340=Parametres!$G$2,$Q340=Parametres!$G$3),K340,E340)</f>
        <v>831.76</v>
      </c>
      <c r="Q340" s="656" t="str">
        <f t="shared" ref="Q340:S340" si="346">+F340</f>
        <v>7-Dépenses</v>
      </c>
      <c r="R340" s="655" t="str">
        <f t="shared" si="346"/>
        <v>6147</v>
      </c>
      <c r="S340" s="656">
        <f t="shared" si="346"/>
        <v>0</v>
      </c>
      <c r="T340" s="658" t="str">
        <f>+VLOOKUP($L340,Data_Validation!$A:$D,1,0)</f>
        <v>6247</v>
      </c>
      <c r="U340" s="658" t="str">
        <f>+VLOOKUP($L340,Data_Validation!$A:$D,3,0)</f>
        <v>Véhicules usagés</v>
      </c>
      <c r="V340" s="658" t="str">
        <f>+VLOOKUP($L340,Data_Validation!$A:$D,4,0)</f>
        <v>Frais postaux</v>
      </c>
      <c r="W340" s="658" t="str">
        <f>+VLOOKUP($L340,Data_Validation!$A:$E,5,0)</f>
        <v>$</v>
      </c>
      <c r="X340" s="658">
        <f>+VLOOKUP($L340,Data_Validation!$A:$F,6,0)</f>
        <v>0</v>
      </c>
    </row>
    <row r="341" spans="1:24" ht="15" customHeight="1">
      <c r="A341" s="1055" t="s">
        <v>1199</v>
      </c>
      <c r="B341" s="1055" t="s">
        <v>2390</v>
      </c>
      <c r="C341" s="1057">
        <v>32409.72</v>
      </c>
      <c r="D341" s="1057">
        <v>3407.82</v>
      </c>
      <c r="E341" s="1057">
        <v>35817.54</v>
      </c>
      <c r="F341" s="1055" t="s">
        <v>1156</v>
      </c>
      <c r="G341" s="1055" t="s">
        <v>1200</v>
      </c>
      <c r="H341" s="1032"/>
      <c r="I341" s="1035"/>
      <c r="J341" s="1035"/>
      <c r="K341" s="1035"/>
      <c r="L341" s="655" t="str">
        <f t="shared" si="328"/>
        <v>6251</v>
      </c>
      <c r="M341" s="656" t="str">
        <f t="shared" si="260"/>
        <v>DEP. DU TRAITEMENT DES DONNEES</v>
      </c>
      <c r="N341" s="657">
        <f>+IF(OR($Q341=Parametres!$G$2,$Q341=Parametres!$G$3),I341,C341)</f>
        <v>32409.72</v>
      </c>
      <c r="O341" s="657">
        <f>+IF(OR($Q341=Parametres!$G$2,$Q341=Parametres!$G$3),J341,D341)</f>
        <v>3407.82</v>
      </c>
      <c r="P341" s="657">
        <f>+IF(OR($Q341=Parametres!$G$2,$Q341=Parametres!$G$3),K341,E341)</f>
        <v>35817.54</v>
      </c>
      <c r="Q341" s="656" t="str">
        <f t="shared" ref="Q341:S341" si="347">+F341</f>
        <v>7-Dépenses</v>
      </c>
      <c r="R341" s="655" t="str">
        <f t="shared" si="347"/>
        <v>6151</v>
      </c>
      <c r="S341" s="656">
        <f t="shared" si="347"/>
        <v>0</v>
      </c>
      <c r="T341" s="658" t="str">
        <f>+VLOOKUP($L341,Data_Validation!$A:$D,1,0)</f>
        <v>6251</v>
      </c>
      <c r="U341" s="658" t="str">
        <f>+VLOOKUP($L341,Data_Validation!$A:$D,3,0)</f>
        <v>Véhicules usagés</v>
      </c>
      <c r="V341" s="658" t="str">
        <f>+VLOOKUP($L341,Data_Validation!$A:$D,4,0)</f>
        <v>Informatique</v>
      </c>
      <c r="W341" s="658" t="str">
        <f>+VLOOKUP($L341,Data_Validation!$A:$E,5,0)</f>
        <v>$</v>
      </c>
      <c r="X341" s="658">
        <f>+VLOOKUP($L341,Data_Validation!$A:$F,6,0)</f>
        <v>0</v>
      </c>
    </row>
    <row r="342" spans="1:24" ht="15" customHeight="1">
      <c r="A342" s="1055" t="s">
        <v>1201</v>
      </c>
      <c r="B342" s="1055" t="s">
        <v>2393</v>
      </c>
      <c r="C342" s="1057">
        <v>2868.84</v>
      </c>
      <c r="D342" s="1057">
        <v>353.27</v>
      </c>
      <c r="E342" s="1057">
        <v>3222.11</v>
      </c>
      <c r="F342" s="1055" t="s">
        <v>1156</v>
      </c>
      <c r="G342" s="1055" t="s">
        <v>1202</v>
      </c>
      <c r="H342" s="1032"/>
      <c r="I342" s="1035"/>
      <c r="J342" s="1035"/>
      <c r="K342" s="1035"/>
      <c r="L342" s="655" t="str">
        <f t="shared" si="328"/>
        <v>6252</v>
      </c>
      <c r="M342" s="656" t="str">
        <f t="shared" si="260"/>
        <v>PAPETERIE</v>
      </c>
      <c r="N342" s="657">
        <f>+IF(OR($Q342=Parametres!$G$2,$Q342=Parametres!$G$3),I342,C342)</f>
        <v>2868.84</v>
      </c>
      <c r="O342" s="657">
        <f>+IF(OR($Q342=Parametres!$G$2,$Q342=Parametres!$G$3),J342,D342)</f>
        <v>353.27</v>
      </c>
      <c r="P342" s="657">
        <f>+IF(OR($Q342=Parametres!$G$2,$Q342=Parametres!$G$3),K342,E342)</f>
        <v>3222.11</v>
      </c>
      <c r="Q342" s="656" t="str">
        <f t="shared" ref="Q342:S342" si="348">+F342</f>
        <v>7-Dépenses</v>
      </c>
      <c r="R342" s="655" t="str">
        <f t="shared" si="348"/>
        <v>6152</v>
      </c>
      <c r="S342" s="656">
        <f t="shared" si="348"/>
        <v>0</v>
      </c>
      <c r="T342" s="658" t="str">
        <f>+VLOOKUP($L342,Data_Validation!$A:$D,1,0)</f>
        <v>6252</v>
      </c>
      <c r="U342" s="658" t="str">
        <f>+VLOOKUP($L342,Data_Validation!$A:$D,3,0)</f>
        <v>Véhicules usagés</v>
      </c>
      <c r="V342" s="658" t="str">
        <f>+VLOOKUP($L342,Data_Validation!$A:$D,4,0)</f>
        <v>Papeterie</v>
      </c>
      <c r="W342" s="658" t="str">
        <f>+VLOOKUP($L342,Data_Validation!$A:$E,5,0)</f>
        <v>$</v>
      </c>
      <c r="X342" s="658">
        <f>+VLOOKUP($L342,Data_Validation!$A:$F,6,0)</f>
        <v>0</v>
      </c>
    </row>
    <row r="343" spans="1:24" ht="15.75" customHeight="1">
      <c r="A343" s="1055" t="s">
        <v>1203</v>
      </c>
      <c r="B343" s="1055" t="s">
        <v>2396</v>
      </c>
      <c r="C343" s="1057">
        <v>562.15</v>
      </c>
      <c r="D343" s="1057">
        <v>109.4</v>
      </c>
      <c r="E343" s="1057">
        <v>671.55</v>
      </c>
      <c r="F343" s="1055" t="s">
        <v>1156</v>
      </c>
      <c r="G343" s="1055" t="s">
        <v>1204</v>
      </c>
      <c r="H343" s="1032"/>
      <c r="I343" s="1035"/>
      <c r="J343" s="1035"/>
      <c r="K343" s="1035"/>
      <c r="L343" s="655" t="str">
        <f t="shared" si="328"/>
        <v>6253</v>
      </c>
      <c r="M343" s="656" t="str">
        <f t="shared" si="260"/>
        <v>TELEPHONE ET TELEX</v>
      </c>
      <c r="N343" s="657">
        <f>+IF(OR($Q343=Parametres!$G$2,$Q343=Parametres!$G$3),I343,C343)</f>
        <v>562.15</v>
      </c>
      <c r="O343" s="657">
        <f>+IF(OR($Q343=Parametres!$G$2,$Q343=Parametres!$G$3),J343,D343)</f>
        <v>109.4</v>
      </c>
      <c r="P343" s="657">
        <f>+IF(OR($Q343=Parametres!$G$2,$Q343=Parametres!$G$3),K343,E343)</f>
        <v>671.55</v>
      </c>
      <c r="Q343" s="656" t="str">
        <f t="shared" ref="Q343:S343" si="349">+F343</f>
        <v>7-Dépenses</v>
      </c>
      <c r="R343" s="655" t="str">
        <f t="shared" si="349"/>
        <v>6153</v>
      </c>
      <c r="S343" s="656">
        <f t="shared" si="349"/>
        <v>0</v>
      </c>
      <c r="T343" s="658" t="str">
        <f>+VLOOKUP($L343,Data_Validation!$A:$D,1,0)</f>
        <v>6253</v>
      </c>
      <c r="U343" s="658" t="str">
        <f>+VLOOKUP($L343,Data_Validation!$A:$D,3,0)</f>
        <v>Véhicules usagés</v>
      </c>
      <c r="V343" s="658" t="str">
        <f>+VLOOKUP($L343,Data_Validation!$A:$D,4,0)</f>
        <v>Téléphone</v>
      </c>
      <c r="W343" s="658" t="str">
        <f>+VLOOKUP($L343,Data_Validation!$A:$E,5,0)</f>
        <v>$</v>
      </c>
      <c r="X343" s="658">
        <f>+VLOOKUP($L343,Data_Validation!$A:$F,6,0)</f>
        <v>0</v>
      </c>
    </row>
    <row r="344" spans="1:24" ht="15" customHeight="1">
      <c r="A344" s="1055" t="s">
        <v>1205</v>
      </c>
      <c r="B344" s="1055" t="s">
        <v>2399</v>
      </c>
      <c r="C344" s="1057">
        <v>1099.24</v>
      </c>
      <c r="D344" s="1057">
        <v>-1.41</v>
      </c>
      <c r="E344" s="1057">
        <v>1097.83</v>
      </c>
      <c r="F344" s="1055" t="s">
        <v>1156</v>
      </c>
      <c r="G344" s="1055" t="s">
        <v>1206</v>
      </c>
      <c r="H344" s="1032"/>
      <c r="I344" s="1035"/>
      <c r="J344" s="1035"/>
      <c r="K344" s="1035"/>
      <c r="L344" s="655" t="str">
        <f t="shared" si="328"/>
        <v>6255</v>
      </c>
      <c r="M344" s="656" t="str">
        <f t="shared" si="260"/>
        <v>DEPENSES DIVERS</v>
      </c>
      <c r="N344" s="657">
        <f>+IF(OR($Q344=Parametres!$G$2,$Q344=Parametres!$G$3),I344,C344)</f>
        <v>1099.24</v>
      </c>
      <c r="O344" s="657">
        <f>+IF(OR($Q344=Parametres!$G$2,$Q344=Parametres!$G$3),J344,D344)</f>
        <v>-1.41</v>
      </c>
      <c r="P344" s="657">
        <f>+IF(OR($Q344=Parametres!$G$2,$Q344=Parametres!$G$3),K344,E344)</f>
        <v>1097.83</v>
      </c>
      <c r="Q344" s="656" t="str">
        <f t="shared" ref="Q344:S344" si="350">+F344</f>
        <v>7-Dépenses</v>
      </c>
      <c r="R344" s="655" t="str">
        <f t="shared" si="350"/>
        <v>6155</v>
      </c>
      <c r="S344" s="656">
        <f t="shared" si="350"/>
        <v>0</v>
      </c>
      <c r="T344" s="658" t="str">
        <f>+VLOOKUP($L344,Data_Validation!$A:$D,1,0)</f>
        <v>6255</v>
      </c>
      <c r="U344" s="658" t="str">
        <f>+VLOOKUP($L344,Data_Validation!$A:$D,3,0)</f>
        <v>Véhicules usagés</v>
      </c>
      <c r="V344" s="658" t="str">
        <f>+VLOOKUP($L344,Data_Validation!$A:$D,4,0)</f>
        <v>Divers</v>
      </c>
      <c r="W344" s="658" t="str">
        <f>+VLOOKUP($L344,Data_Validation!$A:$E,5,0)</f>
        <v>$</v>
      </c>
      <c r="X344" s="658">
        <f>+VLOOKUP($L344,Data_Validation!$A:$F,6,0)</f>
        <v>0</v>
      </c>
    </row>
    <row r="345" spans="1:24" ht="15" customHeight="1">
      <c r="A345" s="1055" t="s">
        <v>1234</v>
      </c>
      <c r="B345" s="1055" t="s">
        <v>2402</v>
      </c>
      <c r="C345" s="1057">
        <v>4273.12</v>
      </c>
      <c r="D345" s="1057">
        <v>456.83</v>
      </c>
      <c r="E345" s="1057">
        <v>4729.95</v>
      </c>
      <c r="F345" s="1055" t="s">
        <v>1156</v>
      </c>
      <c r="G345" s="1055" t="s">
        <v>1208</v>
      </c>
      <c r="H345" s="1032"/>
      <c r="I345" s="1035"/>
      <c r="J345" s="1035"/>
      <c r="K345" s="1035"/>
      <c r="L345" s="655" t="str">
        <f t="shared" si="328"/>
        <v>6256</v>
      </c>
      <c r="M345" s="656" t="str">
        <f t="shared" si="260"/>
        <v>FRAIS REPRESENTATION - USAGE</v>
      </c>
      <c r="N345" s="657">
        <f>+IF(OR($Q345=Parametres!$G$2,$Q345=Parametres!$G$3),I345,C345)</f>
        <v>4273.12</v>
      </c>
      <c r="O345" s="657">
        <f>+IF(OR($Q345=Parametres!$G$2,$Q345=Parametres!$G$3),J345,D345)</f>
        <v>456.83</v>
      </c>
      <c r="P345" s="657">
        <f>+IF(OR($Q345=Parametres!$G$2,$Q345=Parametres!$G$3),K345,E345)</f>
        <v>4729.95</v>
      </c>
      <c r="Q345" s="656" t="str">
        <f t="shared" ref="Q345:S345" si="351">+F345</f>
        <v>7-Dépenses</v>
      </c>
      <c r="R345" s="655" t="str">
        <f t="shared" si="351"/>
        <v>6156</v>
      </c>
      <c r="S345" s="656">
        <f t="shared" si="351"/>
        <v>0</v>
      </c>
      <c r="T345" s="658" t="str">
        <f>+VLOOKUP($L345,Data_Validation!$A:$D,1,0)</f>
        <v>6256</v>
      </c>
      <c r="U345" s="658" t="str">
        <f>+VLOOKUP($L345,Data_Validation!$A:$D,3,0)</f>
        <v>Véhicules usagés</v>
      </c>
      <c r="V345" s="658" t="str">
        <f>+VLOOKUP($L345,Data_Validation!$A:$D,4,0)</f>
        <v>Frais de déplacement</v>
      </c>
      <c r="W345" s="658" t="str">
        <f>+VLOOKUP($L345,Data_Validation!$A:$E,5,0)</f>
        <v>$</v>
      </c>
      <c r="X345" s="658">
        <f>+VLOOKUP($L345,Data_Validation!$A:$F,6,0)</f>
        <v>0</v>
      </c>
    </row>
    <row r="346" spans="1:24" ht="15" customHeight="1">
      <c r="A346" s="1055" t="s">
        <v>1235</v>
      </c>
      <c r="B346" s="1055" t="s">
        <v>3395</v>
      </c>
      <c r="C346" s="1057">
        <v>13171.01</v>
      </c>
      <c r="D346" s="1057">
        <v>-3375.5</v>
      </c>
      <c r="E346" s="1057">
        <v>9795.51</v>
      </c>
      <c r="F346" s="1055" t="s">
        <v>1156</v>
      </c>
      <c r="G346" s="1055" t="s">
        <v>1236</v>
      </c>
      <c r="H346" s="1032"/>
      <c r="I346" s="1035"/>
      <c r="J346" s="1035"/>
      <c r="K346" s="1035"/>
      <c r="L346" s="655" t="str">
        <f t="shared" si="328"/>
        <v>6257</v>
      </c>
      <c r="M346" s="656" t="str">
        <f t="shared" si="260"/>
        <v>FRAIS BANCAIRES - USAGE</v>
      </c>
      <c r="N346" s="657">
        <f>+IF(OR($Q346=Parametres!$G$2,$Q346=Parametres!$G$3),I346,C346)</f>
        <v>13171.01</v>
      </c>
      <c r="O346" s="657">
        <f>+IF(OR($Q346=Parametres!$G$2,$Q346=Parametres!$G$3),J346,D346)</f>
        <v>-3375.5</v>
      </c>
      <c r="P346" s="657">
        <f>+IF(OR($Q346=Parametres!$G$2,$Q346=Parametres!$G$3),K346,E346)</f>
        <v>9795.51</v>
      </c>
      <c r="Q346" s="656" t="str">
        <f t="shared" ref="Q346:S346" si="352">+F346</f>
        <v>7-Dépenses</v>
      </c>
      <c r="R346" s="655" t="str">
        <f t="shared" si="352"/>
        <v>625</v>
      </c>
      <c r="S346" s="656">
        <f t="shared" si="352"/>
        <v>0</v>
      </c>
      <c r="T346" s="658" t="str">
        <f>+VLOOKUP($L346,Data_Validation!$A:$D,1,0)</f>
        <v>6257</v>
      </c>
      <c r="U346" s="658" t="str">
        <f>+VLOOKUP($L346,Data_Validation!$A:$D,3,0)</f>
        <v>Véhicules usagés</v>
      </c>
      <c r="V346" s="658" t="str">
        <f>+VLOOKUP($L346,Data_Validation!$A:$D,4,0)</f>
        <v>Frais bancaires</v>
      </c>
      <c r="W346" s="658" t="str">
        <f>+VLOOKUP($L346,Data_Validation!$A:$E,5,0)</f>
        <v>$</v>
      </c>
      <c r="X346" s="658">
        <f>+VLOOKUP($L346,Data_Validation!$A:$F,6,0)</f>
        <v>0</v>
      </c>
    </row>
    <row r="347" spans="1:24" ht="15.75" customHeight="1">
      <c r="A347" s="1055" t="s">
        <v>1211</v>
      </c>
      <c r="B347" s="1055" t="s">
        <v>2405</v>
      </c>
      <c r="C347" s="1057">
        <v>11775.24</v>
      </c>
      <c r="D347" s="1057">
        <v>923.2</v>
      </c>
      <c r="E347" s="1057">
        <v>12698.44</v>
      </c>
      <c r="F347" s="1055" t="s">
        <v>1156</v>
      </c>
      <c r="G347" s="1055" t="s">
        <v>1212</v>
      </c>
      <c r="H347" s="1032"/>
      <c r="I347" s="1035"/>
      <c r="J347" s="1035"/>
      <c r="K347" s="1035"/>
      <c r="L347" s="655" t="str">
        <f t="shared" si="328"/>
        <v>6259</v>
      </c>
      <c r="M347" s="656" t="str">
        <f t="shared" si="260"/>
        <v>SERVICE EXTERIEUR</v>
      </c>
      <c r="N347" s="657">
        <f>+IF(OR($Q347=Parametres!$G$2,$Q347=Parametres!$G$3),I347,C347)</f>
        <v>11775.24</v>
      </c>
      <c r="O347" s="657">
        <f>+IF(OR($Q347=Parametres!$G$2,$Q347=Parametres!$G$3),J347,D347)</f>
        <v>923.2</v>
      </c>
      <c r="P347" s="657">
        <f>+IF(OR($Q347=Parametres!$G$2,$Q347=Parametres!$G$3),K347,E347)</f>
        <v>12698.44</v>
      </c>
      <c r="Q347" s="656" t="str">
        <f t="shared" ref="Q347:S347" si="353">+F347</f>
        <v>7-Dépenses</v>
      </c>
      <c r="R347" s="655" t="str">
        <f t="shared" si="353"/>
        <v>6159</v>
      </c>
      <c r="S347" s="656">
        <f t="shared" si="353"/>
        <v>0</v>
      </c>
      <c r="T347" s="658" t="str">
        <f>+VLOOKUP($L347,Data_Validation!$A:$D,1,0)</f>
        <v>6259</v>
      </c>
      <c r="U347" s="658" t="str">
        <f>+VLOOKUP($L347,Data_Validation!$A:$D,3,0)</f>
        <v>Véhicules usagés</v>
      </c>
      <c r="V347" s="658" t="str">
        <f>+VLOOKUP($L347,Data_Validation!$A:$D,4,0)</f>
        <v>Services extérieurs</v>
      </c>
      <c r="W347" s="658" t="str">
        <f>+VLOOKUP($L347,Data_Validation!$A:$E,5,0)</f>
        <v>$</v>
      </c>
      <c r="X347" s="658">
        <f>+VLOOKUP($L347,Data_Validation!$A:$F,6,0)</f>
        <v>0</v>
      </c>
    </row>
    <row r="348" spans="1:24" ht="15" customHeight="1">
      <c r="A348" s="1055" t="s">
        <v>1213</v>
      </c>
      <c r="B348" s="1055" t="s">
        <v>2408</v>
      </c>
      <c r="C348" s="1057">
        <v>5695.14</v>
      </c>
      <c r="D348" s="1057">
        <v>517.74</v>
      </c>
      <c r="E348" s="1057">
        <v>6212.88</v>
      </c>
      <c r="F348" s="1055" t="s">
        <v>1156</v>
      </c>
      <c r="G348" s="1055" t="s">
        <v>1214</v>
      </c>
      <c r="H348" s="1032"/>
      <c r="I348" s="1035"/>
      <c r="J348" s="1035"/>
      <c r="K348" s="1035"/>
      <c r="L348" s="655" t="str">
        <f t="shared" si="328"/>
        <v>6261</v>
      </c>
      <c r="M348" s="656" t="str">
        <f t="shared" si="260"/>
        <v>DEPRECIATION EQUIP. &amp; FIXTURES</v>
      </c>
      <c r="N348" s="657">
        <f>+IF(OR($Q348=Parametres!$G$2,$Q348=Parametres!$G$3),I348,C348)</f>
        <v>5695.14</v>
      </c>
      <c r="O348" s="657">
        <f>+IF(OR($Q348=Parametres!$G$2,$Q348=Parametres!$G$3),J348,D348)</f>
        <v>517.74</v>
      </c>
      <c r="P348" s="657">
        <f>+IF(OR($Q348=Parametres!$G$2,$Q348=Parametres!$G$3),K348,E348)</f>
        <v>6212.88</v>
      </c>
      <c r="Q348" s="656" t="str">
        <f t="shared" ref="Q348:S348" si="354">+F348</f>
        <v>7-Dépenses</v>
      </c>
      <c r="R348" s="655" t="str">
        <f t="shared" si="354"/>
        <v>6161</v>
      </c>
      <c r="S348" s="656">
        <f t="shared" si="354"/>
        <v>0</v>
      </c>
      <c r="T348" s="658" t="str">
        <f>+VLOOKUP($L348,Data_Validation!$A:$D,1,0)</f>
        <v>6261</v>
      </c>
      <c r="U348" s="658" t="str">
        <f>+VLOOKUP($L348,Data_Validation!$A:$D,3,0)</f>
        <v>Véhicules usagés</v>
      </c>
      <c r="V348" s="658" t="str">
        <f>+VLOOKUP($L348,Data_Validation!$A:$D,4,0)</f>
        <v>Amortissement</v>
      </c>
      <c r="W348" s="658" t="str">
        <f>+VLOOKUP($L348,Data_Validation!$A:$E,5,0)</f>
        <v>$</v>
      </c>
      <c r="X348" s="658">
        <f>+VLOOKUP($L348,Data_Validation!$A:$F,6,0)</f>
        <v>0</v>
      </c>
    </row>
    <row r="349" spans="1:24" ht="15" customHeight="1">
      <c r="A349" s="1055" t="s">
        <v>1237</v>
      </c>
      <c r="B349" s="1055" t="s">
        <v>2414</v>
      </c>
      <c r="C349" s="1057">
        <v>3339.93</v>
      </c>
      <c r="D349" s="1057">
        <v>111.7</v>
      </c>
      <c r="E349" s="1057">
        <v>3451.63</v>
      </c>
      <c r="F349" s="1055" t="s">
        <v>1156</v>
      </c>
      <c r="G349" s="1055" t="s">
        <v>1216</v>
      </c>
      <c r="H349" s="1032"/>
      <c r="I349" s="1035"/>
      <c r="J349" s="1035"/>
      <c r="K349" s="1035"/>
      <c r="L349" s="655" t="str">
        <f t="shared" si="328"/>
        <v>6281</v>
      </c>
      <c r="M349" s="656" t="str">
        <f t="shared" si="260"/>
        <v>CHAUFFAGE,ELECTRICITE,EAU-USAGE</v>
      </c>
      <c r="N349" s="657">
        <f>+IF(OR($Q349=Parametres!$G$2,$Q349=Parametres!$G$3),I349,C349)</f>
        <v>3339.93</v>
      </c>
      <c r="O349" s="657">
        <f>+IF(OR($Q349=Parametres!$G$2,$Q349=Parametres!$G$3),J349,D349)</f>
        <v>111.7</v>
      </c>
      <c r="P349" s="657">
        <f>+IF(OR($Q349=Parametres!$G$2,$Q349=Parametres!$G$3),K349,E349)</f>
        <v>3451.63</v>
      </c>
      <c r="Q349" s="656" t="str">
        <f t="shared" ref="Q349:S349" si="355">+F349</f>
        <v>7-Dépenses</v>
      </c>
      <c r="R349" s="655" t="str">
        <f t="shared" si="355"/>
        <v>6181</v>
      </c>
      <c r="S349" s="656">
        <f t="shared" si="355"/>
        <v>0</v>
      </c>
      <c r="T349" s="658" t="str">
        <f>+VLOOKUP($L349,Data_Validation!$A:$D,1,0)</f>
        <v>6281</v>
      </c>
      <c r="U349" s="658" t="str">
        <f>+VLOOKUP($L349,Data_Validation!$A:$D,3,0)</f>
        <v>Véhicules usagés</v>
      </c>
      <c r="V349" s="658" t="str">
        <f>+VLOOKUP($L349,Data_Validation!$A:$D,4,0)</f>
        <v>Chauffage, éclairage</v>
      </c>
      <c r="W349" s="658" t="str">
        <f>+VLOOKUP($L349,Data_Validation!$A:$E,5,0)</f>
        <v>$</v>
      </c>
      <c r="X349" s="658">
        <f>+VLOOKUP($L349,Data_Validation!$A:$F,6,0)</f>
        <v>0</v>
      </c>
    </row>
    <row r="350" spans="1:24" ht="15" customHeight="1">
      <c r="A350" s="1055" t="s">
        <v>1238</v>
      </c>
      <c r="B350" s="1055" t="s">
        <v>2417</v>
      </c>
      <c r="C350" s="1057">
        <v>34320</v>
      </c>
      <c r="D350" s="1057">
        <v>3120</v>
      </c>
      <c r="E350" s="1057">
        <v>37440</v>
      </c>
      <c r="F350" s="1055" t="s">
        <v>1156</v>
      </c>
      <c r="G350" s="1055" t="s">
        <v>1218</v>
      </c>
      <c r="H350" s="1032"/>
      <c r="I350" s="1035"/>
      <c r="J350" s="1035"/>
      <c r="K350" s="1035"/>
      <c r="L350" s="655" t="str">
        <f t="shared" si="328"/>
        <v>6282</v>
      </c>
      <c r="M350" s="656" t="str">
        <f t="shared" si="260"/>
        <v>LOYER - USAGE</v>
      </c>
      <c r="N350" s="657">
        <f>+IF(OR($Q350=Parametres!$G$2,$Q350=Parametres!$G$3),I350,C350)</f>
        <v>34320</v>
      </c>
      <c r="O350" s="657">
        <f>+IF(OR($Q350=Parametres!$G$2,$Q350=Parametres!$G$3),J350,D350)</f>
        <v>3120</v>
      </c>
      <c r="P350" s="657">
        <f>+IF(OR($Q350=Parametres!$G$2,$Q350=Parametres!$G$3),K350,E350)</f>
        <v>37440</v>
      </c>
      <c r="Q350" s="656" t="str">
        <f t="shared" ref="Q350:S350" si="356">+F350</f>
        <v>7-Dépenses</v>
      </c>
      <c r="R350" s="655" t="str">
        <f t="shared" si="356"/>
        <v>6182</v>
      </c>
      <c r="S350" s="656">
        <f t="shared" si="356"/>
        <v>0</v>
      </c>
      <c r="T350" s="658" t="str">
        <f>+VLOOKUP($L350,Data_Validation!$A:$D,1,0)</f>
        <v>6282</v>
      </c>
      <c r="U350" s="658" t="str">
        <f>+VLOOKUP($L350,Data_Validation!$A:$D,3,0)</f>
        <v>Véhicules usagés</v>
      </c>
      <c r="V350" s="658" t="str">
        <f>+VLOOKUP($L350,Data_Validation!$A:$D,4,0)</f>
        <v>Loyer</v>
      </c>
      <c r="W350" s="658" t="str">
        <f>+VLOOKUP($L350,Data_Validation!$A:$E,5,0)</f>
        <v>$</v>
      </c>
      <c r="X350" s="658">
        <f>+VLOOKUP($L350,Data_Validation!$A:$F,6,0)</f>
        <v>0</v>
      </c>
    </row>
    <row r="351" spans="1:24" ht="15" customHeight="1">
      <c r="A351" s="1055" t="s">
        <v>1239</v>
      </c>
      <c r="B351" s="1055" t="s">
        <v>2420</v>
      </c>
      <c r="C351" s="1057">
        <v>5637.72</v>
      </c>
      <c r="D351" s="1057">
        <v>512.52</v>
      </c>
      <c r="E351" s="1057">
        <v>6150.24</v>
      </c>
      <c r="F351" s="1055" t="s">
        <v>1156</v>
      </c>
      <c r="G351" s="1055" t="s">
        <v>1220</v>
      </c>
      <c r="H351" s="1032"/>
      <c r="I351" s="1035"/>
      <c r="J351" s="1035"/>
      <c r="K351" s="1035"/>
      <c r="L351" s="655" t="str">
        <f t="shared" si="328"/>
        <v>6286</v>
      </c>
      <c r="M351" s="656" t="str">
        <f t="shared" si="260"/>
        <v>ASSURANCE BATISSE &amp; AMEL.-USAGE</v>
      </c>
      <c r="N351" s="657">
        <f>+IF(OR($Q351=Parametres!$G$2,$Q351=Parametres!$G$3),I351,C351)</f>
        <v>5637.72</v>
      </c>
      <c r="O351" s="657">
        <f>+IF(OR($Q351=Parametres!$G$2,$Q351=Parametres!$G$3),J351,D351)</f>
        <v>512.52</v>
      </c>
      <c r="P351" s="657">
        <f>+IF(OR($Q351=Parametres!$G$2,$Q351=Parametres!$G$3),K351,E351)</f>
        <v>6150.24</v>
      </c>
      <c r="Q351" s="656" t="str">
        <f t="shared" ref="Q351:S351" si="357">+F351</f>
        <v>7-Dépenses</v>
      </c>
      <c r="R351" s="655" t="str">
        <f t="shared" si="357"/>
        <v>6186</v>
      </c>
      <c r="S351" s="656">
        <f t="shared" si="357"/>
        <v>0</v>
      </c>
      <c r="T351" s="658" t="str">
        <f>+VLOOKUP($L351,Data_Validation!$A:$D,1,0)</f>
        <v>6286</v>
      </c>
      <c r="U351" s="658" t="str">
        <f>+VLOOKUP($L351,Data_Validation!$A:$D,3,0)</f>
        <v>Véhicules usagés</v>
      </c>
      <c r="V351" s="658" t="str">
        <f>+VLOOKUP($L351,Data_Validation!$A:$D,4,0)</f>
        <v>Assurances</v>
      </c>
      <c r="W351" s="658" t="str">
        <f>+VLOOKUP($L351,Data_Validation!$A:$E,5,0)</f>
        <v>$</v>
      </c>
      <c r="X351" s="658">
        <f>+VLOOKUP($L351,Data_Validation!$A:$F,6,0)</f>
        <v>0</v>
      </c>
    </row>
    <row r="352" spans="1:24" ht="15.75" customHeight="1">
      <c r="A352" s="1055" t="s">
        <v>1240</v>
      </c>
      <c r="B352" s="1055" t="s">
        <v>2423</v>
      </c>
      <c r="C352" s="1057">
        <v>6507.6</v>
      </c>
      <c r="D352" s="1057">
        <v>198.72</v>
      </c>
      <c r="E352" s="1057">
        <v>6706.32</v>
      </c>
      <c r="F352" s="1055" t="s">
        <v>1156</v>
      </c>
      <c r="G352" s="1055" t="s">
        <v>1222</v>
      </c>
      <c r="H352" s="1032"/>
      <c r="I352" s="1035"/>
      <c r="J352" s="1035"/>
      <c r="K352" s="1035"/>
      <c r="L352" s="655" t="str">
        <f t="shared" si="328"/>
        <v>6287</v>
      </c>
      <c r="M352" s="656" t="str">
        <f t="shared" si="260"/>
        <v>TAXES FONCIERES - USAGE</v>
      </c>
      <c r="N352" s="657">
        <f>+IF(OR($Q352=Parametres!$G$2,$Q352=Parametres!$G$3),I352,C352)</f>
        <v>6507.6</v>
      </c>
      <c r="O352" s="657">
        <f>+IF(OR($Q352=Parametres!$G$2,$Q352=Parametres!$G$3),J352,D352)</f>
        <v>198.72</v>
      </c>
      <c r="P352" s="657">
        <f>+IF(OR($Q352=Parametres!$G$2,$Q352=Parametres!$G$3),K352,E352)</f>
        <v>6706.32</v>
      </c>
      <c r="Q352" s="656" t="str">
        <f t="shared" ref="Q352:S352" si="358">+F352</f>
        <v>7-Dépenses</v>
      </c>
      <c r="R352" s="655" t="str">
        <f t="shared" si="358"/>
        <v>6187</v>
      </c>
      <c r="S352" s="656">
        <f t="shared" si="358"/>
        <v>0</v>
      </c>
      <c r="T352" s="658" t="str">
        <f>+VLOOKUP($L352,Data_Validation!$A:$D,1,0)</f>
        <v>6287</v>
      </c>
      <c r="U352" s="658" t="str">
        <f>+VLOOKUP($L352,Data_Validation!$A:$D,3,0)</f>
        <v>Véhicules usagés</v>
      </c>
      <c r="V352" s="658" t="str">
        <f>+VLOOKUP($L352,Data_Validation!$A:$D,4,0)</f>
        <v>Taxes foncières</v>
      </c>
      <c r="W352" s="658" t="str">
        <f>+VLOOKUP($L352,Data_Validation!$A:$E,5,0)</f>
        <v>$</v>
      </c>
      <c r="X352" s="658">
        <f>+VLOOKUP($L352,Data_Validation!$A:$F,6,0)</f>
        <v>0</v>
      </c>
    </row>
    <row r="353" spans="1:24" ht="15" customHeight="1">
      <c r="A353" s="1055" t="s">
        <v>1241</v>
      </c>
      <c r="B353" s="1055" t="s">
        <v>2426</v>
      </c>
      <c r="C353" s="1057">
        <v>4329.6000000000004</v>
      </c>
      <c r="D353" s="1057">
        <v>393.6</v>
      </c>
      <c r="E353" s="1057">
        <v>4723.2</v>
      </c>
      <c r="F353" s="1055" t="s">
        <v>1156</v>
      </c>
      <c r="G353" s="1055" t="s">
        <v>1224</v>
      </c>
      <c r="H353" s="1032"/>
      <c r="I353" s="1035"/>
      <c r="J353" s="1035"/>
      <c r="K353" s="1035"/>
      <c r="L353" s="655" t="str">
        <f t="shared" si="328"/>
        <v>6293</v>
      </c>
      <c r="M353" s="656" t="str">
        <f t="shared" si="260"/>
        <v>AUTRE TAXES - USAGES</v>
      </c>
      <c r="N353" s="657">
        <f>+IF(OR($Q353=Parametres!$G$2,$Q353=Parametres!$G$3),I353,C353)</f>
        <v>4329.6000000000004</v>
      </c>
      <c r="O353" s="657">
        <f>+IF(OR($Q353=Parametres!$G$2,$Q353=Parametres!$G$3),J353,D353)</f>
        <v>393.6</v>
      </c>
      <c r="P353" s="657">
        <f>+IF(OR($Q353=Parametres!$G$2,$Q353=Parametres!$G$3),K353,E353)</f>
        <v>4723.2</v>
      </c>
      <c r="Q353" s="656" t="str">
        <f t="shared" ref="Q353:S353" si="359">+F353</f>
        <v>7-Dépenses</v>
      </c>
      <c r="R353" s="655" t="str">
        <f t="shared" si="359"/>
        <v>6193</v>
      </c>
      <c r="S353" s="656">
        <f t="shared" si="359"/>
        <v>0</v>
      </c>
      <c r="T353" s="658" t="str">
        <f>+VLOOKUP($L353,Data_Validation!$A:$D,1,0)</f>
        <v>6293</v>
      </c>
      <c r="U353" s="658" t="str">
        <f>+VLOOKUP($L353,Data_Validation!$A:$D,3,0)</f>
        <v>Véhicules usagés</v>
      </c>
      <c r="V353" s="658" t="str">
        <f>+VLOOKUP($L353,Data_Validation!$A:$D,4,0)</f>
        <v>Taxes d`affaires</v>
      </c>
      <c r="W353" s="658" t="str">
        <f>+VLOOKUP($L353,Data_Validation!$A:$E,5,0)</f>
        <v>$</v>
      </c>
      <c r="X353" s="658">
        <f>+VLOOKUP($L353,Data_Validation!$A:$F,6,0)</f>
        <v>0</v>
      </c>
    </row>
    <row r="354" spans="1:24" ht="15" customHeight="1">
      <c r="A354" s="1055" t="s">
        <v>1242</v>
      </c>
      <c r="B354" s="1055" t="s">
        <v>2429</v>
      </c>
      <c r="C354" s="1057">
        <v>8082.8</v>
      </c>
      <c r="D354" s="1057">
        <v>734.8</v>
      </c>
      <c r="E354" s="1057">
        <v>8817.6</v>
      </c>
      <c r="F354" s="1055" t="s">
        <v>1156</v>
      </c>
      <c r="G354" s="1055" t="s">
        <v>1226</v>
      </c>
      <c r="H354" s="1032"/>
      <c r="I354" s="1035"/>
      <c r="J354" s="1035"/>
      <c r="K354" s="1035"/>
      <c r="L354" s="655" t="str">
        <f t="shared" si="328"/>
        <v>6294</v>
      </c>
      <c r="M354" s="656" t="str">
        <f t="shared" si="260"/>
        <v>FRAIS PROFESSIONNEL-USAGE</v>
      </c>
      <c r="N354" s="657">
        <f>+IF(OR($Q354=Parametres!$G$2,$Q354=Parametres!$G$3),I354,C354)</f>
        <v>8082.8</v>
      </c>
      <c r="O354" s="657">
        <f>+IF(OR($Q354=Parametres!$G$2,$Q354=Parametres!$G$3),J354,D354)</f>
        <v>734.8</v>
      </c>
      <c r="P354" s="657">
        <f>+IF(OR($Q354=Parametres!$G$2,$Q354=Parametres!$G$3),K354,E354)</f>
        <v>8817.6</v>
      </c>
      <c r="Q354" s="656" t="str">
        <f t="shared" ref="Q354:S354" si="360">+F354</f>
        <v>7-Dépenses</v>
      </c>
      <c r="R354" s="655" t="str">
        <f t="shared" si="360"/>
        <v>6194</v>
      </c>
      <c r="S354" s="656">
        <f t="shared" si="360"/>
        <v>0</v>
      </c>
      <c r="T354" s="658" t="str">
        <f>+VLOOKUP($L354,Data_Validation!$A:$D,1,0)</f>
        <v>6294</v>
      </c>
      <c r="U354" s="658" t="str">
        <f>+VLOOKUP($L354,Data_Validation!$A:$D,3,0)</f>
        <v>Véhicules usagés</v>
      </c>
      <c r="V354" s="658" t="str">
        <f>+VLOOKUP($L354,Data_Validation!$A:$D,4,0)</f>
        <v>Honoraires</v>
      </c>
      <c r="W354" s="658" t="str">
        <f>+VLOOKUP($L354,Data_Validation!$A:$E,5,0)</f>
        <v>$</v>
      </c>
      <c r="X354" s="658">
        <f>+VLOOKUP($L354,Data_Validation!$A:$F,6,0)</f>
        <v>0</v>
      </c>
    </row>
    <row r="355" spans="1:24" ht="15" customHeight="1">
      <c r="A355" s="1055" t="s">
        <v>1243</v>
      </c>
      <c r="B355" s="1055" t="s">
        <v>2432</v>
      </c>
      <c r="C355" s="1057">
        <v>31136.54</v>
      </c>
      <c r="D355" s="1057">
        <v>3968.13</v>
      </c>
      <c r="E355" s="1057">
        <v>35104.67</v>
      </c>
      <c r="F355" s="1055" t="s">
        <v>1156</v>
      </c>
      <c r="G355" s="1055" t="s">
        <v>1244</v>
      </c>
      <c r="H355" s="1032"/>
      <c r="I355" s="1035"/>
      <c r="J355" s="1035"/>
      <c r="K355" s="1035"/>
      <c r="L355" s="655" t="str">
        <f t="shared" si="328"/>
        <v>6403</v>
      </c>
      <c r="M355" s="656" t="str">
        <f t="shared" si="260"/>
        <v>RELAT. A LA CLIENTELE &amp; AJUST</v>
      </c>
      <c r="N355" s="657">
        <f>+IF(OR($Q355=Parametres!$G$2,$Q355=Parametres!$G$3),I355,C355)</f>
        <v>31136.54</v>
      </c>
      <c r="O355" s="657">
        <f>+IF(OR($Q355=Parametres!$G$2,$Q355=Parametres!$G$3),J355,D355)</f>
        <v>3968.13</v>
      </c>
      <c r="P355" s="657">
        <f>+IF(OR($Q355=Parametres!$G$2,$Q355=Parametres!$G$3),K355,E355)</f>
        <v>35104.67</v>
      </c>
      <c r="Q355" s="656" t="str">
        <f t="shared" ref="Q355:S355" si="361">+F355</f>
        <v>7-Dépenses</v>
      </c>
      <c r="R355" s="655" t="str">
        <f t="shared" si="361"/>
        <v>6112</v>
      </c>
      <c r="S355" s="656">
        <f t="shared" si="361"/>
        <v>0</v>
      </c>
      <c r="T355" s="658" t="str">
        <f>+VLOOKUP($L355,Data_Validation!$A:$D,1,0)</f>
        <v>6403</v>
      </c>
      <c r="U355" s="658" t="str">
        <f>+VLOOKUP($L355,Data_Validation!$A:$D,3,0)</f>
        <v>Service</v>
      </c>
      <c r="V355" s="658" t="str">
        <f>+VLOOKUP($L355,Data_Validation!$A:$D,4,0)</f>
        <v>Service gratuit 2</v>
      </c>
      <c r="W355" s="658" t="str">
        <f>+VLOOKUP($L355,Data_Validation!$A:$E,5,0)</f>
        <v>$</v>
      </c>
      <c r="X355" s="658">
        <f>+VLOOKUP($L355,Data_Validation!$A:$F,6,0)</f>
        <v>0</v>
      </c>
    </row>
    <row r="356" spans="1:24" ht="15" customHeight="1">
      <c r="A356" s="1055" t="s">
        <v>1245</v>
      </c>
      <c r="B356" s="1055" t="s">
        <v>2435</v>
      </c>
      <c r="C356" s="1057">
        <v>701.93</v>
      </c>
      <c r="D356" s="1057">
        <v>-22.28</v>
      </c>
      <c r="E356" s="1057">
        <v>679.65</v>
      </c>
      <c r="F356" s="1055" t="s">
        <v>1156</v>
      </c>
      <c r="G356" s="1055" t="s">
        <v>1244</v>
      </c>
      <c r="H356" s="1032"/>
      <c r="I356" s="1035"/>
      <c r="J356" s="1035"/>
      <c r="K356" s="1035"/>
      <c r="L356" s="655" t="str">
        <f t="shared" si="328"/>
        <v>6412</v>
      </c>
      <c r="M356" s="656" t="str">
        <f t="shared" si="260"/>
        <v>AUTORISATION &amp; GAR./VEH. USA</v>
      </c>
      <c r="N356" s="657">
        <f>+IF(OR($Q356=Parametres!$G$2,$Q356=Parametres!$G$3),I356,C356)</f>
        <v>701.93</v>
      </c>
      <c r="O356" s="657">
        <f>+IF(OR($Q356=Parametres!$G$2,$Q356=Parametres!$G$3),J356,D356)</f>
        <v>-22.28</v>
      </c>
      <c r="P356" s="657">
        <f>+IF(OR($Q356=Parametres!$G$2,$Q356=Parametres!$G$3),K356,E356)</f>
        <v>679.65</v>
      </c>
      <c r="Q356" s="656" t="str">
        <f t="shared" ref="Q356:S356" si="362">+F356</f>
        <v>7-Dépenses</v>
      </c>
      <c r="R356" s="655" t="str">
        <f t="shared" si="362"/>
        <v>6112</v>
      </c>
      <c r="S356" s="656">
        <f t="shared" si="362"/>
        <v>0</v>
      </c>
      <c r="T356" s="658" t="str">
        <f>+VLOOKUP($L356,Data_Validation!$A:$D,1,0)</f>
        <v>6412</v>
      </c>
      <c r="U356" s="658" t="str">
        <f>+VLOOKUP($L356,Data_Validation!$A:$D,3,0)</f>
        <v>Service</v>
      </c>
      <c r="V356" s="658" t="str">
        <f>+VLOOKUP($L356,Data_Validation!$A:$D,4,0)</f>
        <v>Service gratuit 2</v>
      </c>
      <c r="W356" s="658" t="str">
        <f>+VLOOKUP($L356,Data_Validation!$A:$E,5,0)</f>
        <v>$</v>
      </c>
      <c r="X356" s="658">
        <f>+VLOOKUP($L356,Data_Validation!$A:$F,6,0)</f>
        <v>0</v>
      </c>
    </row>
    <row r="357" spans="1:24" ht="15" customHeight="1">
      <c r="A357" s="1055" t="s">
        <v>1168</v>
      </c>
      <c r="B357" s="1055" t="s">
        <v>2438</v>
      </c>
      <c r="C357" s="1057">
        <v>122101.18</v>
      </c>
      <c r="D357" s="1057">
        <v>10808.55</v>
      </c>
      <c r="E357" s="1057">
        <v>132909.73000000001</v>
      </c>
      <c r="F357" s="1055" t="s">
        <v>1156</v>
      </c>
      <c r="G357" s="1055" t="s">
        <v>1169</v>
      </c>
      <c r="H357" s="1032"/>
      <c r="I357" s="1035"/>
      <c r="J357" s="1035"/>
      <c r="K357" s="1035"/>
      <c r="L357" s="655" t="str">
        <f t="shared" si="328"/>
        <v>6414</v>
      </c>
      <c r="M357" s="656" t="str">
        <f t="shared" si="260"/>
        <v>PUBLICITE</v>
      </c>
      <c r="N357" s="657">
        <f>+IF(OR($Q357=Parametres!$G$2,$Q357=Parametres!$G$3),I357,C357)</f>
        <v>122101.18</v>
      </c>
      <c r="O357" s="657">
        <f>+IF(OR($Q357=Parametres!$G$2,$Q357=Parametres!$G$3),J357,D357)</f>
        <v>10808.55</v>
      </c>
      <c r="P357" s="657">
        <f>+IF(OR($Q357=Parametres!$G$2,$Q357=Parametres!$G$3),K357,E357)</f>
        <v>132909.73000000001</v>
      </c>
      <c r="Q357" s="656" t="str">
        <f t="shared" ref="Q357:S357" si="363">+F357</f>
        <v>7-Dépenses</v>
      </c>
      <c r="R357" s="655" t="str">
        <f t="shared" si="363"/>
        <v>6114</v>
      </c>
      <c r="S357" s="656">
        <f t="shared" si="363"/>
        <v>0</v>
      </c>
      <c r="T357" s="658" t="str">
        <f>+VLOOKUP($L357,Data_Validation!$A:$D,1,0)</f>
        <v>6414</v>
      </c>
      <c r="U357" s="658" t="str">
        <f>+VLOOKUP($L357,Data_Validation!$A:$D,3,0)</f>
        <v>Service</v>
      </c>
      <c r="V357" s="658" t="str">
        <f>+VLOOKUP($L357,Data_Validation!$A:$D,4,0)</f>
        <v>Publicité 2</v>
      </c>
      <c r="W357" s="658" t="str">
        <f>+VLOOKUP($L357,Data_Validation!$A:$E,5,0)</f>
        <v>$</v>
      </c>
      <c r="X357" s="658">
        <f>+VLOOKUP($L357,Data_Validation!$A:$F,6,0)</f>
        <v>0</v>
      </c>
    </row>
    <row r="358" spans="1:24" ht="15.75" customHeight="1">
      <c r="A358" s="1055" t="s">
        <v>1171</v>
      </c>
      <c r="B358" s="1055" t="s">
        <v>2441</v>
      </c>
      <c r="C358" s="1057">
        <v>40046.239999999998</v>
      </c>
      <c r="D358" s="1057">
        <v>4184.87</v>
      </c>
      <c r="E358" s="1057">
        <v>44231.11</v>
      </c>
      <c r="F358" s="1055" t="s">
        <v>1156</v>
      </c>
      <c r="G358" s="1055" t="s">
        <v>1172</v>
      </c>
      <c r="H358" s="1032"/>
      <c r="I358" s="1035"/>
      <c r="J358" s="1035"/>
      <c r="K358" s="1035"/>
      <c r="L358" s="655" t="str">
        <f t="shared" si="328"/>
        <v>6421</v>
      </c>
      <c r="M358" s="656" t="str">
        <f t="shared" si="260"/>
        <v>SALAIRES - PROPRIETAIRES</v>
      </c>
      <c r="N358" s="657">
        <f>+IF(OR($Q358=Parametres!$G$2,$Q358=Parametres!$G$3),I358,C358)</f>
        <v>40046.239999999998</v>
      </c>
      <c r="O358" s="657">
        <f>+IF(OR($Q358=Parametres!$G$2,$Q358=Parametres!$G$3),J358,D358)</f>
        <v>4184.87</v>
      </c>
      <c r="P358" s="657">
        <f>+IF(OR($Q358=Parametres!$G$2,$Q358=Parametres!$G$3),K358,E358)</f>
        <v>44231.11</v>
      </c>
      <c r="Q358" s="656" t="str">
        <f t="shared" ref="Q358:S358" si="364">+F358</f>
        <v>7-Dépenses</v>
      </c>
      <c r="R358" s="655" t="str">
        <f t="shared" si="364"/>
        <v>6121</v>
      </c>
      <c r="S358" s="656">
        <f t="shared" si="364"/>
        <v>0</v>
      </c>
      <c r="T358" s="658" t="str">
        <f>+VLOOKUP($L358,Data_Validation!$A:$D,1,0)</f>
        <v>6421</v>
      </c>
      <c r="U358" s="658" t="str">
        <f>+VLOOKUP($L358,Data_Validation!$A:$D,3,0)</f>
        <v>Service</v>
      </c>
      <c r="V358" s="658" t="str">
        <f>+VLOOKUP($L358,Data_Validation!$A:$D,4,0)</f>
        <v>Salaires propriétaire</v>
      </c>
      <c r="W358" s="658" t="str">
        <f>+VLOOKUP($L358,Data_Validation!$A:$E,5,0)</f>
        <v>$</v>
      </c>
      <c r="X358" s="658">
        <f>+VLOOKUP($L358,Data_Validation!$A:$F,6,0)</f>
        <v>0</v>
      </c>
    </row>
    <row r="359" spans="1:24" ht="15" customHeight="1">
      <c r="A359" s="1055" t="s">
        <v>1173</v>
      </c>
      <c r="B359" s="1055" t="s">
        <v>2444</v>
      </c>
      <c r="C359" s="1057">
        <v>108686.24</v>
      </c>
      <c r="D359" s="1057">
        <v>10130.92</v>
      </c>
      <c r="E359" s="1057">
        <v>118817.16</v>
      </c>
      <c r="F359" s="1055" t="s">
        <v>1156</v>
      </c>
      <c r="G359" s="1055" t="s">
        <v>1174</v>
      </c>
      <c r="H359" s="1032"/>
      <c r="I359" s="1035"/>
      <c r="J359" s="1035"/>
      <c r="K359" s="1035"/>
      <c r="L359" s="655" t="str">
        <f t="shared" si="328"/>
        <v>6422</v>
      </c>
      <c r="M359" s="656" t="str">
        <f t="shared" si="260"/>
        <v>SAL SUPERVISION / GERANT</v>
      </c>
      <c r="N359" s="657">
        <f>+IF(OR($Q359=Parametres!$G$2,$Q359=Parametres!$G$3),I359,C359)</f>
        <v>108686.24</v>
      </c>
      <c r="O359" s="657">
        <f>+IF(OR($Q359=Parametres!$G$2,$Q359=Parametres!$G$3),J359,D359)</f>
        <v>10130.92</v>
      </c>
      <c r="P359" s="657">
        <f>+IF(OR($Q359=Parametres!$G$2,$Q359=Parametres!$G$3),K359,E359)</f>
        <v>118817.16</v>
      </c>
      <c r="Q359" s="656" t="str">
        <f t="shared" ref="Q359:S359" si="365">+F359</f>
        <v>7-Dépenses</v>
      </c>
      <c r="R359" s="655" t="str">
        <f t="shared" si="365"/>
        <v>6122</v>
      </c>
      <c r="S359" s="656">
        <f t="shared" si="365"/>
        <v>0</v>
      </c>
      <c r="T359" s="658" t="str">
        <f>+VLOOKUP($L359,Data_Validation!$A:$D,1,0)</f>
        <v>6422</v>
      </c>
      <c r="U359" s="658" t="str">
        <f>+VLOOKUP($L359,Data_Validation!$A:$D,3,0)</f>
        <v>Service</v>
      </c>
      <c r="V359" s="658" t="str">
        <f>+VLOOKUP($L359,Data_Validation!$A:$D,4,0)</f>
        <v>Salaires cadres</v>
      </c>
      <c r="W359" s="658" t="str">
        <f>+VLOOKUP($L359,Data_Validation!$A:$E,5,0)</f>
        <v>$</v>
      </c>
      <c r="X359" s="658">
        <f>+VLOOKUP($L359,Data_Validation!$A:$F,6,0)</f>
        <v>0</v>
      </c>
    </row>
    <row r="360" spans="1:24" ht="15" customHeight="1">
      <c r="A360" s="1055" t="s">
        <v>1246</v>
      </c>
      <c r="B360" s="1055" t="s">
        <v>2447</v>
      </c>
      <c r="C360" s="1057">
        <v>86725.91</v>
      </c>
      <c r="D360" s="1057">
        <v>7284.98</v>
      </c>
      <c r="E360" s="1057">
        <v>94010.89</v>
      </c>
      <c r="F360" s="1055" t="s">
        <v>1156</v>
      </c>
      <c r="G360" s="1055" t="s">
        <v>1176</v>
      </c>
      <c r="H360" s="1032"/>
      <c r="I360" s="1035"/>
      <c r="J360" s="1035"/>
      <c r="K360" s="1035"/>
      <c r="L360" s="655" t="str">
        <f t="shared" si="328"/>
        <v>6423</v>
      </c>
      <c r="M360" s="656" t="str">
        <f t="shared" si="260"/>
        <v>SAL. &amp; RENUM. CLERICAL</v>
      </c>
      <c r="N360" s="657">
        <f>+IF(OR($Q360=Parametres!$G$2,$Q360=Parametres!$G$3),I360,C360)</f>
        <v>86725.91</v>
      </c>
      <c r="O360" s="657">
        <f>+IF(OR($Q360=Parametres!$G$2,$Q360=Parametres!$G$3),J360,D360)</f>
        <v>7284.98</v>
      </c>
      <c r="P360" s="657">
        <f>+IF(OR($Q360=Parametres!$G$2,$Q360=Parametres!$G$3),K360,E360)</f>
        <v>94010.89</v>
      </c>
      <c r="Q360" s="656" t="str">
        <f t="shared" ref="Q360:S360" si="366">+F360</f>
        <v>7-Dépenses</v>
      </c>
      <c r="R360" s="655" t="str">
        <f t="shared" si="366"/>
        <v>6123</v>
      </c>
      <c r="S360" s="656">
        <f t="shared" si="366"/>
        <v>0</v>
      </c>
      <c r="T360" s="658" t="str">
        <f>+VLOOKUP($L360,Data_Validation!$A:$D,1,0)</f>
        <v>6423</v>
      </c>
      <c r="U360" s="658" t="str">
        <f>+VLOOKUP($L360,Data_Validation!$A:$D,3,0)</f>
        <v>Service</v>
      </c>
      <c r="V360" s="658" t="str">
        <f>+VLOOKUP($L360,Data_Validation!$A:$D,4,0)</f>
        <v>Salaires commis</v>
      </c>
      <c r="W360" s="658" t="str">
        <f>+VLOOKUP($L360,Data_Validation!$A:$E,5,0)</f>
        <v>$</v>
      </c>
      <c r="X360" s="658">
        <f>+VLOOKUP($L360,Data_Validation!$A:$F,6,0)</f>
        <v>0</v>
      </c>
    </row>
    <row r="361" spans="1:24" ht="15" customHeight="1">
      <c r="A361" s="1055" t="s">
        <v>1177</v>
      </c>
      <c r="B361" s="1055" t="s">
        <v>2450</v>
      </c>
      <c r="C361" s="1057">
        <v>222448.85</v>
      </c>
      <c r="D361" s="1057">
        <v>15114.01</v>
      </c>
      <c r="E361" s="1057">
        <v>237562.86</v>
      </c>
      <c r="F361" s="1055" t="s">
        <v>1156</v>
      </c>
      <c r="G361" s="1055" t="s">
        <v>1178</v>
      </c>
      <c r="H361" s="1032"/>
      <c r="I361" s="1035"/>
      <c r="J361" s="1035"/>
      <c r="K361" s="1035"/>
      <c r="L361" s="655" t="str">
        <f t="shared" si="328"/>
        <v>6424</v>
      </c>
      <c r="M361" s="656" t="str">
        <f t="shared" si="260"/>
        <v>SALAIRES &amp; RENUM. - AUTRES</v>
      </c>
      <c r="N361" s="657">
        <f>+IF(OR($Q361=Parametres!$G$2,$Q361=Parametres!$G$3),I361,C361)</f>
        <v>222448.85</v>
      </c>
      <c r="O361" s="657">
        <f>+IF(OR($Q361=Parametres!$G$2,$Q361=Parametres!$G$3),J361,D361)</f>
        <v>15114.01</v>
      </c>
      <c r="P361" s="657">
        <f>+IF(OR($Q361=Parametres!$G$2,$Q361=Parametres!$G$3),K361,E361)</f>
        <v>237562.86</v>
      </c>
      <c r="Q361" s="656" t="str">
        <f t="shared" ref="Q361:S361" si="367">+F361</f>
        <v>7-Dépenses</v>
      </c>
      <c r="R361" s="655" t="str">
        <f t="shared" si="367"/>
        <v>6124</v>
      </c>
      <c r="S361" s="656">
        <f t="shared" si="367"/>
        <v>0</v>
      </c>
      <c r="T361" s="658" t="str">
        <f>+VLOOKUP($L361,Data_Validation!$A:$D,1,0)</f>
        <v>6424</v>
      </c>
      <c r="U361" s="658" t="str">
        <f>+VLOOKUP($L361,Data_Validation!$A:$D,3,0)</f>
        <v>Service</v>
      </c>
      <c r="V361" s="658" t="str">
        <f>+VLOOKUP($L361,Data_Validation!$A:$D,4,0)</f>
        <v>Salaires autres</v>
      </c>
      <c r="W361" s="658" t="str">
        <f>+VLOOKUP($L361,Data_Validation!$A:$E,5,0)</f>
        <v>$</v>
      </c>
      <c r="X361" s="658">
        <f>+VLOOKUP($L361,Data_Validation!$A:$F,6,0)</f>
        <v>0</v>
      </c>
    </row>
    <row r="362" spans="1:24" ht="15.75" customHeight="1">
      <c r="A362" s="1055" t="s">
        <v>1247</v>
      </c>
      <c r="B362" s="1055" t="s">
        <v>2453</v>
      </c>
      <c r="C362" s="1057">
        <v>320279.23</v>
      </c>
      <c r="D362" s="1057">
        <v>34633.07</v>
      </c>
      <c r="E362" s="1057">
        <v>354912.3</v>
      </c>
      <c r="F362" s="1055" t="s">
        <v>1156</v>
      </c>
      <c r="G362" s="1055" t="s">
        <v>1248</v>
      </c>
      <c r="H362" s="1032"/>
      <c r="I362" s="1035"/>
      <c r="J362" s="1035"/>
      <c r="K362" s="1035"/>
      <c r="L362" s="655" t="str">
        <f t="shared" si="328"/>
        <v>6425</v>
      </c>
      <c r="M362" s="656" t="str">
        <f t="shared" si="260"/>
        <v>SALAIRE SPECIALISTES</v>
      </c>
      <c r="N362" s="657">
        <f>+IF(OR($Q362=Parametres!$G$2,$Q362=Parametres!$G$3),I362,C362)</f>
        <v>320279.23</v>
      </c>
      <c r="O362" s="657">
        <f>+IF(OR($Q362=Parametres!$G$2,$Q362=Parametres!$G$3),J362,D362)</f>
        <v>34633.07</v>
      </c>
      <c r="P362" s="657">
        <f>+IF(OR($Q362=Parametres!$G$2,$Q362=Parametres!$G$3),K362,E362)</f>
        <v>354912.3</v>
      </c>
      <c r="Q362" s="656" t="str">
        <f t="shared" ref="Q362:S362" si="368">+F362</f>
        <v>7-Dépenses</v>
      </c>
      <c r="R362" s="655" t="str">
        <f t="shared" si="368"/>
        <v>6125</v>
      </c>
      <c r="S362" s="656">
        <f t="shared" si="368"/>
        <v>0</v>
      </c>
      <c r="T362" s="658" t="str">
        <f>+VLOOKUP($L362,Data_Validation!$A:$D,1,0)</f>
        <v>6425</v>
      </c>
      <c r="U362" s="658" t="str">
        <f>+VLOOKUP($L362,Data_Validation!$A:$D,3,0)</f>
        <v>Service</v>
      </c>
      <c r="V362" s="658" t="str">
        <f>+VLOOKUP($L362,Data_Validation!$A:$D,4,0)</f>
        <v>Salaires spécialistes</v>
      </c>
      <c r="W362" s="658" t="str">
        <f>+VLOOKUP($L362,Data_Validation!$A:$E,5,0)</f>
        <v>$</v>
      </c>
      <c r="X362" s="658">
        <f>+VLOOKUP($L362,Data_Validation!$A:$F,6,0)</f>
        <v>0</v>
      </c>
    </row>
    <row r="363" spans="1:24" ht="15.75" customHeight="1">
      <c r="A363" s="1055" t="s">
        <v>1249</v>
      </c>
      <c r="B363" s="1055" t="s">
        <v>2456</v>
      </c>
      <c r="C363" s="1057">
        <v>168727.9</v>
      </c>
      <c r="D363" s="1057">
        <v>40715.89</v>
      </c>
      <c r="E363" s="1057">
        <v>209443.79</v>
      </c>
      <c r="F363" s="1055" t="s">
        <v>1156</v>
      </c>
      <c r="G363" s="1055" t="s">
        <v>1180</v>
      </c>
      <c r="H363" s="1032"/>
      <c r="I363" s="1035"/>
      <c r="J363" s="1035"/>
      <c r="K363" s="1035"/>
      <c r="L363" s="655" t="str">
        <f t="shared" si="328"/>
        <v>6429</v>
      </c>
      <c r="M363" s="656" t="str">
        <f t="shared" si="260"/>
        <v>SAL.,VACANCE, &amp; SAL. JOURS FER</v>
      </c>
      <c r="N363" s="657">
        <f>+IF(OR($Q363=Parametres!$G$2,$Q363=Parametres!$G$3),I363,C363)</f>
        <v>168727.9</v>
      </c>
      <c r="O363" s="657">
        <f>+IF(OR($Q363=Parametres!$G$2,$Q363=Parametres!$G$3),J363,D363)</f>
        <v>40715.89</v>
      </c>
      <c r="P363" s="657">
        <f>+IF(OR($Q363=Parametres!$G$2,$Q363=Parametres!$G$3),K363,E363)</f>
        <v>209443.79</v>
      </c>
      <c r="Q363" s="656" t="str">
        <f t="shared" ref="Q363:S363" si="369">+F363</f>
        <v>7-Dépenses</v>
      </c>
      <c r="R363" s="655" t="str">
        <f t="shared" si="369"/>
        <v>6129</v>
      </c>
      <c r="S363" s="656">
        <f t="shared" si="369"/>
        <v>0</v>
      </c>
      <c r="T363" s="658" t="str">
        <f>+VLOOKUP($L363,Data_Validation!$A:$D,1,0)</f>
        <v>6429</v>
      </c>
      <c r="U363" s="658" t="str">
        <f>+VLOOKUP($L363,Data_Validation!$A:$D,3,0)</f>
        <v>Service</v>
      </c>
      <c r="V363" s="658" t="str">
        <f>+VLOOKUP($L363,Data_Validation!$A:$D,4,0)</f>
        <v>Salaires en absences</v>
      </c>
      <c r="W363" s="658" t="str">
        <f>+VLOOKUP($L363,Data_Validation!$A:$E,5,0)</f>
        <v>$</v>
      </c>
      <c r="X363" s="658">
        <f>+VLOOKUP($L363,Data_Validation!$A:$F,6,0)</f>
        <v>0</v>
      </c>
    </row>
    <row r="364" spans="1:24" ht="15" customHeight="1">
      <c r="A364" s="1055" t="s">
        <v>1181</v>
      </c>
      <c r="B364" s="1055" t="s">
        <v>2459</v>
      </c>
      <c r="C364" s="1057">
        <v>50044.19</v>
      </c>
      <c r="D364" s="1057">
        <v>13474.23</v>
      </c>
      <c r="E364" s="1057">
        <v>63518.42</v>
      </c>
      <c r="F364" s="1055" t="s">
        <v>1156</v>
      </c>
      <c r="G364" s="1055" t="s">
        <v>1182</v>
      </c>
      <c r="H364" s="1032"/>
      <c r="I364" s="1035"/>
      <c r="J364" s="1035"/>
      <c r="K364" s="1035"/>
      <c r="L364" s="655" t="str">
        <f t="shared" si="328"/>
        <v>6431</v>
      </c>
      <c r="M364" s="656" t="str">
        <f t="shared" si="260"/>
        <v>CSST</v>
      </c>
      <c r="N364" s="657">
        <f>+IF(OR($Q364=Parametres!$G$2,$Q364=Parametres!$G$3),I364,C364)</f>
        <v>50044.19</v>
      </c>
      <c r="O364" s="657">
        <f>+IF(OR($Q364=Parametres!$G$2,$Q364=Parametres!$G$3),J364,D364)</f>
        <v>13474.23</v>
      </c>
      <c r="P364" s="657">
        <f>+IF(OR($Q364=Parametres!$G$2,$Q364=Parametres!$G$3),K364,E364)</f>
        <v>63518.42</v>
      </c>
      <c r="Q364" s="656" t="str">
        <f t="shared" ref="Q364:S364" si="370">+F364</f>
        <v>7-Dépenses</v>
      </c>
      <c r="R364" s="655" t="str">
        <f t="shared" si="370"/>
        <v>6131</v>
      </c>
      <c r="S364" s="656">
        <f t="shared" si="370"/>
        <v>0</v>
      </c>
      <c r="T364" s="658" t="str">
        <f>+VLOOKUP($L364,Data_Validation!$A:$D,1,0)</f>
        <v>6431</v>
      </c>
      <c r="U364" s="658" t="str">
        <f>+VLOOKUP($L364,Data_Validation!$A:$D,3,0)</f>
        <v>Service</v>
      </c>
      <c r="V364" s="658" t="str">
        <f>+VLOOKUP($L364,Data_Validation!$A:$D,4,0)</f>
        <v>Csst</v>
      </c>
      <c r="W364" s="658" t="str">
        <f>+VLOOKUP($L364,Data_Validation!$A:$E,5,0)</f>
        <v>$</v>
      </c>
      <c r="X364" s="658">
        <f>+VLOOKUP($L364,Data_Validation!$A:$F,6,0)</f>
        <v>0</v>
      </c>
    </row>
    <row r="365" spans="1:24" ht="15" customHeight="1">
      <c r="A365" s="1055" t="s">
        <v>1183</v>
      </c>
      <c r="B365" s="1055" t="s">
        <v>2462</v>
      </c>
      <c r="C365" s="1057">
        <v>178263.07</v>
      </c>
      <c r="D365" s="1057">
        <v>21128.01</v>
      </c>
      <c r="E365" s="1057">
        <v>199391.08</v>
      </c>
      <c r="F365" s="1055" t="s">
        <v>1156</v>
      </c>
      <c r="G365" s="1055" t="s">
        <v>1184</v>
      </c>
      <c r="H365" s="1032"/>
      <c r="I365" s="1035"/>
      <c r="J365" s="1035"/>
      <c r="K365" s="1035"/>
      <c r="L365" s="655" t="str">
        <f t="shared" si="328"/>
        <v>6432</v>
      </c>
      <c r="M365" s="656" t="str">
        <f t="shared" si="260"/>
        <v>RRQ RAMQ AC</v>
      </c>
      <c r="N365" s="657">
        <f>+IF(OR($Q365=Parametres!$G$2,$Q365=Parametres!$G$3),I365,C365)</f>
        <v>178263.07</v>
      </c>
      <c r="O365" s="657">
        <f>+IF(OR($Q365=Parametres!$G$2,$Q365=Parametres!$G$3),J365,D365)</f>
        <v>21128.01</v>
      </c>
      <c r="P365" s="657">
        <f>+IF(OR($Q365=Parametres!$G$2,$Q365=Parametres!$G$3),K365,E365)</f>
        <v>199391.08</v>
      </c>
      <c r="Q365" s="656" t="str">
        <f t="shared" ref="Q365:S365" si="371">+F365</f>
        <v>7-Dépenses</v>
      </c>
      <c r="R365" s="655" t="str">
        <f t="shared" si="371"/>
        <v>6132</v>
      </c>
      <c r="S365" s="656">
        <f t="shared" si="371"/>
        <v>0</v>
      </c>
      <c r="T365" s="658" t="str">
        <f>+VLOOKUP($L365,Data_Validation!$A:$D,1,0)</f>
        <v>6432</v>
      </c>
      <c r="U365" s="658" t="str">
        <f>+VLOOKUP($L365,Data_Validation!$A:$D,3,0)</f>
        <v>Service</v>
      </c>
      <c r="V365" s="658" t="str">
        <f>+VLOOKUP($L365,Data_Validation!$A:$D,4,0)</f>
        <v>Déduction à la source</v>
      </c>
      <c r="W365" s="658" t="str">
        <f>+VLOOKUP($L365,Data_Validation!$A:$E,5,0)</f>
        <v>$</v>
      </c>
      <c r="X365" s="658">
        <f>+VLOOKUP($L365,Data_Validation!$A:$F,6,0)</f>
        <v>0</v>
      </c>
    </row>
    <row r="366" spans="1:24" ht="15" customHeight="1">
      <c r="A366" s="1055" t="s">
        <v>1250</v>
      </c>
      <c r="B366" s="1055" t="s">
        <v>2465</v>
      </c>
      <c r="C366" s="1057">
        <v>3194.34</v>
      </c>
      <c r="D366" s="1057">
        <v>2880.8</v>
      </c>
      <c r="E366" s="1057">
        <v>6075.14</v>
      </c>
      <c r="F366" s="1055" t="s">
        <v>1156</v>
      </c>
      <c r="G366" s="1055" t="s">
        <v>1186</v>
      </c>
      <c r="H366" s="1032"/>
      <c r="I366" s="1035"/>
      <c r="J366" s="1035"/>
      <c r="K366" s="1035"/>
      <c r="L366" s="655" t="str">
        <f t="shared" si="328"/>
        <v>6433</v>
      </c>
      <c r="M366" s="656" t="str">
        <f t="shared" si="260"/>
        <v>FOND PENSION - SERVICE</v>
      </c>
      <c r="N366" s="657">
        <f>+IF(OR($Q366=Parametres!$G$2,$Q366=Parametres!$G$3),I366,C366)</f>
        <v>3194.34</v>
      </c>
      <c r="O366" s="657">
        <f>+IF(OR($Q366=Parametres!$G$2,$Q366=Parametres!$G$3),J366,D366)</f>
        <v>2880.8</v>
      </c>
      <c r="P366" s="657">
        <f>+IF(OR($Q366=Parametres!$G$2,$Q366=Parametres!$G$3),K366,E366)</f>
        <v>6075.14</v>
      </c>
      <c r="Q366" s="656" t="str">
        <f t="shared" ref="Q366:S366" si="372">+F366</f>
        <v>7-Dépenses</v>
      </c>
      <c r="R366" s="655" t="str">
        <f t="shared" si="372"/>
        <v>6133</v>
      </c>
      <c r="S366" s="656">
        <f t="shared" si="372"/>
        <v>0</v>
      </c>
      <c r="T366" s="658" t="str">
        <f>+VLOOKUP($L366,Data_Validation!$A:$D,1,0)</f>
        <v>6433</v>
      </c>
      <c r="U366" s="658" t="str">
        <f>+VLOOKUP($L366,Data_Validation!$A:$D,3,0)</f>
        <v>Service</v>
      </c>
      <c r="V366" s="658" t="str">
        <f>+VLOOKUP($L366,Data_Validation!$A:$D,4,0)</f>
        <v>Bénéfices marginaux</v>
      </c>
      <c r="W366" s="658" t="str">
        <f>+VLOOKUP($L366,Data_Validation!$A:$E,5,0)</f>
        <v>$</v>
      </c>
      <c r="X366" s="658">
        <f>+VLOOKUP($L366,Data_Validation!$A:$F,6,0)</f>
        <v>0</v>
      </c>
    </row>
    <row r="367" spans="1:24" ht="15" customHeight="1">
      <c r="A367" s="1055" t="s">
        <v>1233</v>
      </c>
      <c r="B367" s="1055" t="s">
        <v>2468</v>
      </c>
      <c r="C367" s="1057">
        <v>60907.26</v>
      </c>
      <c r="D367" s="1057">
        <v>5108.53</v>
      </c>
      <c r="E367" s="1057">
        <v>66015.789999999994</v>
      </c>
      <c r="F367" s="1055" t="s">
        <v>1156</v>
      </c>
      <c r="G367" s="1055" t="s">
        <v>1188</v>
      </c>
      <c r="H367" s="1032"/>
      <c r="I367" s="1035"/>
      <c r="J367" s="1035"/>
      <c r="K367" s="1035"/>
      <c r="L367" s="655" t="str">
        <f t="shared" si="328"/>
        <v>6439</v>
      </c>
      <c r="M367" s="656" t="str">
        <f t="shared" si="260"/>
        <v>ASSURANCE GROUPE</v>
      </c>
      <c r="N367" s="657">
        <f>+IF(OR($Q367=Parametres!$G$2,$Q367=Parametres!$G$3),I367,C367)</f>
        <v>60907.26</v>
      </c>
      <c r="O367" s="657">
        <f>+IF(OR($Q367=Parametres!$G$2,$Q367=Parametres!$G$3),J367,D367)</f>
        <v>5108.53</v>
      </c>
      <c r="P367" s="657">
        <f>+IF(OR($Q367=Parametres!$G$2,$Q367=Parametres!$G$3),K367,E367)</f>
        <v>66015.789999999994</v>
      </c>
      <c r="Q367" s="656" t="str">
        <f t="shared" ref="Q367:S367" si="373">+F367</f>
        <v>7-Dépenses</v>
      </c>
      <c r="R367" s="655" t="str">
        <f t="shared" si="373"/>
        <v>6139</v>
      </c>
      <c r="S367" s="656">
        <f t="shared" si="373"/>
        <v>0</v>
      </c>
      <c r="T367" s="658" t="str">
        <f>+VLOOKUP($L367,Data_Validation!$A:$D,1,0)</f>
        <v>6439</v>
      </c>
      <c r="U367" s="658" t="str">
        <f>+VLOOKUP($L367,Data_Validation!$A:$D,3,0)</f>
        <v>Service</v>
      </c>
      <c r="V367" s="658" t="str">
        <f>+VLOOKUP($L367,Data_Validation!$A:$D,4,0)</f>
        <v>Bénéfices marginaux</v>
      </c>
      <c r="W367" s="658" t="str">
        <f>+VLOOKUP($L367,Data_Validation!$A:$E,5,0)</f>
        <v>$</v>
      </c>
      <c r="X367" s="658">
        <f>+VLOOKUP($L367,Data_Validation!$A:$F,6,0)</f>
        <v>0</v>
      </c>
    </row>
    <row r="368" spans="1:24" ht="15" customHeight="1">
      <c r="A368" s="1055" t="s">
        <v>1251</v>
      </c>
      <c r="B368" s="1055" t="s">
        <v>2474</v>
      </c>
      <c r="C368" s="1057">
        <v>7526.67</v>
      </c>
      <c r="D368" s="1057">
        <v>253.25</v>
      </c>
      <c r="E368" s="1057">
        <v>7779.92</v>
      </c>
      <c r="F368" s="1055" t="s">
        <v>1156</v>
      </c>
      <c r="G368" s="1055" t="s">
        <v>1244</v>
      </c>
      <c r="H368" s="1032"/>
      <c r="I368" s="1035"/>
      <c r="J368" s="1035"/>
      <c r="K368" s="1035"/>
      <c r="L368" s="655" t="str">
        <f t="shared" si="328"/>
        <v>6441</v>
      </c>
      <c r="M368" s="656" t="str">
        <f t="shared" si="260"/>
        <v>RETOURS</v>
      </c>
      <c r="N368" s="657">
        <f>+IF(OR($Q368=Parametres!$G$2,$Q368=Parametres!$G$3),I368,C368)</f>
        <v>7526.67</v>
      </c>
      <c r="O368" s="657">
        <f>+IF(OR($Q368=Parametres!$G$2,$Q368=Parametres!$G$3),J368,D368)</f>
        <v>253.25</v>
      </c>
      <c r="P368" s="657">
        <f>+IF(OR($Q368=Parametres!$G$2,$Q368=Parametres!$G$3),K368,E368)</f>
        <v>7779.92</v>
      </c>
      <c r="Q368" s="656" t="str">
        <f t="shared" ref="Q368:S368" si="374">+F368</f>
        <v>7-Dépenses</v>
      </c>
      <c r="R368" s="655" t="str">
        <f t="shared" si="374"/>
        <v>6112</v>
      </c>
      <c r="S368" s="656">
        <f t="shared" si="374"/>
        <v>0</v>
      </c>
      <c r="T368" s="658" t="str">
        <f>+VLOOKUP($L368,Data_Validation!$A:$D,1,0)</f>
        <v>6441</v>
      </c>
      <c r="U368" s="658" t="str">
        <f>+VLOOKUP($L368,Data_Validation!$A:$D,3,0)</f>
        <v>Service</v>
      </c>
      <c r="V368" s="658" t="str">
        <f>+VLOOKUP($L368,Data_Validation!$A:$D,4,0)</f>
        <v>Service gratuit 2</v>
      </c>
      <c r="W368" s="658" t="str">
        <f>+VLOOKUP($L368,Data_Validation!$A:$E,5,0)</f>
        <v>$</v>
      </c>
      <c r="X368" s="658">
        <f>+VLOOKUP($L368,Data_Validation!$A:$F,6,0)</f>
        <v>0</v>
      </c>
    </row>
    <row r="369" spans="1:24" ht="15.75" customHeight="1">
      <c r="A369" s="1055" t="s">
        <v>1189</v>
      </c>
      <c r="B369" s="1055" t="s">
        <v>2477</v>
      </c>
      <c r="C369" s="1057">
        <v>24618.91</v>
      </c>
      <c r="D369" s="1057">
        <v>3022.65</v>
      </c>
      <c r="E369" s="1057">
        <v>27641.56</v>
      </c>
      <c r="F369" s="1055" t="s">
        <v>1156</v>
      </c>
      <c r="G369" s="1055" t="s">
        <v>1190</v>
      </c>
      <c r="H369" s="1032"/>
      <c r="I369" s="1035"/>
      <c r="J369" s="1035"/>
      <c r="K369" s="1035"/>
      <c r="L369" s="655" t="str">
        <f t="shared" si="328"/>
        <v>6442</v>
      </c>
      <c r="M369" s="656" t="str">
        <f t="shared" si="260"/>
        <v>FOURNITURES &amp; PETITS OUTILS</v>
      </c>
      <c r="N369" s="657">
        <f>+IF(OR($Q369=Parametres!$G$2,$Q369=Parametres!$G$3),I369,C369)</f>
        <v>24618.91</v>
      </c>
      <c r="O369" s="657">
        <f>+IF(OR($Q369=Parametres!$G$2,$Q369=Parametres!$G$3),J369,D369)</f>
        <v>3022.65</v>
      </c>
      <c r="P369" s="657">
        <f>+IF(OR($Q369=Parametres!$G$2,$Q369=Parametres!$G$3),K369,E369)</f>
        <v>27641.56</v>
      </c>
      <c r="Q369" s="656" t="str">
        <f t="shared" ref="Q369:S369" si="375">+F369</f>
        <v>7-Dépenses</v>
      </c>
      <c r="R369" s="655" t="str">
        <f t="shared" si="375"/>
        <v>6142</v>
      </c>
      <c r="S369" s="656">
        <f t="shared" si="375"/>
        <v>0</v>
      </c>
      <c r="T369" s="658" t="str">
        <f>+VLOOKUP($L369,Data_Validation!$A:$D,1,0)</f>
        <v>6442</v>
      </c>
      <c r="U369" s="658" t="str">
        <f>+VLOOKUP($L369,Data_Validation!$A:$D,3,0)</f>
        <v>Service</v>
      </c>
      <c r="V369" s="658" t="str">
        <f>+VLOOKUP($L369,Data_Validation!$A:$D,4,0)</f>
        <v>Fournitures autres</v>
      </c>
      <c r="W369" s="658" t="str">
        <f>+VLOOKUP($L369,Data_Validation!$A:$E,5,0)</f>
        <v>$</v>
      </c>
      <c r="X369" s="658">
        <f>+VLOOKUP($L369,Data_Validation!$A:$F,6,0)</f>
        <v>0</v>
      </c>
    </row>
    <row r="370" spans="1:24" ht="15" customHeight="1">
      <c r="A370" s="1055" t="s">
        <v>1191</v>
      </c>
      <c r="B370" s="1055" t="s">
        <v>2480</v>
      </c>
      <c r="C370" s="1057">
        <v>13842.34</v>
      </c>
      <c r="D370" s="1057">
        <v>852.51</v>
      </c>
      <c r="E370" s="1057">
        <v>14694.85</v>
      </c>
      <c r="F370" s="1055" t="s">
        <v>1156</v>
      </c>
      <c r="G370" s="1055" t="s">
        <v>1192</v>
      </c>
      <c r="H370" s="1032"/>
      <c r="I370" s="1035"/>
      <c r="J370" s="1035"/>
      <c r="K370" s="1035"/>
      <c r="L370" s="655" t="str">
        <f t="shared" si="328"/>
        <v>6443</v>
      </c>
      <c r="M370" s="656" t="str">
        <f t="shared" si="260"/>
        <v>UNIFORMES &amp; LESSIVE</v>
      </c>
      <c r="N370" s="657">
        <f>+IF(OR($Q370=Parametres!$G$2,$Q370=Parametres!$G$3),I370,C370)</f>
        <v>13842.34</v>
      </c>
      <c r="O370" s="657">
        <f>+IF(OR($Q370=Parametres!$G$2,$Q370=Parametres!$G$3),J370,D370)</f>
        <v>852.51</v>
      </c>
      <c r="P370" s="657">
        <f>+IF(OR($Q370=Parametres!$G$2,$Q370=Parametres!$G$3),K370,E370)</f>
        <v>14694.85</v>
      </c>
      <c r="Q370" s="656" t="str">
        <f t="shared" ref="Q370:S370" si="376">+F370</f>
        <v>7-Dépenses</v>
      </c>
      <c r="R370" s="655" t="str">
        <f t="shared" si="376"/>
        <v>6143</v>
      </c>
      <c r="S370" s="656">
        <f t="shared" si="376"/>
        <v>0</v>
      </c>
      <c r="T370" s="658" t="str">
        <f>+VLOOKUP($L370,Data_Validation!$A:$D,1,0)</f>
        <v>6443</v>
      </c>
      <c r="U370" s="658" t="str">
        <f>+VLOOKUP($L370,Data_Validation!$A:$D,3,0)</f>
        <v>Service</v>
      </c>
      <c r="V370" s="658" t="str">
        <f>+VLOOKUP($L370,Data_Validation!$A:$D,4,0)</f>
        <v>Uniformes</v>
      </c>
      <c r="W370" s="658" t="str">
        <f>+VLOOKUP($L370,Data_Validation!$A:$E,5,0)</f>
        <v>$</v>
      </c>
      <c r="X370" s="658">
        <f>+VLOOKUP($L370,Data_Validation!$A:$F,6,0)</f>
        <v>0</v>
      </c>
    </row>
    <row r="371" spans="1:24" ht="15" customHeight="1">
      <c r="A371" s="1055" t="s">
        <v>1193</v>
      </c>
      <c r="B371" s="1055" t="s">
        <v>2483</v>
      </c>
      <c r="C371" s="1057">
        <v>14620.18</v>
      </c>
      <c r="D371" s="1057">
        <v>705.24</v>
      </c>
      <c r="E371" s="1057">
        <v>15325.42</v>
      </c>
      <c r="F371" s="1055" t="s">
        <v>1156</v>
      </c>
      <c r="G371" s="1055" t="s">
        <v>1194</v>
      </c>
      <c r="H371" s="1032"/>
      <c r="I371" s="1035"/>
      <c r="J371" s="1035"/>
      <c r="K371" s="1035"/>
      <c r="L371" s="655" t="str">
        <f t="shared" si="328"/>
        <v>6444</v>
      </c>
      <c r="M371" s="656" t="str">
        <f t="shared" si="260"/>
        <v>FORMATION</v>
      </c>
      <c r="N371" s="657">
        <f>+IF(OR($Q371=Parametres!$G$2,$Q371=Parametres!$G$3),I371,C371)</f>
        <v>14620.18</v>
      </c>
      <c r="O371" s="657">
        <f>+IF(OR($Q371=Parametres!$G$2,$Q371=Parametres!$G$3),J371,D371)</f>
        <v>705.24</v>
      </c>
      <c r="P371" s="657">
        <f>+IF(OR($Q371=Parametres!$G$2,$Q371=Parametres!$G$3),K371,E371)</f>
        <v>15325.42</v>
      </c>
      <c r="Q371" s="656" t="str">
        <f t="shared" ref="Q371:S371" si="377">+F371</f>
        <v>7-Dépenses</v>
      </c>
      <c r="R371" s="655" t="str">
        <f t="shared" si="377"/>
        <v>6144</v>
      </c>
      <c r="S371" s="656">
        <f t="shared" si="377"/>
        <v>0</v>
      </c>
      <c r="T371" s="658" t="str">
        <f>+VLOOKUP($L371,Data_Validation!$A:$D,1,0)</f>
        <v>6444</v>
      </c>
      <c r="U371" s="658" t="str">
        <f>+VLOOKUP($L371,Data_Validation!$A:$D,3,0)</f>
        <v>Service</v>
      </c>
      <c r="V371" s="658" t="str">
        <f>+VLOOKUP($L371,Data_Validation!$A:$D,4,0)</f>
        <v>Formation</v>
      </c>
      <c r="W371" s="658" t="str">
        <f>+VLOOKUP($L371,Data_Validation!$A:$E,5,0)</f>
        <v>$</v>
      </c>
      <c r="X371" s="658">
        <f>+VLOOKUP($L371,Data_Validation!$A:$F,6,0)</f>
        <v>0</v>
      </c>
    </row>
    <row r="372" spans="1:24" ht="15" customHeight="1">
      <c r="A372" s="1055" t="s">
        <v>1252</v>
      </c>
      <c r="B372" s="1055" t="s">
        <v>2486</v>
      </c>
      <c r="C372" s="1057">
        <v>147830.10999999999</v>
      </c>
      <c r="D372" s="1057">
        <v>18216.68</v>
      </c>
      <c r="E372" s="1057">
        <v>166046.79</v>
      </c>
      <c r="F372" s="1055" t="s">
        <v>1156</v>
      </c>
      <c r="G372" s="1055" t="s">
        <v>1196</v>
      </c>
      <c r="H372" s="1032"/>
      <c r="I372" s="1035"/>
      <c r="J372" s="1035"/>
      <c r="K372" s="1035"/>
      <c r="L372" s="655" t="str">
        <f t="shared" si="328"/>
        <v>6445</v>
      </c>
      <c r="M372" s="656" t="str">
        <f t="shared" si="260"/>
        <v>LOCATION COURTOISIE</v>
      </c>
      <c r="N372" s="657">
        <f>+IF(OR($Q372=Parametres!$G$2,$Q372=Parametres!$G$3),I372,C372)</f>
        <v>147830.10999999999</v>
      </c>
      <c r="O372" s="657">
        <f>+IF(OR($Q372=Parametres!$G$2,$Q372=Parametres!$G$3),J372,D372)</f>
        <v>18216.68</v>
      </c>
      <c r="P372" s="657">
        <f>+IF(OR($Q372=Parametres!$G$2,$Q372=Parametres!$G$3),K372,E372)</f>
        <v>166046.79</v>
      </c>
      <c r="Q372" s="656" t="str">
        <f t="shared" ref="Q372:S372" si="378">+F372</f>
        <v>7-Dépenses</v>
      </c>
      <c r="R372" s="655" t="str">
        <f t="shared" si="378"/>
        <v>6145</v>
      </c>
      <c r="S372" s="656">
        <f t="shared" si="378"/>
        <v>0</v>
      </c>
      <c r="T372" s="658" t="str">
        <f>+VLOOKUP($L372,Data_Validation!$A:$D,1,0)</f>
        <v>6445</v>
      </c>
      <c r="U372" s="658" t="str">
        <f>+VLOOKUP($L372,Data_Validation!$A:$D,3,0)</f>
        <v>Service</v>
      </c>
      <c r="V372" s="658" t="str">
        <f>+VLOOKUP($L372,Data_Validation!$A:$D,4,0)</f>
        <v>Frais véhicules de cie</v>
      </c>
      <c r="W372" s="658" t="str">
        <f>+VLOOKUP($L372,Data_Validation!$A:$E,5,0)</f>
        <v>$</v>
      </c>
      <c r="X372" s="658">
        <f>+VLOOKUP($L372,Data_Validation!$A:$F,6,0)</f>
        <v>0</v>
      </c>
    </row>
    <row r="373" spans="1:24" ht="15" customHeight="1">
      <c r="A373" s="1055" t="s">
        <v>1197</v>
      </c>
      <c r="B373" s="1055" t="s">
        <v>2489</v>
      </c>
      <c r="C373" s="1057">
        <v>1179.08</v>
      </c>
      <c r="D373" s="1057">
        <v>118.7</v>
      </c>
      <c r="E373" s="1057">
        <v>1297.78</v>
      </c>
      <c r="F373" s="1055" t="s">
        <v>1156</v>
      </c>
      <c r="G373" s="1055" t="s">
        <v>1198</v>
      </c>
      <c r="H373" s="1032"/>
      <c r="I373" s="1035"/>
      <c r="J373" s="1035"/>
      <c r="K373" s="1035"/>
      <c r="L373" s="655" t="str">
        <f t="shared" si="328"/>
        <v>6447</v>
      </c>
      <c r="M373" s="656" t="str">
        <f t="shared" si="260"/>
        <v>FRET/EXPRESS/TRANS. PAR CAMION</v>
      </c>
      <c r="N373" s="657">
        <f>+IF(OR($Q373=Parametres!$G$2,$Q373=Parametres!$G$3),I373,C373)</f>
        <v>1179.08</v>
      </c>
      <c r="O373" s="657">
        <f>+IF(OR($Q373=Parametres!$G$2,$Q373=Parametres!$G$3),J373,D373)</f>
        <v>118.7</v>
      </c>
      <c r="P373" s="657">
        <f>+IF(OR($Q373=Parametres!$G$2,$Q373=Parametres!$G$3),K373,E373)</f>
        <v>1297.78</v>
      </c>
      <c r="Q373" s="656" t="str">
        <f t="shared" ref="Q373:S373" si="379">+F373</f>
        <v>7-Dépenses</v>
      </c>
      <c r="R373" s="655" t="str">
        <f t="shared" si="379"/>
        <v>6147</v>
      </c>
      <c r="S373" s="656">
        <f t="shared" si="379"/>
        <v>0</v>
      </c>
      <c r="T373" s="658" t="str">
        <f>+VLOOKUP($L373,Data_Validation!$A:$D,1,0)</f>
        <v>6447</v>
      </c>
      <c r="U373" s="658" t="str">
        <f>+VLOOKUP($L373,Data_Validation!$A:$D,3,0)</f>
        <v>Service</v>
      </c>
      <c r="V373" s="658" t="str">
        <f>+VLOOKUP($L373,Data_Validation!$A:$D,4,0)</f>
        <v>Frais postaux</v>
      </c>
      <c r="W373" s="658" t="str">
        <f>+VLOOKUP($L373,Data_Validation!$A:$E,5,0)</f>
        <v>$</v>
      </c>
      <c r="X373" s="658">
        <f>+VLOOKUP($L373,Data_Validation!$A:$F,6,0)</f>
        <v>0</v>
      </c>
    </row>
    <row r="374" spans="1:24" ht="15.75" customHeight="1">
      <c r="A374" s="1055" t="s">
        <v>1199</v>
      </c>
      <c r="B374" s="1055" t="s">
        <v>2492</v>
      </c>
      <c r="C374" s="1057">
        <v>47346.34</v>
      </c>
      <c r="D374" s="1057">
        <v>3672.37</v>
      </c>
      <c r="E374" s="1057">
        <v>51018.71</v>
      </c>
      <c r="F374" s="1055" t="s">
        <v>1156</v>
      </c>
      <c r="G374" s="1055" t="s">
        <v>1200</v>
      </c>
      <c r="H374" s="1032"/>
      <c r="I374" s="1035"/>
      <c r="J374" s="1035"/>
      <c r="K374" s="1035"/>
      <c r="L374" s="655" t="str">
        <f t="shared" si="328"/>
        <v>6451</v>
      </c>
      <c r="M374" s="656" t="str">
        <f t="shared" si="260"/>
        <v>DEP. DU TRAITEMENT DES DONNEES</v>
      </c>
      <c r="N374" s="657">
        <f>+IF(OR($Q374=Parametres!$G$2,$Q374=Parametres!$G$3),I374,C374)</f>
        <v>47346.34</v>
      </c>
      <c r="O374" s="657">
        <f>+IF(OR($Q374=Parametres!$G$2,$Q374=Parametres!$G$3),J374,D374)</f>
        <v>3672.37</v>
      </c>
      <c r="P374" s="657">
        <f>+IF(OR($Q374=Parametres!$G$2,$Q374=Parametres!$G$3),K374,E374)</f>
        <v>51018.71</v>
      </c>
      <c r="Q374" s="656" t="str">
        <f t="shared" ref="Q374:S374" si="380">+F374</f>
        <v>7-Dépenses</v>
      </c>
      <c r="R374" s="655" t="str">
        <f t="shared" si="380"/>
        <v>6151</v>
      </c>
      <c r="S374" s="656">
        <f t="shared" si="380"/>
        <v>0</v>
      </c>
      <c r="T374" s="658" t="str">
        <f>+VLOOKUP($L374,Data_Validation!$A:$D,1,0)</f>
        <v>6451</v>
      </c>
      <c r="U374" s="658" t="str">
        <f>+VLOOKUP($L374,Data_Validation!$A:$D,3,0)</f>
        <v>Service</v>
      </c>
      <c r="V374" s="658" t="str">
        <f>+VLOOKUP($L374,Data_Validation!$A:$D,4,0)</f>
        <v>Informatique</v>
      </c>
      <c r="W374" s="658" t="str">
        <f>+VLOOKUP($L374,Data_Validation!$A:$E,5,0)</f>
        <v>$</v>
      </c>
      <c r="X374" s="658">
        <f>+VLOOKUP($L374,Data_Validation!$A:$F,6,0)</f>
        <v>0</v>
      </c>
    </row>
    <row r="375" spans="1:24" ht="15" customHeight="1">
      <c r="A375" s="1055" t="s">
        <v>1201</v>
      </c>
      <c r="B375" s="1055" t="s">
        <v>2495</v>
      </c>
      <c r="C375" s="1057">
        <v>8002.42</v>
      </c>
      <c r="D375" s="1057">
        <v>706.52</v>
      </c>
      <c r="E375" s="1057">
        <v>8708.94</v>
      </c>
      <c r="F375" s="1055" t="s">
        <v>1156</v>
      </c>
      <c r="G375" s="1055" t="s">
        <v>1202</v>
      </c>
      <c r="H375" s="1032"/>
      <c r="I375" s="1035"/>
      <c r="J375" s="1035"/>
      <c r="K375" s="1035"/>
      <c r="L375" s="655" t="str">
        <f t="shared" si="328"/>
        <v>6452</v>
      </c>
      <c r="M375" s="656" t="str">
        <f t="shared" si="260"/>
        <v>PAPETERIE</v>
      </c>
      <c r="N375" s="657">
        <f>+IF(OR($Q375=Parametres!$G$2,$Q375=Parametres!$G$3),I375,C375)</f>
        <v>8002.42</v>
      </c>
      <c r="O375" s="657">
        <f>+IF(OR($Q375=Parametres!$G$2,$Q375=Parametres!$G$3),J375,D375)</f>
        <v>706.52</v>
      </c>
      <c r="P375" s="657">
        <f>+IF(OR($Q375=Parametres!$G$2,$Q375=Parametres!$G$3),K375,E375)</f>
        <v>8708.94</v>
      </c>
      <c r="Q375" s="656" t="str">
        <f t="shared" ref="Q375:S375" si="381">+F375</f>
        <v>7-Dépenses</v>
      </c>
      <c r="R375" s="655" t="str">
        <f t="shared" si="381"/>
        <v>6152</v>
      </c>
      <c r="S375" s="656">
        <f t="shared" si="381"/>
        <v>0</v>
      </c>
      <c r="T375" s="658" t="str">
        <f>+VLOOKUP($L375,Data_Validation!$A:$D,1,0)</f>
        <v>6452</v>
      </c>
      <c r="U375" s="658" t="str">
        <f>+VLOOKUP($L375,Data_Validation!$A:$D,3,0)</f>
        <v>Service</v>
      </c>
      <c r="V375" s="658" t="str">
        <f>+VLOOKUP($L375,Data_Validation!$A:$D,4,0)</f>
        <v>Papeterie</v>
      </c>
      <c r="W375" s="658" t="str">
        <f>+VLOOKUP($L375,Data_Validation!$A:$E,5,0)</f>
        <v>$</v>
      </c>
      <c r="X375" s="658">
        <f>+VLOOKUP($L375,Data_Validation!$A:$F,6,0)</f>
        <v>0</v>
      </c>
    </row>
    <row r="376" spans="1:24" ht="15" customHeight="1">
      <c r="A376" s="1055" t="s">
        <v>1203</v>
      </c>
      <c r="B376" s="1055" t="s">
        <v>2498</v>
      </c>
      <c r="C376" s="1057">
        <v>2872.32</v>
      </c>
      <c r="D376" s="1057">
        <v>183.61</v>
      </c>
      <c r="E376" s="1057">
        <v>3055.93</v>
      </c>
      <c r="F376" s="1055" t="s">
        <v>1156</v>
      </c>
      <c r="G376" s="1055" t="s">
        <v>1204</v>
      </c>
      <c r="H376" s="1032"/>
      <c r="I376" s="1035"/>
      <c r="J376" s="1035"/>
      <c r="K376" s="1035"/>
      <c r="L376" s="655" t="str">
        <f t="shared" si="328"/>
        <v>6453</v>
      </c>
      <c r="M376" s="656" t="str">
        <f t="shared" si="260"/>
        <v>TELEPHONE ET TELEX</v>
      </c>
      <c r="N376" s="657">
        <f>+IF(OR($Q376=Parametres!$G$2,$Q376=Parametres!$G$3),I376,C376)</f>
        <v>2872.32</v>
      </c>
      <c r="O376" s="657">
        <f>+IF(OR($Q376=Parametres!$G$2,$Q376=Parametres!$G$3),J376,D376)</f>
        <v>183.61</v>
      </c>
      <c r="P376" s="657">
        <f>+IF(OR($Q376=Parametres!$G$2,$Q376=Parametres!$G$3),K376,E376)</f>
        <v>3055.93</v>
      </c>
      <c r="Q376" s="656" t="str">
        <f t="shared" ref="Q376:S376" si="382">+F376</f>
        <v>7-Dépenses</v>
      </c>
      <c r="R376" s="655" t="str">
        <f t="shared" si="382"/>
        <v>6153</v>
      </c>
      <c r="S376" s="656">
        <f t="shared" si="382"/>
        <v>0</v>
      </c>
      <c r="T376" s="658" t="str">
        <f>+VLOOKUP($L376,Data_Validation!$A:$D,1,0)</f>
        <v>6453</v>
      </c>
      <c r="U376" s="658" t="str">
        <f>+VLOOKUP($L376,Data_Validation!$A:$D,3,0)</f>
        <v>Service</v>
      </c>
      <c r="V376" s="658" t="str">
        <f>+VLOOKUP($L376,Data_Validation!$A:$D,4,0)</f>
        <v>Téléphone</v>
      </c>
      <c r="W376" s="658" t="str">
        <f>+VLOOKUP($L376,Data_Validation!$A:$E,5,0)</f>
        <v>$</v>
      </c>
      <c r="X376" s="658">
        <f>+VLOOKUP($L376,Data_Validation!$A:$F,6,0)</f>
        <v>0</v>
      </c>
    </row>
    <row r="377" spans="1:24" ht="15" customHeight="1">
      <c r="A377" s="1055" t="s">
        <v>1205</v>
      </c>
      <c r="B377" s="1055" t="s">
        <v>2501</v>
      </c>
      <c r="C377" s="1057">
        <v>2198.48</v>
      </c>
      <c r="D377" s="1057">
        <v>198.38</v>
      </c>
      <c r="E377" s="1057">
        <v>2396.86</v>
      </c>
      <c r="F377" s="1055" t="s">
        <v>1156</v>
      </c>
      <c r="G377" s="1055" t="s">
        <v>1206</v>
      </c>
      <c r="H377" s="1032"/>
      <c r="I377" s="1035"/>
      <c r="J377" s="1035"/>
      <c r="K377" s="1035"/>
      <c r="L377" s="655" t="str">
        <f t="shared" si="328"/>
        <v>6455</v>
      </c>
      <c r="M377" s="656" t="str">
        <f t="shared" si="260"/>
        <v>DEPENSES DIVERS</v>
      </c>
      <c r="N377" s="657">
        <f>+IF(OR($Q377=Parametres!$G$2,$Q377=Parametres!$G$3),I377,C377)</f>
        <v>2198.48</v>
      </c>
      <c r="O377" s="657">
        <f>+IF(OR($Q377=Parametres!$G$2,$Q377=Parametres!$G$3),J377,D377)</f>
        <v>198.38</v>
      </c>
      <c r="P377" s="657">
        <f>+IF(OR($Q377=Parametres!$G$2,$Q377=Parametres!$G$3),K377,E377)</f>
        <v>2396.86</v>
      </c>
      <c r="Q377" s="656" t="str">
        <f t="shared" ref="Q377:S377" si="383">+F377</f>
        <v>7-Dépenses</v>
      </c>
      <c r="R377" s="655" t="str">
        <f t="shared" si="383"/>
        <v>6155</v>
      </c>
      <c r="S377" s="656">
        <f t="shared" si="383"/>
        <v>0</v>
      </c>
      <c r="T377" s="658" t="str">
        <f>+VLOOKUP($L377,Data_Validation!$A:$D,1,0)</f>
        <v>6455</v>
      </c>
      <c r="U377" s="658" t="str">
        <f>+VLOOKUP($L377,Data_Validation!$A:$D,3,0)</f>
        <v>Service</v>
      </c>
      <c r="V377" s="658" t="str">
        <f>+VLOOKUP($L377,Data_Validation!$A:$D,4,0)</f>
        <v>Divers</v>
      </c>
      <c r="W377" s="658" t="str">
        <f>+VLOOKUP($L377,Data_Validation!$A:$E,5,0)</f>
        <v>$</v>
      </c>
      <c r="X377" s="658">
        <f>+VLOOKUP($L377,Data_Validation!$A:$F,6,0)</f>
        <v>0</v>
      </c>
    </row>
    <row r="378" spans="1:24" ht="15" customHeight="1">
      <c r="A378" s="1055" t="s">
        <v>1253</v>
      </c>
      <c r="B378" s="1055" t="s">
        <v>2504</v>
      </c>
      <c r="C378" s="1057">
        <v>12345.83</v>
      </c>
      <c r="D378" s="1057">
        <v>961.16</v>
      </c>
      <c r="E378" s="1057">
        <v>13306.99</v>
      </c>
      <c r="F378" s="1055" t="s">
        <v>1156</v>
      </c>
      <c r="G378" s="1055" t="s">
        <v>1208</v>
      </c>
      <c r="H378" s="1032"/>
      <c r="I378" s="1035"/>
      <c r="J378" s="1035"/>
      <c r="K378" s="1035"/>
      <c r="L378" s="655" t="str">
        <f t="shared" si="328"/>
        <v>6456</v>
      </c>
      <c r="M378" s="656" t="str">
        <f t="shared" si="260"/>
        <v>FRAIS REPRESENTATION - SERVICE</v>
      </c>
      <c r="N378" s="657">
        <f>+IF(OR($Q378=Parametres!$G$2,$Q378=Parametres!$G$3),I378,C378)</f>
        <v>12345.83</v>
      </c>
      <c r="O378" s="657">
        <f>+IF(OR($Q378=Parametres!$G$2,$Q378=Parametres!$G$3),J378,D378)</f>
        <v>961.16</v>
      </c>
      <c r="P378" s="657">
        <f>+IF(OR($Q378=Parametres!$G$2,$Q378=Parametres!$G$3),K378,E378)</f>
        <v>13306.99</v>
      </c>
      <c r="Q378" s="656" t="str">
        <f t="shared" ref="Q378:S378" si="384">+F378</f>
        <v>7-Dépenses</v>
      </c>
      <c r="R378" s="655" t="str">
        <f t="shared" si="384"/>
        <v>6156</v>
      </c>
      <c r="S378" s="656">
        <f t="shared" si="384"/>
        <v>0</v>
      </c>
      <c r="T378" s="658" t="str">
        <f>+VLOOKUP($L378,Data_Validation!$A:$D,1,0)</f>
        <v>6456</v>
      </c>
      <c r="U378" s="658" t="str">
        <f>+VLOOKUP($L378,Data_Validation!$A:$D,3,0)</f>
        <v>Service</v>
      </c>
      <c r="V378" s="658" t="str">
        <f>+VLOOKUP($L378,Data_Validation!$A:$D,4,0)</f>
        <v>Frais de déplacement</v>
      </c>
      <c r="W378" s="658" t="str">
        <f>+VLOOKUP($L378,Data_Validation!$A:$E,5,0)</f>
        <v>$</v>
      </c>
      <c r="X378" s="658">
        <f>+VLOOKUP($L378,Data_Validation!$A:$F,6,0)</f>
        <v>0</v>
      </c>
    </row>
    <row r="379" spans="1:24" ht="15.75" customHeight="1">
      <c r="A379" s="1055" t="s">
        <v>1254</v>
      </c>
      <c r="B379" s="1055" t="s">
        <v>3398</v>
      </c>
      <c r="C379" s="1057">
        <v>20065.53</v>
      </c>
      <c r="D379" s="1057">
        <v>1834.29</v>
      </c>
      <c r="E379" s="1057">
        <v>21899.82</v>
      </c>
      <c r="F379" s="1055" t="s">
        <v>1156</v>
      </c>
      <c r="G379" s="1055" t="s">
        <v>1255</v>
      </c>
      <c r="H379" s="1032"/>
      <c r="I379" s="1035"/>
      <c r="J379" s="1035"/>
      <c r="K379" s="1035"/>
      <c r="L379" s="655" t="str">
        <f t="shared" si="328"/>
        <v>6457</v>
      </c>
      <c r="M379" s="656" t="str">
        <f t="shared" si="260"/>
        <v>FRAIS BANCAIRES - SERVICE</v>
      </c>
      <c r="N379" s="657">
        <f>+IF(OR($Q379=Parametres!$G$2,$Q379=Parametres!$G$3),I379,C379)</f>
        <v>20065.53</v>
      </c>
      <c r="O379" s="657">
        <f>+IF(OR($Q379=Parametres!$G$2,$Q379=Parametres!$G$3),J379,D379)</f>
        <v>1834.29</v>
      </c>
      <c r="P379" s="657">
        <f>+IF(OR($Q379=Parametres!$G$2,$Q379=Parametres!$G$3),K379,E379)</f>
        <v>21899.82</v>
      </c>
      <c r="Q379" s="656" t="str">
        <f t="shared" ref="Q379:S379" si="385">+F379</f>
        <v>7-Dépenses</v>
      </c>
      <c r="R379" s="655" t="str">
        <f t="shared" si="385"/>
        <v>645</v>
      </c>
      <c r="S379" s="656">
        <f t="shared" si="385"/>
        <v>0</v>
      </c>
      <c r="T379" s="658" t="str">
        <f>+VLOOKUP($L379,Data_Validation!$A:$D,1,0)</f>
        <v>6457</v>
      </c>
      <c r="U379" s="658" t="str">
        <f>+VLOOKUP($L379,Data_Validation!$A:$D,3,0)</f>
        <v>Service</v>
      </c>
      <c r="V379" s="658" t="str">
        <f>+VLOOKUP($L379,Data_Validation!$A:$D,4,0)</f>
        <v>Frais bancaires</v>
      </c>
      <c r="W379" s="658" t="str">
        <f>+VLOOKUP($L379,Data_Validation!$A:$E,5,0)</f>
        <v>$</v>
      </c>
      <c r="X379" s="658">
        <f>+VLOOKUP($L379,Data_Validation!$A:$F,6,0)</f>
        <v>0</v>
      </c>
    </row>
    <row r="380" spans="1:24" ht="15" customHeight="1">
      <c r="A380" s="1055" t="s">
        <v>1211</v>
      </c>
      <c r="B380" s="1055" t="s">
        <v>2507</v>
      </c>
      <c r="C380" s="1057">
        <v>24793.53</v>
      </c>
      <c r="D380" s="1057">
        <v>2398.16</v>
      </c>
      <c r="E380" s="1057">
        <v>27191.69</v>
      </c>
      <c r="F380" s="1055" t="s">
        <v>1156</v>
      </c>
      <c r="G380" s="1055" t="s">
        <v>1212</v>
      </c>
      <c r="H380" s="1032"/>
      <c r="I380" s="1035"/>
      <c r="J380" s="1035"/>
      <c r="K380" s="1035"/>
      <c r="L380" s="655" t="str">
        <f t="shared" si="328"/>
        <v>6459</v>
      </c>
      <c r="M380" s="656" t="str">
        <f t="shared" si="260"/>
        <v>SERVICE EXTERIEUR</v>
      </c>
      <c r="N380" s="657">
        <f>+IF(OR($Q380=Parametres!$G$2,$Q380=Parametres!$G$3),I380,C380)</f>
        <v>24793.53</v>
      </c>
      <c r="O380" s="657">
        <f>+IF(OR($Q380=Parametres!$G$2,$Q380=Parametres!$G$3),J380,D380)</f>
        <v>2398.16</v>
      </c>
      <c r="P380" s="657">
        <f>+IF(OR($Q380=Parametres!$G$2,$Q380=Parametres!$G$3),K380,E380)</f>
        <v>27191.69</v>
      </c>
      <c r="Q380" s="656" t="str">
        <f t="shared" ref="Q380:S380" si="386">+F380</f>
        <v>7-Dépenses</v>
      </c>
      <c r="R380" s="655" t="str">
        <f t="shared" si="386"/>
        <v>6159</v>
      </c>
      <c r="S380" s="656">
        <f t="shared" si="386"/>
        <v>0</v>
      </c>
      <c r="T380" s="658" t="str">
        <f>+VLOOKUP($L380,Data_Validation!$A:$D,1,0)</f>
        <v>6459</v>
      </c>
      <c r="U380" s="658" t="str">
        <f>+VLOOKUP($L380,Data_Validation!$A:$D,3,0)</f>
        <v>Service</v>
      </c>
      <c r="V380" s="658" t="str">
        <f>+VLOOKUP($L380,Data_Validation!$A:$D,4,0)</f>
        <v>Services extérieurs</v>
      </c>
      <c r="W380" s="658" t="str">
        <f>+VLOOKUP($L380,Data_Validation!$A:$E,5,0)</f>
        <v>$</v>
      </c>
      <c r="X380" s="658">
        <f>+VLOOKUP($L380,Data_Validation!$A:$F,6,0)</f>
        <v>0</v>
      </c>
    </row>
    <row r="381" spans="1:24" ht="15" customHeight="1">
      <c r="A381" s="1055" t="s">
        <v>1213</v>
      </c>
      <c r="B381" s="1055" t="s">
        <v>2510</v>
      </c>
      <c r="C381" s="1057">
        <v>11390.28</v>
      </c>
      <c r="D381" s="1057">
        <v>1035.48</v>
      </c>
      <c r="E381" s="1057">
        <v>12425.76</v>
      </c>
      <c r="F381" s="1055" t="s">
        <v>1156</v>
      </c>
      <c r="G381" s="1055" t="s">
        <v>1214</v>
      </c>
      <c r="H381" s="1032"/>
      <c r="I381" s="1035"/>
      <c r="J381" s="1035"/>
      <c r="K381" s="1035"/>
      <c r="L381" s="655" t="str">
        <f t="shared" si="328"/>
        <v>6461</v>
      </c>
      <c r="M381" s="656" t="str">
        <f t="shared" si="260"/>
        <v>DEPRECIATION EQUIP. &amp; FIXTURES</v>
      </c>
      <c r="N381" s="657">
        <f>+IF(OR($Q381=Parametres!$G$2,$Q381=Parametres!$G$3),I381,C381)</f>
        <v>11390.28</v>
      </c>
      <c r="O381" s="657">
        <f>+IF(OR($Q381=Parametres!$G$2,$Q381=Parametres!$G$3),J381,D381)</f>
        <v>1035.48</v>
      </c>
      <c r="P381" s="657">
        <f>+IF(OR($Q381=Parametres!$G$2,$Q381=Parametres!$G$3),K381,E381)</f>
        <v>12425.76</v>
      </c>
      <c r="Q381" s="656" t="str">
        <f t="shared" ref="Q381:S381" si="387">+F381</f>
        <v>7-Dépenses</v>
      </c>
      <c r="R381" s="655" t="str">
        <f t="shared" si="387"/>
        <v>6161</v>
      </c>
      <c r="S381" s="656">
        <f t="shared" si="387"/>
        <v>0</v>
      </c>
      <c r="T381" s="658" t="str">
        <f>+VLOOKUP($L381,Data_Validation!$A:$D,1,0)</f>
        <v>6461</v>
      </c>
      <c r="U381" s="658" t="str">
        <f>+VLOOKUP($L381,Data_Validation!$A:$D,3,0)</f>
        <v>Service</v>
      </c>
      <c r="V381" s="658" t="str">
        <f>+VLOOKUP($L381,Data_Validation!$A:$D,4,0)</f>
        <v>Amortissement</v>
      </c>
      <c r="W381" s="658" t="str">
        <f>+VLOOKUP($L381,Data_Validation!$A:$E,5,0)</f>
        <v>$</v>
      </c>
      <c r="X381" s="658">
        <f>+VLOOKUP($L381,Data_Validation!$A:$F,6,0)</f>
        <v>0</v>
      </c>
    </row>
    <row r="382" spans="1:24" ht="15" customHeight="1">
      <c r="A382" s="1055" t="s">
        <v>1256</v>
      </c>
      <c r="B382" s="1055" t="s">
        <v>2516</v>
      </c>
      <c r="C382" s="1057">
        <v>17496.59</v>
      </c>
      <c r="D382" s="1057">
        <v>1186.6300000000001</v>
      </c>
      <c r="E382" s="1057">
        <v>18683.22</v>
      </c>
      <c r="F382" s="1055" t="s">
        <v>1156</v>
      </c>
      <c r="G382" s="1055" t="s">
        <v>1257</v>
      </c>
      <c r="H382" s="1032"/>
      <c r="I382" s="1035"/>
      <c r="J382" s="1035"/>
      <c r="K382" s="1035"/>
      <c r="L382" s="655" t="str">
        <f t="shared" si="328"/>
        <v>6463</v>
      </c>
      <c r="M382" s="656" t="str">
        <f t="shared" si="260"/>
        <v>REPARATION &amp; ENT. - EQUIP.</v>
      </c>
      <c r="N382" s="657">
        <f>+IF(OR($Q382=Parametres!$G$2,$Q382=Parametres!$G$3),I382,C382)</f>
        <v>17496.59</v>
      </c>
      <c r="O382" s="657">
        <f>+IF(OR($Q382=Parametres!$G$2,$Q382=Parametres!$G$3),J382,D382)</f>
        <v>1186.6300000000001</v>
      </c>
      <c r="P382" s="657">
        <f>+IF(OR($Q382=Parametres!$G$2,$Q382=Parametres!$G$3),K382,E382)</f>
        <v>18683.22</v>
      </c>
      <c r="Q382" s="656" t="str">
        <f t="shared" ref="Q382:S382" si="388">+F382</f>
        <v>7-Dépenses</v>
      </c>
      <c r="R382" s="655" t="str">
        <f t="shared" si="388"/>
        <v>6163</v>
      </c>
      <c r="S382" s="656">
        <f t="shared" si="388"/>
        <v>0</v>
      </c>
      <c r="T382" s="658" t="str">
        <f>+VLOOKUP($L382,Data_Validation!$A:$D,1,0)</f>
        <v>6463</v>
      </c>
      <c r="U382" s="658" t="str">
        <f>+VLOOKUP($L382,Data_Validation!$A:$D,3,0)</f>
        <v>Service</v>
      </c>
      <c r="V382" s="658" t="str">
        <f>+VLOOKUP($L382,Data_Validation!$A:$D,4,0)</f>
        <v>Réparation équipement</v>
      </c>
      <c r="W382" s="658" t="str">
        <f>+VLOOKUP($L382,Data_Validation!$A:$E,5,0)</f>
        <v>$</v>
      </c>
      <c r="X382" s="658">
        <f>+VLOOKUP($L382,Data_Validation!$A:$F,6,0)</f>
        <v>0</v>
      </c>
    </row>
    <row r="383" spans="1:24" ht="15.75" customHeight="1">
      <c r="A383" s="1055" t="s">
        <v>1258</v>
      </c>
      <c r="B383" s="1055" t="s">
        <v>2519</v>
      </c>
      <c r="C383" s="1057">
        <v>6679.89</v>
      </c>
      <c r="D383" s="1057">
        <v>223.4</v>
      </c>
      <c r="E383" s="1057">
        <v>6903.29</v>
      </c>
      <c r="F383" s="1055" t="s">
        <v>1156</v>
      </c>
      <c r="G383" s="1055" t="s">
        <v>1216</v>
      </c>
      <c r="H383" s="1032"/>
      <c r="I383" s="1035"/>
      <c r="J383" s="1035"/>
      <c r="K383" s="1035"/>
      <c r="L383" s="655" t="str">
        <f t="shared" si="328"/>
        <v>6481</v>
      </c>
      <c r="M383" s="656" t="str">
        <f t="shared" si="260"/>
        <v>CHAUFFAGE,ELECTRICITE,EAU-SERVICE</v>
      </c>
      <c r="N383" s="657">
        <f>+IF(OR($Q383=Parametres!$G$2,$Q383=Parametres!$G$3),I383,C383)</f>
        <v>6679.89</v>
      </c>
      <c r="O383" s="657">
        <f>+IF(OR($Q383=Parametres!$G$2,$Q383=Parametres!$G$3),J383,D383)</f>
        <v>223.4</v>
      </c>
      <c r="P383" s="657">
        <f>+IF(OR($Q383=Parametres!$G$2,$Q383=Parametres!$G$3),K383,E383)</f>
        <v>6903.29</v>
      </c>
      <c r="Q383" s="656" t="str">
        <f t="shared" ref="Q383:S383" si="389">+F383</f>
        <v>7-Dépenses</v>
      </c>
      <c r="R383" s="655" t="str">
        <f t="shared" si="389"/>
        <v>6181</v>
      </c>
      <c r="S383" s="656">
        <f t="shared" si="389"/>
        <v>0</v>
      </c>
      <c r="T383" s="658" t="str">
        <f>+VLOOKUP($L383,Data_Validation!$A:$D,1,0)</f>
        <v>6481</v>
      </c>
      <c r="U383" s="658" t="str">
        <f>+VLOOKUP($L383,Data_Validation!$A:$D,3,0)</f>
        <v>Service</v>
      </c>
      <c r="V383" s="658" t="str">
        <f>+VLOOKUP($L383,Data_Validation!$A:$D,4,0)</f>
        <v>Chauffage, éclairage</v>
      </c>
      <c r="W383" s="658" t="str">
        <f>+VLOOKUP($L383,Data_Validation!$A:$E,5,0)</f>
        <v>$</v>
      </c>
      <c r="X383" s="658">
        <f>+VLOOKUP($L383,Data_Validation!$A:$F,6,0)</f>
        <v>0</v>
      </c>
    </row>
    <row r="384" spans="1:24" ht="15" customHeight="1">
      <c r="A384" s="1055" t="s">
        <v>1259</v>
      </c>
      <c r="B384" s="1055" t="s">
        <v>2522</v>
      </c>
      <c r="C384" s="1057">
        <v>68640</v>
      </c>
      <c r="D384" s="1057">
        <v>6240</v>
      </c>
      <c r="E384" s="1057">
        <v>74880</v>
      </c>
      <c r="F384" s="1055" t="s">
        <v>1156</v>
      </c>
      <c r="G384" s="1055" t="s">
        <v>1218</v>
      </c>
      <c r="H384" s="1032"/>
      <c r="I384" s="1035"/>
      <c r="J384" s="1035"/>
      <c r="K384" s="1035"/>
      <c r="L384" s="655" t="str">
        <f t="shared" si="328"/>
        <v>6482</v>
      </c>
      <c r="M384" s="656" t="str">
        <f t="shared" si="260"/>
        <v>LOYER - SERVICE</v>
      </c>
      <c r="N384" s="657">
        <f>+IF(OR($Q384=Parametres!$G$2,$Q384=Parametres!$G$3),I384,C384)</f>
        <v>68640</v>
      </c>
      <c r="O384" s="657">
        <f>+IF(OR($Q384=Parametres!$G$2,$Q384=Parametres!$G$3),J384,D384)</f>
        <v>6240</v>
      </c>
      <c r="P384" s="657">
        <f>+IF(OR($Q384=Parametres!$G$2,$Q384=Parametres!$G$3),K384,E384)</f>
        <v>74880</v>
      </c>
      <c r="Q384" s="656" t="str">
        <f t="shared" ref="Q384:S384" si="390">+F384</f>
        <v>7-Dépenses</v>
      </c>
      <c r="R384" s="655" t="str">
        <f t="shared" si="390"/>
        <v>6182</v>
      </c>
      <c r="S384" s="656">
        <f t="shared" si="390"/>
        <v>0</v>
      </c>
      <c r="T384" s="658" t="str">
        <f>+VLOOKUP($L384,Data_Validation!$A:$D,1,0)</f>
        <v>6482</v>
      </c>
      <c r="U384" s="658" t="str">
        <f>+VLOOKUP($L384,Data_Validation!$A:$D,3,0)</f>
        <v>Service</v>
      </c>
      <c r="V384" s="658" t="str">
        <f>+VLOOKUP($L384,Data_Validation!$A:$D,4,0)</f>
        <v>Loyer</v>
      </c>
      <c r="W384" s="658" t="str">
        <f>+VLOOKUP($L384,Data_Validation!$A:$E,5,0)</f>
        <v>$</v>
      </c>
      <c r="X384" s="658">
        <f>+VLOOKUP($L384,Data_Validation!$A:$F,6,0)</f>
        <v>0</v>
      </c>
    </row>
    <row r="385" spans="1:24" ht="15" customHeight="1">
      <c r="A385" s="1055" t="s">
        <v>1260</v>
      </c>
      <c r="B385" s="1055" t="s">
        <v>2525</v>
      </c>
      <c r="C385" s="1057">
        <v>11275.44</v>
      </c>
      <c r="D385" s="1057">
        <v>1025.04</v>
      </c>
      <c r="E385" s="1057">
        <v>12300.48</v>
      </c>
      <c r="F385" s="1055" t="s">
        <v>1156</v>
      </c>
      <c r="G385" s="1055" t="s">
        <v>1220</v>
      </c>
      <c r="H385" s="1032"/>
      <c r="I385" s="1035"/>
      <c r="J385" s="1035"/>
      <c r="K385" s="1035"/>
      <c r="L385" s="655" t="str">
        <f t="shared" si="328"/>
        <v>6486</v>
      </c>
      <c r="M385" s="656" t="str">
        <f t="shared" si="260"/>
        <v>ASSURANCE BATISSE &amp; AMEL.-SERVICE</v>
      </c>
      <c r="N385" s="657">
        <f>+IF(OR($Q385=Parametres!$G$2,$Q385=Parametres!$G$3),I385,C385)</f>
        <v>11275.44</v>
      </c>
      <c r="O385" s="657">
        <f>+IF(OR($Q385=Parametres!$G$2,$Q385=Parametres!$G$3),J385,D385)</f>
        <v>1025.04</v>
      </c>
      <c r="P385" s="657">
        <f>+IF(OR($Q385=Parametres!$G$2,$Q385=Parametres!$G$3),K385,E385)</f>
        <v>12300.48</v>
      </c>
      <c r="Q385" s="656" t="str">
        <f t="shared" ref="Q385:S385" si="391">+F385</f>
        <v>7-Dépenses</v>
      </c>
      <c r="R385" s="655" t="str">
        <f t="shared" si="391"/>
        <v>6186</v>
      </c>
      <c r="S385" s="656">
        <f t="shared" si="391"/>
        <v>0</v>
      </c>
      <c r="T385" s="658" t="str">
        <f>+VLOOKUP($L385,Data_Validation!$A:$D,1,0)</f>
        <v>6486</v>
      </c>
      <c r="U385" s="658" t="str">
        <f>+VLOOKUP($L385,Data_Validation!$A:$D,3,0)</f>
        <v>Service</v>
      </c>
      <c r="V385" s="658" t="str">
        <f>+VLOOKUP($L385,Data_Validation!$A:$D,4,0)</f>
        <v>Assurances</v>
      </c>
      <c r="W385" s="658" t="str">
        <f>+VLOOKUP($L385,Data_Validation!$A:$E,5,0)</f>
        <v>$</v>
      </c>
      <c r="X385" s="658">
        <f>+VLOOKUP($L385,Data_Validation!$A:$F,6,0)</f>
        <v>0</v>
      </c>
    </row>
    <row r="386" spans="1:24" ht="15" customHeight="1">
      <c r="A386" s="1055" t="s">
        <v>1261</v>
      </c>
      <c r="B386" s="1055" t="s">
        <v>2528</v>
      </c>
      <c r="C386" s="1057">
        <v>13015.2</v>
      </c>
      <c r="D386" s="1057">
        <v>397.45</v>
      </c>
      <c r="E386" s="1057">
        <v>13412.65</v>
      </c>
      <c r="F386" s="1055" t="s">
        <v>1156</v>
      </c>
      <c r="G386" s="1055" t="s">
        <v>1222</v>
      </c>
      <c r="H386" s="1032"/>
      <c r="I386" s="1035"/>
      <c r="J386" s="1035"/>
      <c r="K386" s="1035"/>
      <c r="L386" s="655" t="str">
        <f t="shared" si="328"/>
        <v>6487</v>
      </c>
      <c r="M386" s="656" t="str">
        <f t="shared" si="260"/>
        <v>TAXES FONCIERES - SERVICE</v>
      </c>
      <c r="N386" s="657">
        <f>+IF(OR($Q386=Parametres!$G$2,$Q386=Parametres!$G$3),I386,C386)</f>
        <v>13015.2</v>
      </c>
      <c r="O386" s="657">
        <f>+IF(OR($Q386=Parametres!$G$2,$Q386=Parametres!$G$3),J386,D386)</f>
        <v>397.45</v>
      </c>
      <c r="P386" s="657">
        <f>+IF(OR($Q386=Parametres!$G$2,$Q386=Parametres!$G$3),K386,E386)</f>
        <v>13412.65</v>
      </c>
      <c r="Q386" s="656" t="str">
        <f t="shared" ref="Q386:S386" si="392">+F386</f>
        <v>7-Dépenses</v>
      </c>
      <c r="R386" s="655" t="str">
        <f t="shared" si="392"/>
        <v>6187</v>
      </c>
      <c r="S386" s="656">
        <f t="shared" si="392"/>
        <v>0</v>
      </c>
      <c r="T386" s="658" t="str">
        <f>+VLOOKUP($L386,Data_Validation!$A:$D,1,0)</f>
        <v>6487</v>
      </c>
      <c r="U386" s="658" t="str">
        <f>+VLOOKUP($L386,Data_Validation!$A:$D,3,0)</f>
        <v>Service</v>
      </c>
      <c r="V386" s="658" t="str">
        <f>+VLOOKUP($L386,Data_Validation!$A:$D,4,0)</f>
        <v>Taxes foncières</v>
      </c>
      <c r="W386" s="658" t="str">
        <f>+VLOOKUP($L386,Data_Validation!$A:$E,5,0)</f>
        <v>$</v>
      </c>
      <c r="X386" s="658">
        <f>+VLOOKUP($L386,Data_Validation!$A:$F,6,0)</f>
        <v>0</v>
      </c>
    </row>
    <row r="387" spans="1:24" ht="15.75" customHeight="1">
      <c r="A387" s="1055" t="s">
        <v>1262</v>
      </c>
      <c r="B387" s="1055" t="s">
        <v>2531</v>
      </c>
      <c r="C387" s="1057">
        <v>8659.2000000000007</v>
      </c>
      <c r="D387" s="1057">
        <v>787.2</v>
      </c>
      <c r="E387" s="1057">
        <v>9446.4</v>
      </c>
      <c r="F387" s="1055" t="s">
        <v>1156</v>
      </c>
      <c r="G387" s="1055" t="s">
        <v>1224</v>
      </c>
      <c r="H387" s="1032"/>
      <c r="I387" s="1035"/>
      <c r="J387" s="1035"/>
      <c r="K387" s="1035"/>
      <c r="L387" s="655" t="str">
        <f t="shared" ref="L387:L450" si="393">TEXT(B387,0)</f>
        <v>6493</v>
      </c>
      <c r="M387" s="656" t="str">
        <f t="shared" si="260"/>
        <v>AUTRE TAXES-SERVICE</v>
      </c>
      <c r="N387" s="657">
        <f>+IF(OR($Q387=Parametres!$G$2,$Q387=Parametres!$G$3),I387,C387)</f>
        <v>8659.2000000000007</v>
      </c>
      <c r="O387" s="657">
        <f>+IF(OR($Q387=Parametres!$G$2,$Q387=Parametres!$G$3),J387,D387)</f>
        <v>787.2</v>
      </c>
      <c r="P387" s="657">
        <f>+IF(OR($Q387=Parametres!$G$2,$Q387=Parametres!$G$3),K387,E387)</f>
        <v>9446.4</v>
      </c>
      <c r="Q387" s="656" t="str">
        <f t="shared" ref="Q387:S387" si="394">+F387</f>
        <v>7-Dépenses</v>
      </c>
      <c r="R387" s="655" t="str">
        <f t="shared" si="394"/>
        <v>6193</v>
      </c>
      <c r="S387" s="656">
        <f t="shared" si="394"/>
        <v>0</v>
      </c>
      <c r="T387" s="658" t="str">
        <f>+VLOOKUP($L387,Data_Validation!$A:$D,1,0)</f>
        <v>6493</v>
      </c>
      <c r="U387" s="658" t="str">
        <f>+VLOOKUP($L387,Data_Validation!$A:$D,3,0)</f>
        <v>Service</v>
      </c>
      <c r="V387" s="658" t="str">
        <f>+VLOOKUP($L387,Data_Validation!$A:$D,4,0)</f>
        <v>Taxes d`affaires</v>
      </c>
      <c r="W387" s="658" t="str">
        <f>+VLOOKUP($L387,Data_Validation!$A:$E,5,0)</f>
        <v>$</v>
      </c>
      <c r="X387" s="658">
        <f>+VLOOKUP($L387,Data_Validation!$A:$F,6,0)</f>
        <v>0</v>
      </c>
    </row>
    <row r="388" spans="1:24" ht="15" customHeight="1">
      <c r="A388" s="1055" t="s">
        <v>1263</v>
      </c>
      <c r="B388" s="1055" t="s">
        <v>2534</v>
      </c>
      <c r="C388" s="1057">
        <v>16409.599999999999</v>
      </c>
      <c r="D388" s="1057">
        <v>1469.6</v>
      </c>
      <c r="E388" s="1057">
        <v>17879.2</v>
      </c>
      <c r="F388" s="1055" t="s">
        <v>1156</v>
      </c>
      <c r="G388" s="1055" t="s">
        <v>1226</v>
      </c>
      <c r="H388" s="1032"/>
      <c r="I388" s="1035"/>
      <c r="J388" s="1035"/>
      <c r="K388" s="1035"/>
      <c r="L388" s="655" t="str">
        <f t="shared" si="393"/>
        <v>6494</v>
      </c>
      <c r="M388" s="656" t="str">
        <f t="shared" si="260"/>
        <v>FRAIS PROFESSIONNEL-SERVICE</v>
      </c>
      <c r="N388" s="657">
        <f>+IF(OR($Q388=Parametres!$G$2,$Q388=Parametres!$G$3),I388,C388)</f>
        <v>16409.599999999999</v>
      </c>
      <c r="O388" s="657">
        <f>+IF(OR($Q388=Parametres!$G$2,$Q388=Parametres!$G$3),J388,D388)</f>
        <v>1469.6</v>
      </c>
      <c r="P388" s="657">
        <f>+IF(OR($Q388=Parametres!$G$2,$Q388=Parametres!$G$3),K388,E388)</f>
        <v>17879.2</v>
      </c>
      <c r="Q388" s="656" t="str">
        <f t="shared" ref="Q388:S388" si="395">+F388</f>
        <v>7-Dépenses</v>
      </c>
      <c r="R388" s="655" t="str">
        <f t="shared" si="395"/>
        <v>6194</v>
      </c>
      <c r="S388" s="656">
        <f t="shared" si="395"/>
        <v>0</v>
      </c>
      <c r="T388" s="658" t="str">
        <f>+VLOOKUP($L388,Data_Validation!$A:$D,1,0)</f>
        <v>6494</v>
      </c>
      <c r="U388" s="658" t="str">
        <f>+VLOOKUP($L388,Data_Validation!$A:$D,3,0)</f>
        <v>Service</v>
      </c>
      <c r="V388" s="658" t="str">
        <f>+VLOOKUP($L388,Data_Validation!$A:$D,4,0)</f>
        <v>Honoraires</v>
      </c>
      <c r="W388" s="658" t="str">
        <f>+VLOOKUP($L388,Data_Validation!$A:$E,5,0)</f>
        <v>$</v>
      </c>
      <c r="X388" s="658">
        <f>+VLOOKUP($L388,Data_Validation!$A:$F,6,0)</f>
        <v>0</v>
      </c>
    </row>
    <row r="389" spans="1:24" ht="15" customHeight="1">
      <c r="A389" s="1055" t="s">
        <v>1264</v>
      </c>
      <c r="B389" s="1055" t="s">
        <v>3400</v>
      </c>
      <c r="C389" s="1057">
        <v>326.92</v>
      </c>
      <c r="D389" s="1057">
        <v>0</v>
      </c>
      <c r="E389" s="1057">
        <v>326.92</v>
      </c>
      <c r="F389" s="1055" t="s">
        <v>1156</v>
      </c>
      <c r="G389" s="1055" t="s">
        <v>1265</v>
      </c>
      <c r="H389" s="1032"/>
      <c r="I389" s="1035"/>
      <c r="J389" s="1035"/>
      <c r="K389" s="1035"/>
      <c r="L389" s="655" t="str">
        <f t="shared" si="393"/>
        <v>6496</v>
      </c>
      <c r="M389" s="656" t="str">
        <f t="shared" si="260"/>
        <v>MAUVAISES CREANCES - SERVICE</v>
      </c>
      <c r="N389" s="657">
        <f>+IF(OR($Q389=Parametres!$G$2,$Q389=Parametres!$G$3),I389,C389)</f>
        <v>326.92</v>
      </c>
      <c r="O389" s="657">
        <f>+IF(OR($Q389=Parametres!$G$2,$Q389=Parametres!$G$3),J389,D389)</f>
        <v>0</v>
      </c>
      <c r="P389" s="657">
        <f>+IF(OR($Q389=Parametres!$G$2,$Q389=Parametres!$G$3),K389,E389)</f>
        <v>326.92</v>
      </c>
      <c r="Q389" s="656" t="str">
        <f t="shared" ref="Q389:S389" si="396">+F389</f>
        <v>7-Dépenses</v>
      </c>
      <c r="R389" s="655" t="str">
        <f t="shared" si="396"/>
        <v>6196</v>
      </c>
      <c r="S389" s="656">
        <f t="shared" si="396"/>
        <v>0</v>
      </c>
      <c r="T389" s="658" t="str">
        <f>+VLOOKUP($L389,Data_Validation!$A:$D,1,0)</f>
        <v>6496</v>
      </c>
      <c r="U389" s="658" t="str">
        <f>+VLOOKUP($L389,Data_Validation!$A:$D,3,0)</f>
        <v>Service</v>
      </c>
      <c r="V389" s="658" t="str">
        <f>+VLOOKUP($L389,Data_Validation!$A:$D,4,0)</f>
        <v>Divers</v>
      </c>
      <c r="W389" s="658" t="str">
        <f>+VLOOKUP($L389,Data_Validation!$A:$E,5,0)</f>
        <v>$</v>
      </c>
      <c r="X389" s="658">
        <f>+VLOOKUP($L389,Data_Validation!$A:$F,6,0)</f>
        <v>0</v>
      </c>
    </row>
    <row r="390" spans="1:24" ht="15" customHeight="1">
      <c r="A390" s="1055" t="s">
        <v>1160</v>
      </c>
      <c r="B390" s="1055" t="s">
        <v>2537</v>
      </c>
      <c r="C390" s="1057">
        <v>4867.87</v>
      </c>
      <c r="D390" s="1057">
        <v>1987.13</v>
      </c>
      <c r="E390" s="1057">
        <v>6855</v>
      </c>
      <c r="F390" s="1055" t="s">
        <v>1156</v>
      </c>
      <c r="G390" s="1055" t="s">
        <v>1244</v>
      </c>
      <c r="H390" s="1032"/>
      <c r="I390" s="1035"/>
      <c r="J390" s="1035"/>
      <c r="K390" s="1035"/>
      <c r="L390" s="655" t="str">
        <f t="shared" si="393"/>
        <v>6503</v>
      </c>
      <c r="M390" s="656" t="str">
        <f t="shared" si="260"/>
        <v>RELAT. A LA CLIENTELE &amp; AJUST.</v>
      </c>
      <c r="N390" s="657">
        <f>+IF(OR($Q390=Parametres!$G$2,$Q390=Parametres!$G$3),I390,C390)</f>
        <v>4867.87</v>
      </c>
      <c r="O390" s="657">
        <f>+IF(OR($Q390=Parametres!$G$2,$Q390=Parametres!$G$3),J390,D390)</f>
        <v>1987.13</v>
      </c>
      <c r="P390" s="657">
        <f>+IF(OR($Q390=Parametres!$G$2,$Q390=Parametres!$G$3),K390,E390)</f>
        <v>6855</v>
      </c>
      <c r="Q390" s="656" t="str">
        <f t="shared" ref="Q390:S390" si="397">+F390</f>
        <v>7-Dépenses</v>
      </c>
      <c r="R390" s="655" t="str">
        <f t="shared" si="397"/>
        <v>6112</v>
      </c>
      <c r="S390" s="656">
        <f t="shared" si="397"/>
        <v>0</v>
      </c>
      <c r="T390" s="658" t="str">
        <f>+VLOOKUP($L390,Data_Validation!$A:$D,1,0)</f>
        <v>6503</v>
      </c>
      <c r="U390" s="658" t="str">
        <f>+VLOOKUP($L390,Data_Validation!$A:$D,3,0)</f>
        <v>Carrosserie</v>
      </c>
      <c r="V390" s="658" t="str">
        <f>+VLOOKUP($L390,Data_Validation!$A:$D,4,0)</f>
        <v>Service gratuit 2</v>
      </c>
      <c r="W390" s="658" t="str">
        <f>+VLOOKUP($L390,Data_Validation!$A:$E,5,0)</f>
        <v>$</v>
      </c>
      <c r="X390" s="658">
        <f>+VLOOKUP($L390,Data_Validation!$A:$F,6,0)</f>
        <v>0</v>
      </c>
    </row>
    <row r="391" spans="1:24" ht="15.75" customHeight="1">
      <c r="A391" s="1055" t="s">
        <v>1168</v>
      </c>
      <c r="B391" s="1055" t="s">
        <v>2543</v>
      </c>
      <c r="C391" s="1057">
        <v>264.8</v>
      </c>
      <c r="D391" s="1057">
        <v>0.09</v>
      </c>
      <c r="E391" s="1057">
        <v>264.89</v>
      </c>
      <c r="F391" s="1055" t="s">
        <v>1156</v>
      </c>
      <c r="G391" s="1055" t="s">
        <v>1169</v>
      </c>
      <c r="H391" s="1032"/>
      <c r="I391" s="1035"/>
      <c r="J391" s="1035"/>
      <c r="K391" s="1035"/>
      <c r="L391" s="655" t="str">
        <f t="shared" si="393"/>
        <v>6514</v>
      </c>
      <c r="M391" s="656" t="str">
        <f t="shared" si="260"/>
        <v>PUBLICITE</v>
      </c>
      <c r="N391" s="657">
        <f>+IF(OR($Q391=Parametres!$G$2,$Q391=Parametres!$G$3),I391,C391)</f>
        <v>264.8</v>
      </c>
      <c r="O391" s="657">
        <f>+IF(OR($Q391=Parametres!$G$2,$Q391=Parametres!$G$3),J391,D391)</f>
        <v>0.09</v>
      </c>
      <c r="P391" s="657">
        <f>+IF(OR($Q391=Parametres!$G$2,$Q391=Parametres!$G$3),K391,E391)</f>
        <v>264.89</v>
      </c>
      <c r="Q391" s="656" t="str">
        <f t="shared" ref="Q391:S391" si="398">+F391</f>
        <v>7-Dépenses</v>
      </c>
      <c r="R391" s="655" t="str">
        <f t="shared" si="398"/>
        <v>6114</v>
      </c>
      <c r="S391" s="656">
        <f t="shared" si="398"/>
        <v>0</v>
      </c>
      <c r="T391" s="658" t="str">
        <f>+VLOOKUP($L391,Data_Validation!$A:$D,1,0)</f>
        <v>6514</v>
      </c>
      <c r="U391" s="658" t="str">
        <f>+VLOOKUP($L391,Data_Validation!$A:$D,3,0)</f>
        <v>Carrosserie</v>
      </c>
      <c r="V391" s="658" t="str">
        <f>+VLOOKUP($L391,Data_Validation!$A:$D,4,0)</f>
        <v>Publicité 2</v>
      </c>
      <c r="W391" s="658" t="str">
        <f>+VLOOKUP($L391,Data_Validation!$A:$E,5,0)</f>
        <v>$</v>
      </c>
      <c r="X391" s="658">
        <f>+VLOOKUP($L391,Data_Validation!$A:$F,6,0)</f>
        <v>0</v>
      </c>
    </row>
    <row r="392" spans="1:24" ht="15" customHeight="1">
      <c r="A392" s="1055" t="s">
        <v>1171</v>
      </c>
      <c r="B392" s="1055" t="s">
        <v>2549</v>
      </c>
      <c r="C392" s="1057">
        <v>4449.6899999999996</v>
      </c>
      <c r="D392" s="1057">
        <v>464.99</v>
      </c>
      <c r="E392" s="1057">
        <v>4914.68</v>
      </c>
      <c r="F392" s="1055" t="s">
        <v>1156</v>
      </c>
      <c r="G392" s="1055" t="s">
        <v>1172</v>
      </c>
      <c r="H392" s="1032"/>
      <c r="I392" s="1035"/>
      <c r="J392" s="1035"/>
      <c r="K392" s="1035"/>
      <c r="L392" s="655" t="str">
        <f t="shared" si="393"/>
        <v>6521</v>
      </c>
      <c r="M392" s="656" t="str">
        <f t="shared" si="260"/>
        <v>SALAIRES - PROPRIETAIRES</v>
      </c>
      <c r="N392" s="657">
        <f>+IF(OR($Q392=Parametres!$G$2,$Q392=Parametres!$G$3),I392,C392)</f>
        <v>4449.6899999999996</v>
      </c>
      <c r="O392" s="657">
        <f>+IF(OR($Q392=Parametres!$G$2,$Q392=Parametres!$G$3),J392,D392)</f>
        <v>464.99</v>
      </c>
      <c r="P392" s="657">
        <f>+IF(OR($Q392=Parametres!$G$2,$Q392=Parametres!$G$3),K392,E392)</f>
        <v>4914.68</v>
      </c>
      <c r="Q392" s="656" t="str">
        <f t="shared" ref="Q392:S392" si="399">+F392</f>
        <v>7-Dépenses</v>
      </c>
      <c r="R392" s="655" t="str">
        <f t="shared" si="399"/>
        <v>6121</v>
      </c>
      <c r="S392" s="656">
        <f t="shared" si="399"/>
        <v>0</v>
      </c>
      <c r="T392" s="658" t="str">
        <f>+VLOOKUP($L392,Data_Validation!$A:$D,1,0)</f>
        <v>6521</v>
      </c>
      <c r="U392" s="658" t="str">
        <f>+VLOOKUP($L392,Data_Validation!$A:$D,3,0)</f>
        <v>Carrosserie</v>
      </c>
      <c r="V392" s="658" t="str">
        <f>+VLOOKUP($L392,Data_Validation!$A:$D,4,0)</f>
        <v>Salaires propriétaire</v>
      </c>
      <c r="W392" s="658" t="str">
        <f>+VLOOKUP($L392,Data_Validation!$A:$E,5,0)</f>
        <v>$</v>
      </c>
      <c r="X392" s="658">
        <f>+VLOOKUP($L392,Data_Validation!$A:$F,6,0)</f>
        <v>0</v>
      </c>
    </row>
    <row r="393" spans="1:24" ht="15" customHeight="1">
      <c r="A393" s="1055" t="s">
        <v>1173</v>
      </c>
      <c r="B393" s="1055" t="s">
        <v>2552</v>
      </c>
      <c r="C393" s="1057">
        <v>10420.68</v>
      </c>
      <c r="D393" s="1057">
        <v>901.88</v>
      </c>
      <c r="E393" s="1057">
        <v>11322.56</v>
      </c>
      <c r="F393" s="1055" t="s">
        <v>1156</v>
      </c>
      <c r="G393" s="1055" t="s">
        <v>1174</v>
      </c>
      <c r="H393" s="1032"/>
      <c r="I393" s="1035"/>
      <c r="J393" s="1035"/>
      <c r="K393" s="1035"/>
      <c r="L393" s="655" t="str">
        <f t="shared" si="393"/>
        <v>6522</v>
      </c>
      <c r="M393" s="656" t="str">
        <f t="shared" si="260"/>
        <v>SAL SUPERVISION / GERANT</v>
      </c>
      <c r="N393" s="657">
        <f>+IF(OR($Q393=Parametres!$G$2,$Q393=Parametres!$G$3),I393,C393)</f>
        <v>10420.68</v>
      </c>
      <c r="O393" s="657">
        <f>+IF(OR($Q393=Parametres!$G$2,$Q393=Parametres!$G$3),J393,D393)</f>
        <v>901.88</v>
      </c>
      <c r="P393" s="657">
        <f>+IF(OR($Q393=Parametres!$G$2,$Q393=Parametres!$G$3),K393,E393)</f>
        <v>11322.56</v>
      </c>
      <c r="Q393" s="656" t="str">
        <f t="shared" ref="Q393:S393" si="400">+F393</f>
        <v>7-Dépenses</v>
      </c>
      <c r="R393" s="655" t="str">
        <f t="shared" si="400"/>
        <v>6122</v>
      </c>
      <c r="S393" s="656">
        <f t="shared" si="400"/>
        <v>0</v>
      </c>
      <c r="T393" s="658" t="str">
        <f>+VLOOKUP($L393,Data_Validation!$A:$D,1,0)</f>
        <v>6522</v>
      </c>
      <c r="U393" s="658" t="str">
        <f>+VLOOKUP($L393,Data_Validation!$A:$D,3,0)</f>
        <v>Carrosserie</v>
      </c>
      <c r="V393" s="658" t="str">
        <f>+VLOOKUP($L393,Data_Validation!$A:$D,4,0)</f>
        <v>Salaires cadres</v>
      </c>
      <c r="W393" s="658" t="str">
        <f>+VLOOKUP($L393,Data_Validation!$A:$E,5,0)</f>
        <v>$</v>
      </c>
      <c r="X393" s="658">
        <f>+VLOOKUP($L393,Data_Validation!$A:$F,6,0)</f>
        <v>0</v>
      </c>
    </row>
    <row r="394" spans="1:24" ht="15" customHeight="1">
      <c r="A394" s="1055" t="s">
        <v>1246</v>
      </c>
      <c r="B394" s="1055" t="s">
        <v>2555</v>
      </c>
      <c r="C394" s="1057">
        <v>4751.8599999999997</v>
      </c>
      <c r="D394" s="1057">
        <v>1093.06</v>
      </c>
      <c r="E394" s="1057">
        <v>5844.92</v>
      </c>
      <c r="F394" s="1055" t="s">
        <v>1156</v>
      </c>
      <c r="G394" s="1055" t="s">
        <v>1176</v>
      </c>
      <c r="H394" s="1032"/>
      <c r="I394" s="1035"/>
      <c r="J394" s="1035"/>
      <c r="K394" s="1035"/>
      <c r="L394" s="655" t="str">
        <f t="shared" si="393"/>
        <v>6523</v>
      </c>
      <c r="M394" s="656" t="str">
        <f t="shared" si="260"/>
        <v>SAL. &amp; RENUM. CLERICAL</v>
      </c>
      <c r="N394" s="657">
        <f>+IF(OR($Q394=Parametres!$G$2,$Q394=Parametres!$G$3),I394,C394)</f>
        <v>4751.8599999999997</v>
      </c>
      <c r="O394" s="657">
        <f>+IF(OR($Q394=Parametres!$G$2,$Q394=Parametres!$G$3),J394,D394)</f>
        <v>1093.06</v>
      </c>
      <c r="P394" s="657">
        <f>+IF(OR($Q394=Parametres!$G$2,$Q394=Parametres!$G$3),K394,E394)</f>
        <v>5844.92</v>
      </c>
      <c r="Q394" s="656" t="str">
        <f t="shared" ref="Q394:S394" si="401">+F394</f>
        <v>7-Dépenses</v>
      </c>
      <c r="R394" s="655" t="str">
        <f t="shared" si="401"/>
        <v>6123</v>
      </c>
      <c r="S394" s="656">
        <f t="shared" si="401"/>
        <v>0</v>
      </c>
      <c r="T394" s="658" t="str">
        <f>+VLOOKUP($L394,Data_Validation!$A:$D,1,0)</f>
        <v>6523</v>
      </c>
      <c r="U394" s="658" t="str">
        <f>+VLOOKUP($L394,Data_Validation!$A:$D,3,0)</f>
        <v>Carrosserie</v>
      </c>
      <c r="V394" s="658" t="str">
        <f>+VLOOKUP($L394,Data_Validation!$A:$D,4,0)</f>
        <v>Salaires commis</v>
      </c>
      <c r="W394" s="658" t="str">
        <f>+VLOOKUP($L394,Data_Validation!$A:$E,5,0)</f>
        <v>$</v>
      </c>
      <c r="X394" s="658">
        <f>+VLOOKUP($L394,Data_Validation!$A:$F,6,0)</f>
        <v>0</v>
      </c>
    </row>
    <row r="395" spans="1:24" ht="15.75" customHeight="1">
      <c r="A395" s="1055" t="s">
        <v>1177</v>
      </c>
      <c r="B395" s="1055" t="s">
        <v>2558</v>
      </c>
      <c r="C395" s="1057">
        <v>4798.2</v>
      </c>
      <c r="D395" s="1057">
        <v>0.83</v>
      </c>
      <c r="E395" s="1057">
        <v>4799.03</v>
      </c>
      <c r="F395" s="1055" t="s">
        <v>1156</v>
      </c>
      <c r="G395" s="1055" t="s">
        <v>1178</v>
      </c>
      <c r="H395" s="1032"/>
      <c r="I395" s="1035"/>
      <c r="J395" s="1035"/>
      <c r="K395" s="1035"/>
      <c r="L395" s="655" t="str">
        <f t="shared" si="393"/>
        <v>6524</v>
      </c>
      <c r="M395" s="656" t="str">
        <f t="shared" si="260"/>
        <v>SALAIRES &amp; RENUM. - AUTRES</v>
      </c>
      <c r="N395" s="657">
        <f>+IF(OR($Q395=Parametres!$G$2,$Q395=Parametres!$G$3),I395,C395)</f>
        <v>4798.2</v>
      </c>
      <c r="O395" s="657">
        <f>+IF(OR($Q395=Parametres!$G$2,$Q395=Parametres!$G$3),J395,D395)</f>
        <v>0.83</v>
      </c>
      <c r="P395" s="657">
        <f>+IF(OR($Q395=Parametres!$G$2,$Q395=Parametres!$G$3),K395,E395)</f>
        <v>4799.03</v>
      </c>
      <c r="Q395" s="656" t="str">
        <f t="shared" ref="Q395:S395" si="402">+F395</f>
        <v>7-Dépenses</v>
      </c>
      <c r="R395" s="655" t="str">
        <f t="shared" si="402"/>
        <v>6124</v>
      </c>
      <c r="S395" s="656">
        <f t="shared" si="402"/>
        <v>0</v>
      </c>
      <c r="T395" s="658" t="str">
        <f>+VLOOKUP($L395,Data_Validation!$A:$D,1,0)</f>
        <v>6524</v>
      </c>
      <c r="U395" s="658" t="str">
        <f>+VLOOKUP($L395,Data_Validation!$A:$D,3,0)</f>
        <v>Carrosserie</v>
      </c>
      <c r="V395" s="658" t="str">
        <f>+VLOOKUP($L395,Data_Validation!$A:$D,4,0)</f>
        <v>Salaires autres</v>
      </c>
      <c r="W395" s="658" t="str">
        <f>+VLOOKUP($L395,Data_Validation!$A:$E,5,0)</f>
        <v>$</v>
      </c>
      <c r="X395" s="658">
        <f>+VLOOKUP($L395,Data_Validation!$A:$F,6,0)</f>
        <v>0</v>
      </c>
    </row>
    <row r="396" spans="1:24" ht="15" customHeight="1">
      <c r="A396" s="1055" t="s">
        <v>1247</v>
      </c>
      <c r="B396" s="1055" t="s">
        <v>2561</v>
      </c>
      <c r="C396" s="1057">
        <v>43101.17</v>
      </c>
      <c r="D396" s="1057">
        <v>1713.86</v>
      </c>
      <c r="E396" s="1057">
        <v>44815.03</v>
      </c>
      <c r="F396" s="1055" t="s">
        <v>1156</v>
      </c>
      <c r="G396" s="1055" t="s">
        <v>1248</v>
      </c>
      <c r="H396" s="1032"/>
      <c r="I396" s="1035"/>
      <c r="J396" s="1035"/>
      <c r="K396" s="1035"/>
      <c r="L396" s="655" t="str">
        <f t="shared" si="393"/>
        <v>6525</v>
      </c>
      <c r="M396" s="656" t="str">
        <f t="shared" si="260"/>
        <v>SALAIRE SPECIALISTES</v>
      </c>
      <c r="N396" s="657">
        <f>+IF(OR($Q396=Parametres!$G$2,$Q396=Parametres!$G$3),I396,C396)</f>
        <v>43101.17</v>
      </c>
      <c r="O396" s="657">
        <f>+IF(OR($Q396=Parametres!$G$2,$Q396=Parametres!$G$3),J396,D396)</f>
        <v>1713.86</v>
      </c>
      <c r="P396" s="657">
        <f>+IF(OR($Q396=Parametres!$G$2,$Q396=Parametres!$G$3),K396,E396)</f>
        <v>44815.03</v>
      </c>
      <c r="Q396" s="656" t="str">
        <f t="shared" ref="Q396:S396" si="403">+F396</f>
        <v>7-Dépenses</v>
      </c>
      <c r="R396" s="655" t="str">
        <f t="shared" si="403"/>
        <v>6125</v>
      </c>
      <c r="S396" s="656">
        <f t="shared" si="403"/>
        <v>0</v>
      </c>
      <c r="T396" s="658" t="str">
        <f>+VLOOKUP($L396,Data_Validation!$A:$D,1,0)</f>
        <v>6525</v>
      </c>
      <c r="U396" s="658" t="str">
        <f>+VLOOKUP($L396,Data_Validation!$A:$D,3,0)</f>
        <v>Carrosserie</v>
      </c>
      <c r="V396" s="658" t="str">
        <f>+VLOOKUP($L396,Data_Validation!$A:$D,4,0)</f>
        <v>Salaires spécialistes</v>
      </c>
      <c r="W396" s="658" t="str">
        <f>+VLOOKUP($L396,Data_Validation!$A:$E,5,0)</f>
        <v>$</v>
      </c>
      <c r="X396" s="658">
        <f>+VLOOKUP($L396,Data_Validation!$A:$F,6,0)</f>
        <v>0</v>
      </c>
    </row>
    <row r="397" spans="1:24" ht="15" customHeight="1">
      <c r="A397" s="1055" t="s">
        <v>1231</v>
      </c>
      <c r="B397" s="1055" t="s">
        <v>2564</v>
      </c>
      <c r="C397" s="1057">
        <v>7570.51</v>
      </c>
      <c r="D397" s="1057">
        <v>1911.82</v>
      </c>
      <c r="E397" s="1057">
        <v>9482.33</v>
      </c>
      <c r="F397" s="1055" t="s">
        <v>1156</v>
      </c>
      <c r="G397" s="1055" t="s">
        <v>1180</v>
      </c>
      <c r="H397" s="1032"/>
      <c r="I397" s="1035"/>
      <c r="J397" s="1035"/>
      <c r="K397" s="1035"/>
      <c r="L397" s="655" t="str">
        <f t="shared" si="393"/>
        <v>6529</v>
      </c>
      <c r="M397" s="656" t="str">
        <f t="shared" si="260"/>
        <v>ABS.,VACANCES &amp; SAL. JOURS FER</v>
      </c>
      <c r="N397" s="657">
        <f>+IF(OR($Q397=Parametres!$G$2,$Q397=Parametres!$G$3),I397,C397)</f>
        <v>7570.51</v>
      </c>
      <c r="O397" s="657">
        <f>+IF(OR($Q397=Parametres!$G$2,$Q397=Parametres!$G$3),J397,D397)</f>
        <v>1911.82</v>
      </c>
      <c r="P397" s="657">
        <f>+IF(OR($Q397=Parametres!$G$2,$Q397=Parametres!$G$3),K397,E397)</f>
        <v>9482.33</v>
      </c>
      <c r="Q397" s="656" t="str">
        <f t="shared" ref="Q397:S397" si="404">+F397</f>
        <v>7-Dépenses</v>
      </c>
      <c r="R397" s="655" t="str">
        <f t="shared" si="404"/>
        <v>6129</v>
      </c>
      <c r="S397" s="656">
        <f t="shared" si="404"/>
        <v>0</v>
      </c>
      <c r="T397" s="658" t="str">
        <f>+VLOOKUP($L397,Data_Validation!$A:$D,1,0)</f>
        <v>6529</v>
      </c>
      <c r="U397" s="658" t="str">
        <f>+VLOOKUP($L397,Data_Validation!$A:$D,3,0)</f>
        <v>Carrosserie</v>
      </c>
      <c r="V397" s="658" t="str">
        <f>+VLOOKUP($L397,Data_Validation!$A:$D,4,0)</f>
        <v>Salaires en absences</v>
      </c>
      <c r="W397" s="658" t="str">
        <f>+VLOOKUP($L397,Data_Validation!$A:$E,5,0)</f>
        <v>$</v>
      </c>
      <c r="X397" s="658">
        <f>+VLOOKUP($L397,Data_Validation!$A:$F,6,0)</f>
        <v>0</v>
      </c>
    </row>
    <row r="398" spans="1:24" ht="15" customHeight="1">
      <c r="A398" s="1055" t="s">
        <v>1181</v>
      </c>
      <c r="B398" s="1055" t="s">
        <v>2567</v>
      </c>
      <c r="C398" s="1057">
        <v>3076.99</v>
      </c>
      <c r="D398" s="1057">
        <v>792.61</v>
      </c>
      <c r="E398" s="1057">
        <v>3869.6</v>
      </c>
      <c r="F398" s="1055" t="s">
        <v>1156</v>
      </c>
      <c r="G398" s="1055" t="s">
        <v>1182</v>
      </c>
      <c r="H398" s="1032"/>
      <c r="I398" s="1035"/>
      <c r="J398" s="1035"/>
      <c r="K398" s="1035"/>
      <c r="L398" s="655" t="str">
        <f t="shared" si="393"/>
        <v>6531</v>
      </c>
      <c r="M398" s="656" t="str">
        <f t="shared" si="260"/>
        <v>CSST</v>
      </c>
      <c r="N398" s="657">
        <f>+IF(OR($Q398=Parametres!$G$2,$Q398=Parametres!$G$3),I398,C398)</f>
        <v>3076.99</v>
      </c>
      <c r="O398" s="657">
        <f>+IF(OR($Q398=Parametres!$G$2,$Q398=Parametres!$G$3),J398,D398)</f>
        <v>792.61</v>
      </c>
      <c r="P398" s="657">
        <f>+IF(OR($Q398=Parametres!$G$2,$Q398=Parametres!$G$3),K398,E398)</f>
        <v>3869.6</v>
      </c>
      <c r="Q398" s="656" t="str">
        <f t="shared" ref="Q398:S398" si="405">+F398</f>
        <v>7-Dépenses</v>
      </c>
      <c r="R398" s="655" t="str">
        <f t="shared" si="405"/>
        <v>6131</v>
      </c>
      <c r="S398" s="656">
        <f t="shared" si="405"/>
        <v>0</v>
      </c>
      <c r="T398" s="658" t="str">
        <f>+VLOOKUP($L398,Data_Validation!$A:$D,1,0)</f>
        <v>6531</v>
      </c>
      <c r="U398" s="658" t="str">
        <f>+VLOOKUP($L398,Data_Validation!$A:$D,3,0)</f>
        <v>Carrosserie</v>
      </c>
      <c r="V398" s="658" t="str">
        <f>+VLOOKUP($L398,Data_Validation!$A:$D,4,0)</f>
        <v>Csst</v>
      </c>
      <c r="W398" s="658" t="str">
        <f>+VLOOKUP($L398,Data_Validation!$A:$E,5,0)</f>
        <v>$</v>
      </c>
      <c r="X398" s="658">
        <f>+VLOOKUP($L398,Data_Validation!$A:$F,6,0)</f>
        <v>0</v>
      </c>
    </row>
    <row r="399" spans="1:24" ht="15.75" customHeight="1">
      <c r="A399" s="1055" t="s">
        <v>1183</v>
      </c>
      <c r="B399" s="1055" t="s">
        <v>2570</v>
      </c>
      <c r="C399" s="1057">
        <v>17061.650000000001</v>
      </c>
      <c r="D399" s="1057">
        <v>3312.66</v>
      </c>
      <c r="E399" s="1057">
        <v>20374.310000000001</v>
      </c>
      <c r="F399" s="1055" t="s">
        <v>1156</v>
      </c>
      <c r="G399" s="1055" t="s">
        <v>1184</v>
      </c>
      <c r="H399" s="1032"/>
      <c r="I399" s="1035"/>
      <c r="J399" s="1035"/>
      <c r="K399" s="1035"/>
      <c r="L399" s="655" t="str">
        <f t="shared" si="393"/>
        <v>6532</v>
      </c>
      <c r="M399" s="656" t="str">
        <f t="shared" si="260"/>
        <v>RRQ RAMQ AC</v>
      </c>
      <c r="N399" s="657">
        <f>+IF(OR($Q399=Parametres!$G$2,$Q399=Parametres!$G$3),I399,C399)</f>
        <v>17061.650000000001</v>
      </c>
      <c r="O399" s="657">
        <f>+IF(OR($Q399=Parametres!$G$2,$Q399=Parametres!$G$3),J399,D399)</f>
        <v>3312.66</v>
      </c>
      <c r="P399" s="657">
        <f>+IF(OR($Q399=Parametres!$G$2,$Q399=Parametres!$G$3),K399,E399)</f>
        <v>20374.310000000001</v>
      </c>
      <c r="Q399" s="656" t="str">
        <f t="shared" ref="Q399:S399" si="406">+F399</f>
        <v>7-Dépenses</v>
      </c>
      <c r="R399" s="655" t="str">
        <f t="shared" si="406"/>
        <v>6132</v>
      </c>
      <c r="S399" s="656">
        <f t="shared" si="406"/>
        <v>0</v>
      </c>
      <c r="T399" s="658" t="str">
        <f>+VLOOKUP($L399,Data_Validation!$A:$D,1,0)</f>
        <v>6532</v>
      </c>
      <c r="U399" s="658" t="str">
        <f>+VLOOKUP($L399,Data_Validation!$A:$D,3,0)</f>
        <v>Carrosserie</v>
      </c>
      <c r="V399" s="658" t="str">
        <f>+VLOOKUP($L399,Data_Validation!$A:$D,4,0)</f>
        <v>Déduction à la source</v>
      </c>
      <c r="W399" s="658" t="str">
        <f>+VLOOKUP($L399,Data_Validation!$A:$E,5,0)</f>
        <v>$</v>
      </c>
      <c r="X399" s="658">
        <f>+VLOOKUP($L399,Data_Validation!$A:$F,6,0)</f>
        <v>0</v>
      </c>
    </row>
    <row r="400" spans="1:24" ht="15" customHeight="1">
      <c r="A400" s="1055" t="s">
        <v>1266</v>
      </c>
      <c r="B400" s="1055" t="s">
        <v>3401</v>
      </c>
      <c r="C400" s="1057">
        <v>0</v>
      </c>
      <c r="D400" s="1057">
        <v>69.39</v>
      </c>
      <c r="E400" s="1057">
        <v>69.39</v>
      </c>
      <c r="F400" s="1055" t="s">
        <v>1156</v>
      </c>
      <c r="G400" s="1055" t="s">
        <v>1186</v>
      </c>
      <c r="H400" s="1032"/>
      <c r="I400" s="1035"/>
      <c r="J400" s="1035"/>
      <c r="K400" s="1035"/>
      <c r="L400" s="655" t="str">
        <f t="shared" si="393"/>
        <v>6533</v>
      </c>
      <c r="M400" s="656" t="str">
        <f t="shared" si="260"/>
        <v>FOND PENSION - CARROSSERIE</v>
      </c>
      <c r="N400" s="657">
        <f>+IF(OR($Q400=Parametres!$G$2,$Q400=Parametres!$G$3),I400,C400)</f>
        <v>0</v>
      </c>
      <c r="O400" s="657">
        <f>+IF(OR($Q400=Parametres!$G$2,$Q400=Parametres!$G$3),J400,D400)</f>
        <v>69.39</v>
      </c>
      <c r="P400" s="657">
        <f>+IF(OR($Q400=Parametres!$G$2,$Q400=Parametres!$G$3),K400,E400)</f>
        <v>69.39</v>
      </c>
      <c r="Q400" s="656" t="str">
        <f t="shared" ref="Q400:S400" si="407">+F400</f>
        <v>7-Dépenses</v>
      </c>
      <c r="R400" s="655" t="str">
        <f t="shared" si="407"/>
        <v>6133</v>
      </c>
      <c r="S400" s="656">
        <f t="shared" si="407"/>
        <v>0</v>
      </c>
      <c r="T400" s="658" t="str">
        <f>+VLOOKUP($L400,Data_Validation!$A:$D,1,0)</f>
        <v>6533</v>
      </c>
      <c r="U400" s="658" t="str">
        <f>+VLOOKUP($L400,Data_Validation!$A:$D,3,0)</f>
        <v>Carrosserie</v>
      </c>
      <c r="V400" s="658" t="str">
        <f>+VLOOKUP($L400,Data_Validation!$A:$D,4,0)</f>
        <v>Bénéfices marginaux</v>
      </c>
      <c r="W400" s="658" t="str">
        <f>+VLOOKUP($L400,Data_Validation!$A:$E,5,0)</f>
        <v>$</v>
      </c>
      <c r="X400" s="658">
        <f>+VLOOKUP($L400,Data_Validation!$A:$F,6,0)</f>
        <v>0</v>
      </c>
    </row>
    <row r="401" spans="1:24" ht="15" customHeight="1">
      <c r="A401" s="1055" t="s">
        <v>1233</v>
      </c>
      <c r="B401" s="1055" t="s">
        <v>2573</v>
      </c>
      <c r="C401" s="1057">
        <v>13891.64</v>
      </c>
      <c r="D401" s="1057">
        <v>967.02</v>
      </c>
      <c r="E401" s="1057">
        <v>14858.66</v>
      </c>
      <c r="F401" s="1055" t="s">
        <v>1156</v>
      </c>
      <c r="G401" s="1055" t="s">
        <v>1188</v>
      </c>
      <c r="H401" s="1032"/>
      <c r="I401" s="1035"/>
      <c r="J401" s="1035"/>
      <c r="K401" s="1035"/>
      <c r="L401" s="655" t="str">
        <f t="shared" si="393"/>
        <v>6539</v>
      </c>
      <c r="M401" s="656" t="str">
        <f t="shared" si="260"/>
        <v>ASSURANCE GROUPE</v>
      </c>
      <c r="N401" s="657">
        <f>+IF(OR($Q401=Parametres!$G$2,$Q401=Parametres!$G$3),I401,C401)</f>
        <v>13891.64</v>
      </c>
      <c r="O401" s="657">
        <f>+IF(OR($Q401=Parametres!$G$2,$Q401=Parametres!$G$3),J401,D401)</f>
        <v>967.02</v>
      </c>
      <c r="P401" s="657">
        <f>+IF(OR($Q401=Parametres!$G$2,$Q401=Parametres!$G$3),K401,E401)</f>
        <v>14858.66</v>
      </c>
      <c r="Q401" s="656" t="str">
        <f t="shared" ref="Q401:S401" si="408">+F401</f>
        <v>7-Dépenses</v>
      </c>
      <c r="R401" s="655" t="str">
        <f t="shared" si="408"/>
        <v>6139</v>
      </c>
      <c r="S401" s="656">
        <f t="shared" si="408"/>
        <v>0</v>
      </c>
      <c r="T401" s="658" t="str">
        <f>+VLOOKUP($L401,Data_Validation!$A:$D,1,0)</f>
        <v>6539</v>
      </c>
      <c r="U401" s="658" t="str">
        <f>+VLOOKUP($L401,Data_Validation!$A:$D,3,0)</f>
        <v>Carrosserie</v>
      </c>
      <c r="V401" s="658" t="str">
        <f>+VLOOKUP($L401,Data_Validation!$A:$D,4,0)</f>
        <v>Bénéfices marginaux</v>
      </c>
      <c r="W401" s="658" t="str">
        <f>+VLOOKUP($L401,Data_Validation!$A:$E,5,0)</f>
        <v>$</v>
      </c>
      <c r="X401" s="658">
        <f>+VLOOKUP($L401,Data_Validation!$A:$F,6,0)</f>
        <v>0</v>
      </c>
    </row>
    <row r="402" spans="1:24" ht="15" customHeight="1">
      <c r="A402" s="1055" t="s">
        <v>1189</v>
      </c>
      <c r="B402" s="1055" t="s">
        <v>2579</v>
      </c>
      <c r="C402" s="1057">
        <v>71.010000000000005</v>
      </c>
      <c r="D402" s="1057">
        <v>0</v>
      </c>
      <c r="E402" s="1057">
        <v>71.010000000000005</v>
      </c>
      <c r="F402" s="1055" t="s">
        <v>1156</v>
      </c>
      <c r="G402" s="1055" t="s">
        <v>1190</v>
      </c>
      <c r="H402" s="1032"/>
      <c r="I402" s="1035"/>
      <c r="J402" s="1035"/>
      <c r="K402" s="1035"/>
      <c r="L402" s="655" t="str">
        <f t="shared" si="393"/>
        <v>6542</v>
      </c>
      <c r="M402" s="656" t="str">
        <f t="shared" si="260"/>
        <v>FOURNITURES &amp; PETITS OUTILS</v>
      </c>
      <c r="N402" s="657">
        <f>+IF(OR($Q402=Parametres!$G$2,$Q402=Parametres!$G$3),I402,C402)</f>
        <v>71.010000000000005</v>
      </c>
      <c r="O402" s="657">
        <f>+IF(OR($Q402=Parametres!$G$2,$Q402=Parametres!$G$3),J402,D402)</f>
        <v>0</v>
      </c>
      <c r="P402" s="657">
        <f>+IF(OR($Q402=Parametres!$G$2,$Q402=Parametres!$G$3),K402,E402)</f>
        <v>71.010000000000005</v>
      </c>
      <c r="Q402" s="656" t="str">
        <f t="shared" ref="Q402:S402" si="409">+F402</f>
        <v>7-Dépenses</v>
      </c>
      <c r="R402" s="655" t="str">
        <f t="shared" si="409"/>
        <v>6142</v>
      </c>
      <c r="S402" s="656">
        <f t="shared" si="409"/>
        <v>0</v>
      </c>
      <c r="T402" s="658" t="str">
        <f>+VLOOKUP($L402,Data_Validation!$A:$D,1,0)</f>
        <v>6542</v>
      </c>
      <c r="U402" s="658" t="str">
        <f>+VLOOKUP($L402,Data_Validation!$A:$D,3,0)</f>
        <v>Carrosserie</v>
      </c>
      <c r="V402" s="658" t="str">
        <f>+VLOOKUP($L402,Data_Validation!$A:$D,4,0)</f>
        <v>Fournitures autres</v>
      </c>
      <c r="W402" s="658" t="str">
        <f>+VLOOKUP($L402,Data_Validation!$A:$E,5,0)</f>
        <v>$</v>
      </c>
      <c r="X402" s="658">
        <f>+VLOOKUP($L402,Data_Validation!$A:$F,6,0)</f>
        <v>0</v>
      </c>
    </row>
    <row r="403" spans="1:24" ht="15.75" customHeight="1">
      <c r="A403" s="1055" t="s">
        <v>1193</v>
      </c>
      <c r="B403" s="1055" t="s">
        <v>2585</v>
      </c>
      <c r="C403" s="1057">
        <v>645.66999999999996</v>
      </c>
      <c r="D403" s="1057">
        <v>151.47</v>
      </c>
      <c r="E403" s="1057">
        <v>797.14</v>
      </c>
      <c r="F403" s="1055" t="s">
        <v>1156</v>
      </c>
      <c r="G403" s="1055" t="s">
        <v>1194</v>
      </c>
      <c r="H403" s="1032"/>
      <c r="I403" s="1035"/>
      <c r="J403" s="1035"/>
      <c r="K403" s="1035"/>
      <c r="L403" s="655" t="str">
        <f t="shared" si="393"/>
        <v>6544</v>
      </c>
      <c r="M403" s="656" t="str">
        <f t="shared" si="260"/>
        <v>FORMATION</v>
      </c>
      <c r="N403" s="657">
        <f>+IF(OR($Q403=Parametres!$G$2,$Q403=Parametres!$G$3),I403,C403)</f>
        <v>645.66999999999996</v>
      </c>
      <c r="O403" s="657">
        <f>+IF(OR($Q403=Parametres!$G$2,$Q403=Parametres!$G$3),J403,D403)</f>
        <v>151.47</v>
      </c>
      <c r="P403" s="657">
        <f>+IF(OR($Q403=Parametres!$G$2,$Q403=Parametres!$G$3),K403,E403)</f>
        <v>797.14</v>
      </c>
      <c r="Q403" s="656" t="str">
        <f t="shared" ref="Q403:S403" si="410">+F403</f>
        <v>7-Dépenses</v>
      </c>
      <c r="R403" s="655" t="str">
        <f t="shared" si="410"/>
        <v>6144</v>
      </c>
      <c r="S403" s="656">
        <f t="shared" si="410"/>
        <v>0</v>
      </c>
      <c r="T403" s="658" t="str">
        <f>+VLOOKUP($L403,Data_Validation!$A:$D,1,0)</f>
        <v>6544</v>
      </c>
      <c r="U403" s="658" t="str">
        <f>+VLOOKUP($L403,Data_Validation!$A:$D,3,0)</f>
        <v>Carrosserie</v>
      </c>
      <c r="V403" s="658" t="str">
        <f>+VLOOKUP($L403,Data_Validation!$A:$D,4,0)</f>
        <v>Formation</v>
      </c>
      <c r="W403" s="658" t="str">
        <f>+VLOOKUP($L403,Data_Validation!$A:$E,5,0)</f>
        <v>$</v>
      </c>
      <c r="X403" s="658">
        <f>+VLOOKUP($L403,Data_Validation!$A:$F,6,0)</f>
        <v>0</v>
      </c>
    </row>
    <row r="404" spans="1:24" ht="15" customHeight="1">
      <c r="A404" s="1055" t="s">
        <v>1195</v>
      </c>
      <c r="B404" s="1055" t="s">
        <v>2588</v>
      </c>
      <c r="C404" s="1057">
        <v>5989.78</v>
      </c>
      <c r="D404" s="1057">
        <v>1413.08</v>
      </c>
      <c r="E404" s="1057">
        <v>7402.86</v>
      </c>
      <c r="F404" s="1055" t="s">
        <v>1156</v>
      </c>
      <c r="G404" s="1055" t="s">
        <v>1196</v>
      </c>
      <c r="H404" s="1032"/>
      <c r="I404" s="1035"/>
      <c r="J404" s="1035"/>
      <c r="K404" s="1035"/>
      <c r="L404" s="655" t="str">
        <f t="shared" si="393"/>
        <v>6545</v>
      </c>
      <c r="M404" s="656" t="str">
        <f t="shared" si="260"/>
        <v>VEHICULE DE COMPAGNIE - DEPENS</v>
      </c>
      <c r="N404" s="657">
        <f>+IF(OR($Q404=Parametres!$G$2,$Q404=Parametres!$G$3),I404,C404)</f>
        <v>5989.78</v>
      </c>
      <c r="O404" s="657">
        <f>+IF(OR($Q404=Parametres!$G$2,$Q404=Parametres!$G$3),J404,D404)</f>
        <v>1413.08</v>
      </c>
      <c r="P404" s="657">
        <f>+IF(OR($Q404=Parametres!$G$2,$Q404=Parametres!$G$3),K404,E404)</f>
        <v>7402.86</v>
      </c>
      <c r="Q404" s="656" t="str">
        <f t="shared" ref="Q404:S404" si="411">+F404</f>
        <v>7-Dépenses</v>
      </c>
      <c r="R404" s="655" t="str">
        <f t="shared" si="411"/>
        <v>6145</v>
      </c>
      <c r="S404" s="656">
        <f t="shared" si="411"/>
        <v>0</v>
      </c>
      <c r="T404" s="658" t="str">
        <f>+VLOOKUP($L404,Data_Validation!$A:$D,1,0)</f>
        <v>6545</v>
      </c>
      <c r="U404" s="658" t="str">
        <f>+VLOOKUP($L404,Data_Validation!$A:$D,3,0)</f>
        <v>Carrosserie</v>
      </c>
      <c r="V404" s="658" t="str">
        <f>+VLOOKUP($L404,Data_Validation!$A:$D,4,0)</f>
        <v>Frais véhicules de cie</v>
      </c>
      <c r="W404" s="658" t="str">
        <f>+VLOOKUP($L404,Data_Validation!$A:$E,5,0)</f>
        <v>$</v>
      </c>
      <c r="X404" s="658">
        <f>+VLOOKUP($L404,Data_Validation!$A:$F,6,0)</f>
        <v>0</v>
      </c>
    </row>
    <row r="405" spans="1:24" ht="15" customHeight="1">
      <c r="A405" s="1055" t="s">
        <v>1197</v>
      </c>
      <c r="B405" s="1055" t="s">
        <v>2591</v>
      </c>
      <c r="C405" s="1057">
        <v>343.91</v>
      </c>
      <c r="D405" s="1057">
        <v>34.619999999999997</v>
      </c>
      <c r="E405" s="1057">
        <v>378.53</v>
      </c>
      <c r="F405" s="1055" t="s">
        <v>1156</v>
      </c>
      <c r="G405" s="1055" t="s">
        <v>1198</v>
      </c>
      <c r="H405" s="1032"/>
      <c r="I405" s="1035"/>
      <c r="J405" s="1035"/>
      <c r="K405" s="1035"/>
      <c r="L405" s="655" t="str">
        <f t="shared" si="393"/>
        <v>6547</v>
      </c>
      <c r="M405" s="656" t="str">
        <f t="shared" si="260"/>
        <v>FRET/EXPRESS/TRANS. PAR CAMION</v>
      </c>
      <c r="N405" s="657">
        <f>+IF(OR($Q405=Parametres!$G$2,$Q405=Parametres!$G$3),I405,C405)</f>
        <v>343.91</v>
      </c>
      <c r="O405" s="657">
        <f>+IF(OR($Q405=Parametres!$G$2,$Q405=Parametres!$G$3),J405,D405)</f>
        <v>34.619999999999997</v>
      </c>
      <c r="P405" s="657">
        <f>+IF(OR($Q405=Parametres!$G$2,$Q405=Parametres!$G$3),K405,E405)</f>
        <v>378.53</v>
      </c>
      <c r="Q405" s="656" t="str">
        <f t="shared" ref="Q405:S405" si="412">+F405</f>
        <v>7-Dépenses</v>
      </c>
      <c r="R405" s="655" t="str">
        <f t="shared" si="412"/>
        <v>6147</v>
      </c>
      <c r="S405" s="656">
        <f t="shared" si="412"/>
        <v>0</v>
      </c>
      <c r="T405" s="658" t="str">
        <f>+VLOOKUP($L405,Data_Validation!$A:$D,1,0)</f>
        <v>6547</v>
      </c>
      <c r="U405" s="658" t="str">
        <f>+VLOOKUP($L405,Data_Validation!$A:$D,3,0)</f>
        <v>Carrosserie</v>
      </c>
      <c r="V405" s="658" t="str">
        <f>+VLOOKUP($L405,Data_Validation!$A:$D,4,0)</f>
        <v>Frais postaux</v>
      </c>
      <c r="W405" s="658" t="str">
        <f>+VLOOKUP($L405,Data_Validation!$A:$E,5,0)</f>
        <v>$</v>
      </c>
      <c r="X405" s="658">
        <f>+VLOOKUP($L405,Data_Validation!$A:$F,6,0)</f>
        <v>0</v>
      </c>
    </row>
    <row r="406" spans="1:24" ht="15" customHeight="1">
      <c r="A406" s="1055" t="s">
        <v>1199</v>
      </c>
      <c r="B406" s="1055" t="s">
        <v>2596</v>
      </c>
      <c r="C406" s="1057">
        <v>15576.16</v>
      </c>
      <c r="D406" s="1057">
        <v>1539.65</v>
      </c>
      <c r="E406" s="1057">
        <v>17115.810000000001</v>
      </c>
      <c r="F406" s="1055" t="s">
        <v>1156</v>
      </c>
      <c r="G406" s="1055" t="s">
        <v>1200</v>
      </c>
      <c r="H406" s="1032"/>
      <c r="I406" s="1035"/>
      <c r="J406" s="1035"/>
      <c r="K406" s="1035"/>
      <c r="L406" s="655" t="str">
        <f t="shared" si="393"/>
        <v>6551</v>
      </c>
      <c r="M406" s="656" t="str">
        <f t="shared" si="260"/>
        <v>DEP. DU TRAITEMENT DES DONNEES</v>
      </c>
      <c r="N406" s="657">
        <f>+IF(OR($Q406=Parametres!$G$2,$Q406=Parametres!$G$3),I406,C406)</f>
        <v>15576.16</v>
      </c>
      <c r="O406" s="657">
        <f>+IF(OR($Q406=Parametres!$G$2,$Q406=Parametres!$G$3),J406,D406)</f>
        <v>1539.65</v>
      </c>
      <c r="P406" s="657">
        <f>+IF(OR($Q406=Parametres!$G$2,$Q406=Parametres!$G$3),K406,E406)</f>
        <v>17115.810000000001</v>
      </c>
      <c r="Q406" s="656" t="str">
        <f t="shared" ref="Q406:S406" si="413">+F406</f>
        <v>7-Dépenses</v>
      </c>
      <c r="R406" s="655" t="str">
        <f t="shared" si="413"/>
        <v>6151</v>
      </c>
      <c r="S406" s="656">
        <f t="shared" si="413"/>
        <v>0</v>
      </c>
      <c r="T406" s="658" t="str">
        <f>+VLOOKUP($L406,Data_Validation!$A:$D,1,0)</f>
        <v>6551</v>
      </c>
      <c r="U406" s="658" t="str">
        <f>+VLOOKUP($L406,Data_Validation!$A:$D,3,0)</f>
        <v>Carrosserie</v>
      </c>
      <c r="V406" s="658" t="str">
        <f>+VLOOKUP($L406,Data_Validation!$A:$D,4,0)</f>
        <v>Informatique</v>
      </c>
      <c r="W406" s="658" t="str">
        <f>+VLOOKUP($L406,Data_Validation!$A:$E,5,0)</f>
        <v>$</v>
      </c>
      <c r="X406" s="658">
        <f>+VLOOKUP($L406,Data_Validation!$A:$F,6,0)</f>
        <v>0</v>
      </c>
    </row>
    <row r="407" spans="1:24" ht="15.75" customHeight="1">
      <c r="A407" s="1055" t="s">
        <v>1201</v>
      </c>
      <c r="B407" s="1055" t="s">
        <v>2599</v>
      </c>
      <c r="C407" s="1057">
        <v>1673.49</v>
      </c>
      <c r="D407" s="1057">
        <v>206.08</v>
      </c>
      <c r="E407" s="1057">
        <v>1879.57</v>
      </c>
      <c r="F407" s="1055" t="s">
        <v>1156</v>
      </c>
      <c r="G407" s="1055" t="s">
        <v>1202</v>
      </c>
      <c r="H407" s="1032"/>
      <c r="I407" s="1035"/>
      <c r="J407" s="1035"/>
      <c r="K407" s="1035"/>
      <c r="L407" s="655" t="str">
        <f t="shared" si="393"/>
        <v>6552</v>
      </c>
      <c r="M407" s="656" t="str">
        <f t="shared" si="260"/>
        <v>PAPETERIE</v>
      </c>
      <c r="N407" s="657">
        <f>+IF(OR($Q407=Parametres!$G$2,$Q407=Parametres!$G$3),I407,C407)</f>
        <v>1673.49</v>
      </c>
      <c r="O407" s="657">
        <f>+IF(OR($Q407=Parametres!$G$2,$Q407=Parametres!$G$3),J407,D407)</f>
        <v>206.08</v>
      </c>
      <c r="P407" s="657">
        <f>+IF(OR($Q407=Parametres!$G$2,$Q407=Parametres!$G$3),K407,E407)</f>
        <v>1879.57</v>
      </c>
      <c r="Q407" s="656" t="str">
        <f t="shared" ref="Q407:S407" si="414">+F407</f>
        <v>7-Dépenses</v>
      </c>
      <c r="R407" s="655" t="str">
        <f t="shared" si="414"/>
        <v>6152</v>
      </c>
      <c r="S407" s="656">
        <f t="shared" si="414"/>
        <v>0</v>
      </c>
      <c r="T407" s="658" t="str">
        <f>+VLOOKUP($L407,Data_Validation!$A:$D,1,0)</f>
        <v>6552</v>
      </c>
      <c r="U407" s="658" t="str">
        <f>+VLOOKUP($L407,Data_Validation!$A:$D,3,0)</f>
        <v>Carrosserie</v>
      </c>
      <c r="V407" s="658" t="str">
        <f>+VLOOKUP($L407,Data_Validation!$A:$D,4,0)</f>
        <v>Papeterie</v>
      </c>
      <c r="W407" s="658" t="str">
        <f>+VLOOKUP($L407,Data_Validation!$A:$E,5,0)</f>
        <v>$</v>
      </c>
      <c r="X407" s="658">
        <f>+VLOOKUP($L407,Data_Validation!$A:$F,6,0)</f>
        <v>0</v>
      </c>
    </row>
    <row r="408" spans="1:24" ht="15" customHeight="1">
      <c r="A408" s="1055" t="s">
        <v>1203</v>
      </c>
      <c r="B408" s="1055" t="s">
        <v>2602</v>
      </c>
      <c r="C408" s="1057">
        <v>532.5</v>
      </c>
      <c r="D408" s="1057">
        <v>22.77</v>
      </c>
      <c r="E408" s="1057">
        <v>555.27</v>
      </c>
      <c r="F408" s="1055" t="s">
        <v>1156</v>
      </c>
      <c r="G408" s="1055" t="s">
        <v>1204</v>
      </c>
      <c r="H408" s="1032"/>
      <c r="I408" s="1035"/>
      <c r="J408" s="1035"/>
      <c r="K408" s="1035"/>
      <c r="L408" s="655" t="str">
        <f t="shared" si="393"/>
        <v>6553</v>
      </c>
      <c r="M408" s="656" t="str">
        <f t="shared" si="260"/>
        <v>TELEPHONE ET TELEX</v>
      </c>
      <c r="N408" s="657">
        <f>+IF(OR($Q408=Parametres!$G$2,$Q408=Parametres!$G$3),I408,C408)</f>
        <v>532.5</v>
      </c>
      <c r="O408" s="657">
        <f>+IF(OR($Q408=Parametres!$G$2,$Q408=Parametres!$G$3),J408,D408)</f>
        <v>22.77</v>
      </c>
      <c r="P408" s="657">
        <f>+IF(OR($Q408=Parametres!$G$2,$Q408=Parametres!$G$3),K408,E408)</f>
        <v>555.27</v>
      </c>
      <c r="Q408" s="656" t="str">
        <f t="shared" ref="Q408:S408" si="415">+F408</f>
        <v>7-Dépenses</v>
      </c>
      <c r="R408" s="655" t="str">
        <f t="shared" si="415"/>
        <v>6153</v>
      </c>
      <c r="S408" s="656">
        <f t="shared" si="415"/>
        <v>0</v>
      </c>
      <c r="T408" s="658" t="str">
        <f>+VLOOKUP($L408,Data_Validation!$A:$D,1,0)</f>
        <v>6553</v>
      </c>
      <c r="U408" s="658" t="str">
        <f>+VLOOKUP($L408,Data_Validation!$A:$D,3,0)</f>
        <v>Carrosserie</v>
      </c>
      <c r="V408" s="658" t="str">
        <f>+VLOOKUP($L408,Data_Validation!$A:$D,4,0)</f>
        <v>Téléphone</v>
      </c>
      <c r="W408" s="658" t="str">
        <f>+VLOOKUP($L408,Data_Validation!$A:$E,5,0)</f>
        <v>$</v>
      </c>
      <c r="X408" s="658">
        <f>+VLOOKUP($L408,Data_Validation!$A:$F,6,0)</f>
        <v>0</v>
      </c>
    </row>
    <row r="409" spans="1:24" ht="15" customHeight="1">
      <c r="A409" s="1055" t="s">
        <v>1205</v>
      </c>
      <c r="B409" s="1055" t="s">
        <v>2605</v>
      </c>
      <c r="C409" s="1057">
        <v>641.25</v>
      </c>
      <c r="D409" s="1057">
        <v>-0.82</v>
      </c>
      <c r="E409" s="1057">
        <v>640.42999999999995</v>
      </c>
      <c r="F409" s="1055" t="s">
        <v>1156</v>
      </c>
      <c r="G409" s="1055" t="s">
        <v>1206</v>
      </c>
      <c r="H409" s="1032"/>
      <c r="I409" s="1035"/>
      <c r="J409" s="1035"/>
      <c r="K409" s="1035"/>
      <c r="L409" s="655" t="str">
        <f t="shared" si="393"/>
        <v>6555</v>
      </c>
      <c r="M409" s="656" t="str">
        <f t="shared" si="260"/>
        <v>DEPENSES DIVERS</v>
      </c>
      <c r="N409" s="657">
        <f>+IF(OR($Q409=Parametres!$G$2,$Q409=Parametres!$G$3),I409,C409)</f>
        <v>641.25</v>
      </c>
      <c r="O409" s="657">
        <f>+IF(OR($Q409=Parametres!$G$2,$Q409=Parametres!$G$3),J409,D409)</f>
        <v>-0.82</v>
      </c>
      <c r="P409" s="657">
        <f>+IF(OR($Q409=Parametres!$G$2,$Q409=Parametres!$G$3),K409,E409)</f>
        <v>640.42999999999995</v>
      </c>
      <c r="Q409" s="656" t="str">
        <f t="shared" ref="Q409:S409" si="416">+F409</f>
        <v>7-Dépenses</v>
      </c>
      <c r="R409" s="655" t="str">
        <f t="shared" si="416"/>
        <v>6155</v>
      </c>
      <c r="S409" s="656">
        <f t="shared" si="416"/>
        <v>0</v>
      </c>
      <c r="T409" s="658" t="str">
        <f>+VLOOKUP($L409,Data_Validation!$A:$D,1,0)</f>
        <v>6555</v>
      </c>
      <c r="U409" s="658" t="str">
        <f>+VLOOKUP($L409,Data_Validation!$A:$D,3,0)</f>
        <v>Carrosserie</v>
      </c>
      <c r="V409" s="658" t="str">
        <f>+VLOOKUP($L409,Data_Validation!$A:$D,4,0)</f>
        <v>Divers</v>
      </c>
      <c r="W409" s="658" t="str">
        <f>+VLOOKUP($L409,Data_Validation!$A:$E,5,0)</f>
        <v>$</v>
      </c>
      <c r="X409" s="658">
        <f>+VLOOKUP($L409,Data_Validation!$A:$F,6,0)</f>
        <v>0</v>
      </c>
    </row>
    <row r="410" spans="1:24" ht="15" customHeight="1">
      <c r="A410" s="1055" t="s">
        <v>1267</v>
      </c>
      <c r="B410" s="1055" t="s">
        <v>2608</v>
      </c>
      <c r="C410" s="1057">
        <v>2093.86</v>
      </c>
      <c r="D410" s="1057">
        <v>163.26</v>
      </c>
      <c r="E410" s="1057">
        <v>2257.12</v>
      </c>
      <c r="F410" s="1055" t="s">
        <v>1156</v>
      </c>
      <c r="G410" s="1055" t="s">
        <v>1208</v>
      </c>
      <c r="H410" s="1032"/>
      <c r="I410" s="1035"/>
      <c r="J410" s="1035"/>
      <c r="K410" s="1035"/>
      <c r="L410" s="655" t="str">
        <f t="shared" si="393"/>
        <v>6556</v>
      </c>
      <c r="M410" s="656" t="str">
        <f t="shared" si="260"/>
        <v>FRAIS REPRESENTATION</v>
      </c>
      <c r="N410" s="657">
        <f>+IF(OR($Q410=Parametres!$G$2,$Q410=Parametres!$G$3),I410,C410)</f>
        <v>2093.86</v>
      </c>
      <c r="O410" s="657">
        <f>+IF(OR($Q410=Parametres!$G$2,$Q410=Parametres!$G$3),J410,D410)</f>
        <v>163.26</v>
      </c>
      <c r="P410" s="657">
        <f>+IF(OR($Q410=Parametres!$G$2,$Q410=Parametres!$G$3),K410,E410)</f>
        <v>2257.12</v>
      </c>
      <c r="Q410" s="656" t="str">
        <f t="shared" ref="Q410:S410" si="417">+F410</f>
        <v>7-Dépenses</v>
      </c>
      <c r="R410" s="655" t="str">
        <f t="shared" si="417"/>
        <v>6156</v>
      </c>
      <c r="S410" s="656">
        <f t="shared" si="417"/>
        <v>0</v>
      </c>
      <c r="T410" s="658" t="str">
        <f>+VLOOKUP($L410,Data_Validation!$A:$D,1,0)</f>
        <v>6556</v>
      </c>
      <c r="U410" s="658" t="str">
        <f>+VLOOKUP($L410,Data_Validation!$A:$D,3,0)</f>
        <v>Carrosserie</v>
      </c>
      <c r="V410" s="658" t="str">
        <f>+VLOOKUP($L410,Data_Validation!$A:$D,4,0)</f>
        <v>Frais de déplacement</v>
      </c>
      <c r="W410" s="658" t="str">
        <f>+VLOOKUP($L410,Data_Validation!$A:$E,5,0)</f>
        <v>$</v>
      </c>
      <c r="X410" s="658">
        <f>+VLOOKUP($L410,Data_Validation!$A:$F,6,0)</f>
        <v>0</v>
      </c>
    </row>
    <row r="411" spans="1:24" ht="15.75" customHeight="1">
      <c r="A411" s="1055" t="s">
        <v>1268</v>
      </c>
      <c r="B411" s="1055" t="s">
        <v>3402</v>
      </c>
      <c r="C411" s="1057">
        <v>2205.9699999999998</v>
      </c>
      <c r="D411" s="1057">
        <v>203.8</v>
      </c>
      <c r="E411" s="1057">
        <v>2409.77</v>
      </c>
      <c r="F411" s="1055" t="s">
        <v>1156</v>
      </c>
      <c r="G411" s="1055" t="s">
        <v>1269</v>
      </c>
      <c r="H411" s="1032"/>
      <c r="I411" s="1035"/>
      <c r="J411" s="1035"/>
      <c r="K411" s="1035"/>
      <c r="L411" s="655" t="str">
        <f t="shared" si="393"/>
        <v>6557</v>
      </c>
      <c r="M411" s="656" t="str">
        <f t="shared" si="260"/>
        <v>FRAIS BANCAIRES - CARROSSERIE</v>
      </c>
      <c r="N411" s="657">
        <f>+IF(OR($Q411=Parametres!$G$2,$Q411=Parametres!$G$3),I411,C411)</f>
        <v>2205.9699999999998</v>
      </c>
      <c r="O411" s="657">
        <f>+IF(OR($Q411=Parametres!$G$2,$Q411=Parametres!$G$3),J411,D411)</f>
        <v>203.8</v>
      </c>
      <c r="P411" s="657">
        <f>+IF(OR($Q411=Parametres!$G$2,$Q411=Parametres!$G$3),K411,E411)</f>
        <v>2409.77</v>
      </c>
      <c r="Q411" s="656" t="str">
        <f t="shared" ref="Q411:S411" si="418">+F411</f>
        <v>7-Dépenses</v>
      </c>
      <c r="R411" s="655" t="str">
        <f t="shared" si="418"/>
        <v>655</v>
      </c>
      <c r="S411" s="656">
        <f t="shared" si="418"/>
        <v>0</v>
      </c>
      <c r="T411" s="658" t="str">
        <f>+VLOOKUP($L411,Data_Validation!$A:$D,1,0)</f>
        <v>6557</v>
      </c>
      <c r="U411" s="658" t="str">
        <f>+VLOOKUP($L411,Data_Validation!$A:$D,3,0)</f>
        <v>Carrosserie</v>
      </c>
      <c r="V411" s="658" t="str">
        <f>+VLOOKUP($L411,Data_Validation!$A:$D,4,0)</f>
        <v>Frais bancaires</v>
      </c>
      <c r="W411" s="658" t="str">
        <f>+VLOOKUP($L411,Data_Validation!$A:$E,5,0)</f>
        <v>$</v>
      </c>
      <c r="X411" s="658">
        <f>+VLOOKUP($L411,Data_Validation!$A:$F,6,0)</f>
        <v>0</v>
      </c>
    </row>
    <row r="412" spans="1:24" ht="15" customHeight="1">
      <c r="A412" s="1055" t="s">
        <v>1211</v>
      </c>
      <c r="B412" s="1055" t="s">
        <v>2611</v>
      </c>
      <c r="C412" s="1057">
        <v>6593.62</v>
      </c>
      <c r="D412" s="1057">
        <v>538.54999999999995</v>
      </c>
      <c r="E412" s="1057">
        <v>7132.17</v>
      </c>
      <c r="F412" s="1055" t="s">
        <v>1156</v>
      </c>
      <c r="G412" s="1055" t="s">
        <v>1212</v>
      </c>
      <c r="H412" s="1032"/>
      <c r="I412" s="1035"/>
      <c r="J412" s="1035"/>
      <c r="K412" s="1035"/>
      <c r="L412" s="655" t="str">
        <f t="shared" si="393"/>
        <v>6559</v>
      </c>
      <c r="M412" s="656" t="str">
        <f t="shared" si="260"/>
        <v>SERVICE EXTERIEUR</v>
      </c>
      <c r="N412" s="657">
        <f>+IF(OR($Q412=Parametres!$G$2,$Q412=Parametres!$G$3),I412,C412)</f>
        <v>6593.62</v>
      </c>
      <c r="O412" s="657">
        <f>+IF(OR($Q412=Parametres!$G$2,$Q412=Parametres!$G$3),J412,D412)</f>
        <v>538.54999999999995</v>
      </c>
      <c r="P412" s="657">
        <f>+IF(OR($Q412=Parametres!$G$2,$Q412=Parametres!$G$3),K412,E412)</f>
        <v>7132.17</v>
      </c>
      <c r="Q412" s="656" t="str">
        <f t="shared" ref="Q412:S412" si="419">+F412</f>
        <v>7-Dépenses</v>
      </c>
      <c r="R412" s="655" t="str">
        <f t="shared" si="419"/>
        <v>6159</v>
      </c>
      <c r="S412" s="656">
        <f t="shared" si="419"/>
        <v>0</v>
      </c>
      <c r="T412" s="658" t="str">
        <f>+VLOOKUP($L412,Data_Validation!$A:$D,1,0)</f>
        <v>6559</v>
      </c>
      <c r="U412" s="658" t="str">
        <f>+VLOOKUP($L412,Data_Validation!$A:$D,3,0)</f>
        <v>Carrosserie</v>
      </c>
      <c r="V412" s="658" t="str">
        <f>+VLOOKUP($L412,Data_Validation!$A:$D,4,0)</f>
        <v>Services extérieurs</v>
      </c>
      <c r="W412" s="658" t="str">
        <f>+VLOOKUP($L412,Data_Validation!$A:$E,5,0)</f>
        <v>$</v>
      </c>
      <c r="X412" s="658">
        <f>+VLOOKUP($L412,Data_Validation!$A:$F,6,0)</f>
        <v>0</v>
      </c>
    </row>
    <row r="413" spans="1:24" ht="15" customHeight="1">
      <c r="A413" s="1055" t="s">
        <v>1213</v>
      </c>
      <c r="B413" s="1055" t="s">
        <v>2613</v>
      </c>
      <c r="C413" s="1057">
        <v>3322.22</v>
      </c>
      <c r="D413" s="1057">
        <v>302.02</v>
      </c>
      <c r="E413" s="1057">
        <v>3624.24</v>
      </c>
      <c r="F413" s="1055" t="s">
        <v>1156</v>
      </c>
      <c r="G413" s="1055" t="s">
        <v>1214</v>
      </c>
      <c r="H413" s="1032"/>
      <c r="I413" s="1035"/>
      <c r="J413" s="1035"/>
      <c r="K413" s="1035"/>
      <c r="L413" s="655" t="str">
        <f t="shared" si="393"/>
        <v>6561</v>
      </c>
      <c r="M413" s="656" t="str">
        <f t="shared" si="260"/>
        <v>DEPRECIATION EQUIP. &amp; FIXTURES</v>
      </c>
      <c r="N413" s="657">
        <f>+IF(OR($Q413=Parametres!$G$2,$Q413=Parametres!$G$3),I413,C413)</f>
        <v>3322.22</v>
      </c>
      <c r="O413" s="657">
        <f>+IF(OR($Q413=Parametres!$G$2,$Q413=Parametres!$G$3),J413,D413)</f>
        <v>302.02</v>
      </c>
      <c r="P413" s="657">
        <f>+IF(OR($Q413=Parametres!$G$2,$Q413=Parametres!$G$3),K413,E413)</f>
        <v>3624.24</v>
      </c>
      <c r="Q413" s="656" t="str">
        <f t="shared" ref="Q413:S413" si="420">+F413</f>
        <v>7-Dépenses</v>
      </c>
      <c r="R413" s="655" t="str">
        <f t="shared" si="420"/>
        <v>6161</v>
      </c>
      <c r="S413" s="656">
        <f t="shared" si="420"/>
        <v>0</v>
      </c>
      <c r="T413" s="658" t="str">
        <f>+VLOOKUP($L413,Data_Validation!$A:$D,1,0)</f>
        <v>6561</v>
      </c>
      <c r="U413" s="658" t="str">
        <f>+VLOOKUP($L413,Data_Validation!$A:$D,3,0)</f>
        <v>Carrosserie</v>
      </c>
      <c r="V413" s="658" t="str">
        <f>+VLOOKUP($L413,Data_Validation!$A:$D,4,0)</f>
        <v>Amortissement</v>
      </c>
      <c r="W413" s="658" t="str">
        <f>+VLOOKUP($L413,Data_Validation!$A:$E,5,0)</f>
        <v>$</v>
      </c>
      <c r="X413" s="658">
        <f>+VLOOKUP($L413,Data_Validation!$A:$F,6,0)</f>
        <v>0</v>
      </c>
    </row>
    <row r="414" spans="1:24" ht="15" customHeight="1">
      <c r="A414" s="1055" t="s">
        <v>1270</v>
      </c>
      <c r="B414" s="1055" t="s">
        <v>2622</v>
      </c>
      <c r="C414" s="1057">
        <v>1948.32</v>
      </c>
      <c r="D414" s="1057">
        <v>65.17</v>
      </c>
      <c r="E414" s="1057">
        <v>2013.49</v>
      </c>
      <c r="F414" s="1055" t="s">
        <v>1156</v>
      </c>
      <c r="G414" s="1055" t="s">
        <v>1216</v>
      </c>
      <c r="H414" s="1032"/>
      <c r="I414" s="1035"/>
      <c r="J414" s="1035"/>
      <c r="K414" s="1035"/>
      <c r="L414" s="655" t="str">
        <f t="shared" si="393"/>
        <v>6581</v>
      </c>
      <c r="M414" s="656" t="str">
        <f t="shared" si="260"/>
        <v>CHAUFFAGE,ELECTRICITE,EAU-CARROS.</v>
      </c>
      <c r="N414" s="657">
        <f>+IF(OR($Q414=Parametres!$G$2,$Q414=Parametres!$G$3),I414,C414)</f>
        <v>1948.32</v>
      </c>
      <c r="O414" s="657">
        <f>+IF(OR($Q414=Parametres!$G$2,$Q414=Parametres!$G$3),J414,D414)</f>
        <v>65.17</v>
      </c>
      <c r="P414" s="657">
        <f>+IF(OR($Q414=Parametres!$G$2,$Q414=Parametres!$G$3),K414,E414)</f>
        <v>2013.49</v>
      </c>
      <c r="Q414" s="656" t="str">
        <f t="shared" ref="Q414:S414" si="421">+F414</f>
        <v>7-Dépenses</v>
      </c>
      <c r="R414" s="655" t="str">
        <f t="shared" si="421"/>
        <v>6181</v>
      </c>
      <c r="S414" s="656">
        <f t="shared" si="421"/>
        <v>0</v>
      </c>
      <c r="T414" s="658" t="str">
        <f>+VLOOKUP($L414,Data_Validation!$A:$D,1,0)</f>
        <v>6581</v>
      </c>
      <c r="U414" s="658" t="str">
        <f>+VLOOKUP($L414,Data_Validation!$A:$D,3,0)</f>
        <v>Carrosserie</v>
      </c>
      <c r="V414" s="658" t="str">
        <f>+VLOOKUP($L414,Data_Validation!$A:$D,4,0)</f>
        <v>Chauffage, éclairage</v>
      </c>
      <c r="W414" s="658" t="str">
        <f>+VLOOKUP($L414,Data_Validation!$A:$E,5,0)</f>
        <v>$</v>
      </c>
      <c r="X414" s="658">
        <f>+VLOOKUP($L414,Data_Validation!$A:$F,6,0)</f>
        <v>0</v>
      </c>
    </row>
    <row r="415" spans="1:24" ht="15.75" customHeight="1">
      <c r="A415" s="1055" t="s">
        <v>1271</v>
      </c>
      <c r="B415" s="1055" t="s">
        <v>2625</v>
      </c>
      <c r="C415" s="1057">
        <v>20020</v>
      </c>
      <c r="D415" s="1057">
        <v>1820</v>
      </c>
      <c r="E415" s="1057">
        <v>21840</v>
      </c>
      <c r="F415" s="1055" t="s">
        <v>1156</v>
      </c>
      <c r="G415" s="1055" t="s">
        <v>1218</v>
      </c>
      <c r="H415" s="1032"/>
      <c r="I415" s="1035"/>
      <c r="J415" s="1035"/>
      <c r="K415" s="1035"/>
      <c r="L415" s="655" t="str">
        <f t="shared" si="393"/>
        <v>6582</v>
      </c>
      <c r="M415" s="656" t="str">
        <f t="shared" si="260"/>
        <v>LOYER - CARROSSERIE</v>
      </c>
      <c r="N415" s="657">
        <f>+IF(OR($Q415=Parametres!$G$2,$Q415=Parametres!$G$3),I415,C415)</f>
        <v>20020</v>
      </c>
      <c r="O415" s="657">
        <f>+IF(OR($Q415=Parametres!$G$2,$Q415=Parametres!$G$3),J415,D415)</f>
        <v>1820</v>
      </c>
      <c r="P415" s="657">
        <f>+IF(OR($Q415=Parametres!$G$2,$Q415=Parametres!$G$3),K415,E415)</f>
        <v>21840</v>
      </c>
      <c r="Q415" s="656" t="str">
        <f t="shared" ref="Q415:S415" si="422">+F415</f>
        <v>7-Dépenses</v>
      </c>
      <c r="R415" s="655" t="str">
        <f t="shared" si="422"/>
        <v>6182</v>
      </c>
      <c r="S415" s="656">
        <f t="shared" si="422"/>
        <v>0</v>
      </c>
      <c r="T415" s="658" t="str">
        <f>+VLOOKUP($L415,Data_Validation!$A:$D,1,0)</f>
        <v>6582</v>
      </c>
      <c r="U415" s="658" t="str">
        <f>+VLOOKUP($L415,Data_Validation!$A:$D,3,0)</f>
        <v>Carrosserie</v>
      </c>
      <c r="V415" s="658" t="str">
        <f>+VLOOKUP($L415,Data_Validation!$A:$D,4,0)</f>
        <v>Loyer</v>
      </c>
      <c r="W415" s="658" t="str">
        <f>+VLOOKUP($L415,Data_Validation!$A:$E,5,0)</f>
        <v>$</v>
      </c>
      <c r="X415" s="658">
        <f>+VLOOKUP($L415,Data_Validation!$A:$F,6,0)</f>
        <v>0</v>
      </c>
    </row>
    <row r="416" spans="1:24" ht="15" customHeight="1">
      <c r="A416" s="1055" t="s">
        <v>1272</v>
      </c>
      <c r="B416" s="1055" t="s">
        <v>2627</v>
      </c>
      <c r="C416" s="1057">
        <v>3288.67</v>
      </c>
      <c r="D416" s="1057">
        <v>298.97000000000003</v>
      </c>
      <c r="E416" s="1057">
        <v>3587.64</v>
      </c>
      <c r="F416" s="1055" t="s">
        <v>1156</v>
      </c>
      <c r="G416" s="1055" t="s">
        <v>1220</v>
      </c>
      <c r="H416" s="1032"/>
      <c r="I416" s="1035"/>
      <c r="J416" s="1035"/>
      <c r="K416" s="1035"/>
      <c r="L416" s="655" t="str">
        <f t="shared" si="393"/>
        <v>6586</v>
      </c>
      <c r="M416" s="656" t="str">
        <f t="shared" si="260"/>
        <v>ASSURANCE BATISSE &amp; AMEL.-CARROS.</v>
      </c>
      <c r="N416" s="657">
        <f>+IF(OR($Q416=Parametres!$G$2,$Q416=Parametres!$G$3),I416,C416)</f>
        <v>3288.67</v>
      </c>
      <c r="O416" s="657">
        <f>+IF(OR($Q416=Parametres!$G$2,$Q416=Parametres!$G$3),J416,D416)</f>
        <v>298.97000000000003</v>
      </c>
      <c r="P416" s="657">
        <f>+IF(OR($Q416=Parametres!$G$2,$Q416=Parametres!$G$3),K416,E416)</f>
        <v>3587.64</v>
      </c>
      <c r="Q416" s="656" t="str">
        <f t="shared" ref="Q416:S416" si="423">+F416</f>
        <v>7-Dépenses</v>
      </c>
      <c r="R416" s="655" t="str">
        <f t="shared" si="423"/>
        <v>6186</v>
      </c>
      <c r="S416" s="656">
        <f t="shared" si="423"/>
        <v>0</v>
      </c>
      <c r="T416" s="658" t="str">
        <f>+VLOOKUP($L416,Data_Validation!$A:$D,1,0)</f>
        <v>6586</v>
      </c>
      <c r="U416" s="658" t="str">
        <f>+VLOOKUP($L416,Data_Validation!$A:$D,3,0)</f>
        <v>Carrosserie</v>
      </c>
      <c r="V416" s="658" t="str">
        <f>+VLOOKUP($L416,Data_Validation!$A:$D,4,0)</f>
        <v>Assurances</v>
      </c>
      <c r="W416" s="658" t="str">
        <f>+VLOOKUP($L416,Data_Validation!$A:$E,5,0)</f>
        <v>$</v>
      </c>
      <c r="X416" s="658">
        <f>+VLOOKUP($L416,Data_Validation!$A:$F,6,0)</f>
        <v>0</v>
      </c>
    </row>
    <row r="417" spans="1:24" ht="15" customHeight="1">
      <c r="A417" s="1055" t="s">
        <v>1273</v>
      </c>
      <c r="B417" s="1055" t="s">
        <v>2629</v>
      </c>
      <c r="C417" s="1057">
        <v>3796.1</v>
      </c>
      <c r="D417" s="1057">
        <v>115.92</v>
      </c>
      <c r="E417" s="1057">
        <v>3912.02</v>
      </c>
      <c r="F417" s="1055" t="s">
        <v>1156</v>
      </c>
      <c r="G417" s="1055" t="s">
        <v>1222</v>
      </c>
      <c r="H417" s="1030"/>
      <c r="I417" s="1030"/>
      <c r="J417" s="1030"/>
      <c r="K417" s="1030"/>
      <c r="L417" s="655" t="str">
        <f t="shared" si="393"/>
        <v>6587</v>
      </c>
      <c r="M417" s="656" t="str">
        <f t="shared" si="260"/>
        <v>TAXES FONCIERES - CAROSSERIE</v>
      </c>
      <c r="N417" s="657">
        <f>+IF(OR($Q417=Parametres!$G$2,$Q417=Parametres!$G$3),I417,C417)</f>
        <v>3796.1</v>
      </c>
      <c r="O417" s="657">
        <f>+IF(OR($Q417=Parametres!$G$2,$Q417=Parametres!$G$3),J417,D417)</f>
        <v>115.92</v>
      </c>
      <c r="P417" s="657">
        <f>+IF(OR($Q417=Parametres!$G$2,$Q417=Parametres!$G$3),K417,E417)</f>
        <v>3912.02</v>
      </c>
      <c r="Q417" s="656" t="str">
        <f t="shared" ref="Q417:S417" si="424">+F417</f>
        <v>7-Dépenses</v>
      </c>
      <c r="R417" s="655" t="str">
        <f t="shared" si="424"/>
        <v>6187</v>
      </c>
      <c r="S417" s="656">
        <f t="shared" si="424"/>
        <v>0</v>
      </c>
      <c r="T417" s="658" t="str">
        <f>+VLOOKUP($L417,Data_Validation!$A:$D,1,0)</f>
        <v>6587</v>
      </c>
      <c r="U417" s="658" t="str">
        <f>+VLOOKUP($L417,Data_Validation!$A:$D,3,0)</f>
        <v>Carrosserie</v>
      </c>
      <c r="V417" s="658" t="str">
        <f>+VLOOKUP($L417,Data_Validation!$A:$D,4,0)</f>
        <v>Taxes foncières</v>
      </c>
      <c r="W417" s="658" t="str">
        <f>+VLOOKUP($L417,Data_Validation!$A:$E,5,0)</f>
        <v>$</v>
      </c>
      <c r="X417" s="658">
        <f>+VLOOKUP($L417,Data_Validation!$A:$F,6,0)</f>
        <v>0</v>
      </c>
    </row>
    <row r="418" spans="1:24" ht="15" customHeight="1">
      <c r="A418" s="1055" t="s">
        <v>1274</v>
      </c>
      <c r="B418" s="1055" t="s">
        <v>2632</v>
      </c>
      <c r="C418" s="1057">
        <v>2525.6</v>
      </c>
      <c r="D418" s="1057">
        <v>229.6</v>
      </c>
      <c r="E418" s="1057">
        <v>2755.2</v>
      </c>
      <c r="F418" s="1055" t="s">
        <v>1156</v>
      </c>
      <c r="G418" s="1055" t="s">
        <v>1224</v>
      </c>
      <c r="H418" s="1030"/>
      <c r="I418" s="1030"/>
      <c r="J418" s="1030"/>
      <c r="K418" s="1030"/>
      <c r="L418" s="655" t="str">
        <f t="shared" si="393"/>
        <v>6593</v>
      </c>
      <c r="M418" s="656" t="str">
        <f t="shared" si="260"/>
        <v>AUTRES TAXES -CARROSSERIE</v>
      </c>
      <c r="N418" s="657">
        <f>+IF(OR($Q418=Parametres!$G$2,$Q418=Parametres!$G$3),I418,C418)</f>
        <v>2525.6</v>
      </c>
      <c r="O418" s="657">
        <f>+IF(OR($Q418=Parametres!$G$2,$Q418=Parametres!$G$3),J418,D418)</f>
        <v>229.6</v>
      </c>
      <c r="P418" s="657">
        <f>+IF(OR($Q418=Parametres!$G$2,$Q418=Parametres!$G$3),K418,E418)</f>
        <v>2755.2</v>
      </c>
      <c r="Q418" s="656" t="str">
        <f t="shared" ref="Q418:S418" si="425">+F418</f>
        <v>7-Dépenses</v>
      </c>
      <c r="R418" s="655" t="str">
        <f t="shared" si="425"/>
        <v>6193</v>
      </c>
      <c r="S418" s="656">
        <f t="shared" si="425"/>
        <v>0</v>
      </c>
      <c r="T418" s="658" t="str">
        <f>+VLOOKUP($L418,Data_Validation!$A:$D,1,0)</f>
        <v>6593</v>
      </c>
      <c r="U418" s="658" t="str">
        <f>+VLOOKUP($L418,Data_Validation!$A:$D,3,0)</f>
        <v>Carrosserie</v>
      </c>
      <c r="V418" s="658" t="str">
        <f>+VLOOKUP($L418,Data_Validation!$A:$D,4,0)</f>
        <v>Taxes d`affaires</v>
      </c>
      <c r="W418" s="658" t="str">
        <f>+VLOOKUP($L418,Data_Validation!$A:$E,5,0)</f>
        <v>$</v>
      </c>
      <c r="X418" s="658">
        <f>+VLOOKUP($L418,Data_Validation!$A:$F,6,0)</f>
        <v>0</v>
      </c>
    </row>
    <row r="419" spans="1:24" ht="15.75" customHeight="1">
      <c r="A419" s="1055" t="s">
        <v>1275</v>
      </c>
      <c r="B419" s="1055" t="s">
        <v>2634</v>
      </c>
      <c r="C419" s="1057">
        <v>4714.93</v>
      </c>
      <c r="D419" s="1057">
        <v>428.63</v>
      </c>
      <c r="E419" s="1057">
        <v>5143.5600000000004</v>
      </c>
      <c r="F419" s="1055" t="s">
        <v>1156</v>
      </c>
      <c r="G419" s="1055" t="s">
        <v>1226</v>
      </c>
      <c r="H419" s="1030"/>
      <c r="I419" s="1030"/>
      <c r="J419" s="1030"/>
      <c r="K419" s="1030"/>
      <c r="L419" s="655" t="str">
        <f t="shared" si="393"/>
        <v>6594</v>
      </c>
      <c r="M419" s="656" t="str">
        <f t="shared" si="260"/>
        <v>FRAIS PROFESSIONNEL-CARROS.</v>
      </c>
      <c r="N419" s="657">
        <f>+IF(OR($Q419=Parametres!$G$2,$Q419=Parametres!$G$3),I419,C419)</f>
        <v>4714.93</v>
      </c>
      <c r="O419" s="657">
        <f>+IF(OR($Q419=Parametres!$G$2,$Q419=Parametres!$G$3),J419,D419)</f>
        <v>428.63</v>
      </c>
      <c r="P419" s="657">
        <f>+IF(OR($Q419=Parametres!$G$2,$Q419=Parametres!$G$3),K419,E419)</f>
        <v>5143.5600000000004</v>
      </c>
      <c r="Q419" s="656" t="str">
        <f t="shared" ref="Q419:S419" si="426">+F419</f>
        <v>7-Dépenses</v>
      </c>
      <c r="R419" s="655" t="str">
        <f t="shared" si="426"/>
        <v>6194</v>
      </c>
      <c r="S419" s="656">
        <f t="shared" si="426"/>
        <v>0</v>
      </c>
      <c r="T419" s="658" t="str">
        <f>+VLOOKUP($L419,Data_Validation!$A:$D,1,0)</f>
        <v>6594</v>
      </c>
      <c r="U419" s="658" t="str">
        <f>+VLOOKUP($L419,Data_Validation!$A:$D,3,0)</f>
        <v>Carrosserie</v>
      </c>
      <c r="V419" s="658" t="str">
        <f>+VLOOKUP($L419,Data_Validation!$A:$D,4,0)</f>
        <v>Honoraires</v>
      </c>
      <c r="W419" s="658" t="str">
        <f>+VLOOKUP($L419,Data_Validation!$A:$E,5,0)</f>
        <v>$</v>
      </c>
      <c r="X419" s="658">
        <f>+VLOOKUP($L419,Data_Validation!$A:$F,6,0)</f>
        <v>0</v>
      </c>
    </row>
    <row r="420" spans="1:24" ht="15.75" customHeight="1">
      <c r="A420" s="1055" t="s">
        <v>1160</v>
      </c>
      <c r="B420" s="1055" t="s">
        <v>2649</v>
      </c>
      <c r="C420" s="1057">
        <v>15698.2</v>
      </c>
      <c r="D420" s="1057">
        <v>1541.8</v>
      </c>
      <c r="E420" s="1057">
        <v>17240</v>
      </c>
      <c r="F420" s="1055" t="s">
        <v>1156</v>
      </c>
      <c r="G420" s="1055" t="s">
        <v>1244</v>
      </c>
      <c r="H420" s="1030"/>
      <c r="I420" s="1030"/>
      <c r="J420" s="1030"/>
      <c r="K420" s="1030"/>
      <c r="L420" s="655" t="str">
        <f t="shared" si="393"/>
        <v>6703</v>
      </c>
      <c r="M420" s="656" t="str">
        <f t="shared" si="260"/>
        <v>RELAT. A LA CLIENTELE &amp; AJUST.</v>
      </c>
      <c r="N420" s="657">
        <f>+IF(OR($Q420=Parametres!$G$2,$Q420=Parametres!$G$3),I420,C420)</f>
        <v>15698.2</v>
      </c>
      <c r="O420" s="657">
        <f>+IF(OR($Q420=Parametres!$G$2,$Q420=Parametres!$G$3),J420,D420)</f>
        <v>1541.8</v>
      </c>
      <c r="P420" s="657">
        <f>+IF(OR($Q420=Parametres!$G$2,$Q420=Parametres!$G$3),K420,E420)</f>
        <v>17240</v>
      </c>
      <c r="Q420" s="656" t="str">
        <f t="shared" ref="Q420:S420" si="427">+F420</f>
        <v>7-Dépenses</v>
      </c>
      <c r="R420" s="655" t="str">
        <f t="shared" si="427"/>
        <v>6112</v>
      </c>
      <c r="S420" s="656">
        <f t="shared" si="427"/>
        <v>0</v>
      </c>
      <c r="T420" s="658" t="str">
        <f>+VLOOKUP($L420,Data_Validation!$A:$D,1,0)</f>
        <v>6703</v>
      </c>
      <c r="U420" s="658" t="str">
        <f>+VLOOKUP($L420,Data_Validation!$A:$D,3,0)</f>
        <v>Pièces</v>
      </c>
      <c r="V420" s="658" t="str">
        <f>+VLOOKUP($L420,Data_Validation!$A:$D,4,0)</f>
        <v>Service gratuit 2</v>
      </c>
      <c r="W420" s="658" t="str">
        <f>+VLOOKUP($L420,Data_Validation!$A:$E,5,0)</f>
        <v>$</v>
      </c>
      <c r="X420" s="658">
        <f>+VLOOKUP($L420,Data_Validation!$A:$F,6,0)</f>
        <v>0</v>
      </c>
    </row>
    <row r="421" spans="1:24" ht="15" customHeight="1">
      <c r="A421" s="1055" t="s">
        <v>1168</v>
      </c>
      <c r="B421" s="1055" t="s">
        <v>2655</v>
      </c>
      <c r="C421" s="1057">
        <v>40647.550000000003</v>
      </c>
      <c r="D421" s="1057">
        <v>3055.88</v>
      </c>
      <c r="E421" s="1057">
        <v>43703.43</v>
      </c>
      <c r="F421" s="1055" t="s">
        <v>1156</v>
      </c>
      <c r="G421" s="1055" t="s">
        <v>1169</v>
      </c>
      <c r="H421" s="1030"/>
      <c r="I421" s="1030"/>
      <c r="J421" s="1030"/>
      <c r="K421" s="1030"/>
      <c r="L421" s="655" t="str">
        <f t="shared" si="393"/>
        <v>6714</v>
      </c>
      <c r="M421" s="656" t="str">
        <f t="shared" si="260"/>
        <v>PUBLICITE</v>
      </c>
      <c r="N421" s="657">
        <f>+IF(OR($Q421=Parametres!$G$2,$Q421=Parametres!$G$3),I421,C421)</f>
        <v>40647.550000000003</v>
      </c>
      <c r="O421" s="657">
        <f>+IF(OR($Q421=Parametres!$G$2,$Q421=Parametres!$G$3),J421,D421)</f>
        <v>3055.88</v>
      </c>
      <c r="P421" s="657">
        <f>+IF(OR($Q421=Parametres!$G$2,$Q421=Parametres!$G$3),K421,E421)</f>
        <v>43703.43</v>
      </c>
      <c r="Q421" s="656" t="str">
        <f t="shared" ref="Q421:S421" si="428">+F421</f>
        <v>7-Dépenses</v>
      </c>
      <c r="R421" s="655" t="str">
        <f t="shared" si="428"/>
        <v>6114</v>
      </c>
      <c r="S421" s="656">
        <f t="shared" si="428"/>
        <v>0</v>
      </c>
      <c r="T421" s="658" t="str">
        <f>+VLOOKUP($L421,Data_Validation!$A:$D,1,0)</f>
        <v>6714</v>
      </c>
      <c r="U421" s="658" t="str">
        <f>+VLOOKUP($L421,Data_Validation!$A:$D,3,0)</f>
        <v>Pièces</v>
      </c>
      <c r="V421" s="658" t="str">
        <f>+VLOOKUP($L421,Data_Validation!$A:$D,4,0)</f>
        <v>Publicité 2</v>
      </c>
      <c r="W421" s="658" t="str">
        <f>+VLOOKUP($L421,Data_Validation!$A:$E,5,0)</f>
        <v>$</v>
      </c>
      <c r="X421" s="658">
        <f>+VLOOKUP($L421,Data_Validation!$A:$F,6,0)</f>
        <v>0</v>
      </c>
    </row>
    <row r="422" spans="1:24" ht="15" customHeight="1">
      <c r="A422" s="1055" t="s">
        <v>1276</v>
      </c>
      <c r="B422" s="1055" t="s">
        <v>2658</v>
      </c>
      <c r="C422" s="1057">
        <v>35596.42</v>
      </c>
      <c r="D422" s="1057">
        <v>3719.89</v>
      </c>
      <c r="E422" s="1057">
        <v>39316.31</v>
      </c>
      <c r="F422" s="1055" t="s">
        <v>1156</v>
      </c>
      <c r="G422" s="1055" t="s">
        <v>1172</v>
      </c>
      <c r="H422" s="1030"/>
      <c r="I422" s="1030"/>
      <c r="J422" s="1030"/>
      <c r="K422" s="1030"/>
      <c r="L422" s="655" t="str">
        <f t="shared" si="393"/>
        <v>6721</v>
      </c>
      <c r="M422" s="656" t="str">
        <f t="shared" si="260"/>
        <v>SALAIRES - PROPRIEATIRES</v>
      </c>
      <c r="N422" s="657">
        <f>+IF(OR($Q422=Parametres!$G$2,$Q422=Parametres!$G$3),I422,C422)</f>
        <v>35596.42</v>
      </c>
      <c r="O422" s="657">
        <f>+IF(OR($Q422=Parametres!$G$2,$Q422=Parametres!$G$3),J422,D422)</f>
        <v>3719.89</v>
      </c>
      <c r="P422" s="657">
        <f>+IF(OR($Q422=Parametres!$G$2,$Q422=Parametres!$G$3),K422,E422)</f>
        <v>39316.31</v>
      </c>
      <c r="Q422" s="656" t="str">
        <f t="shared" ref="Q422:S422" si="429">+F422</f>
        <v>7-Dépenses</v>
      </c>
      <c r="R422" s="655" t="str">
        <f t="shared" si="429"/>
        <v>6121</v>
      </c>
      <c r="S422" s="656">
        <f t="shared" si="429"/>
        <v>0</v>
      </c>
      <c r="T422" s="658" t="str">
        <f>+VLOOKUP($L422,Data_Validation!$A:$D,1,0)</f>
        <v>6721</v>
      </c>
      <c r="U422" s="658" t="str">
        <f>+VLOOKUP($L422,Data_Validation!$A:$D,3,0)</f>
        <v>Pièces</v>
      </c>
      <c r="V422" s="658" t="str">
        <f>+VLOOKUP($L422,Data_Validation!$A:$D,4,0)</f>
        <v>Salaires propriétaire</v>
      </c>
      <c r="W422" s="658" t="str">
        <f>+VLOOKUP($L422,Data_Validation!$A:$E,5,0)</f>
        <v>$</v>
      </c>
      <c r="X422" s="658">
        <f>+VLOOKUP($L422,Data_Validation!$A:$F,6,0)</f>
        <v>0</v>
      </c>
    </row>
    <row r="423" spans="1:24" ht="15" customHeight="1">
      <c r="A423" s="1055" t="s">
        <v>1173</v>
      </c>
      <c r="B423" s="1055" t="s">
        <v>2661</v>
      </c>
      <c r="C423" s="1057">
        <v>49956</v>
      </c>
      <c r="D423" s="1057">
        <v>5362.67</v>
      </c>
      <c r="E423" s="1057">
        <v>55318.67</v>
      </c>
      <c r="F423" s="1055" t="s">
        <v>1156</v>
      </c>
      <c r="G423" s="1055" t="s">
        <v>1174</v>
      </c>
      <c r="H423" s="1030"/>
      <c r="I423" s="1030"/>
      <c r="J423" s="1030"/>
      <c r="K423" s="1030"/>
      <c r="L423" s="655" t="str">
        <f t="shared" si="393"/>
        <v>6722</v>
      </c>
      <c r="M423" s="656" t="str">
        <f t="shared" si="260"/>
        <v>SAL SUPERVISION / GERANT</v>
      </c>
      <c r="N423" s="657">
        <f>+IF(OR($Q423=Parametres!$G$2,$Q423=Parametres!$G$3),I423,C423)</f>
        <v>49956</v>
      </c>
      <c r="O423" s="657">
        <f>+IF(OR($Q423=Parametres!$G$2,$Q423=Parametres!$G$3),J423,D423)</f>
        <v>5362.67</v>
      </c>
      <c r="P423" s="657">
        <f>+IF(OR($Q423=Parametres!$G$2,$Q423=Parametres!$G$3),K423,E423)</f>
        <v>55318.67</v>
      </c>
      <c r="Q423" s="656" t="str">
        <f t="shared" ref="Q423:S423" si="430">+F423</f>
        <v>7-Dépenses</v>
      </c>
      <c r="R423" s="655" t="str">
        <f t="shared" si="430"/>
        <v>6122</v>
      </c>
      <c r="S423" s="656">
        <f t="shared" si="430"/>
        <v>0</v>
      </c>
      <c r="T423" s="658" t="str">
        <f>+VLOOKUP($L423,Data_Validation!$A:$D,1,0)</f>
        <v>6722</v>
      </c>
      <c r="U423" s="658" t="str">
        <f>+VLOOKUP($L423,Data_Validation!$A:$D,3,0)</f>
        <v>Pièces</v>
      </c>
      <c r="V423" s="658" t="str">
        <f>+VLOOKUP($L423,Data_Validation!$A:$D,4,0)</f>
        <v>Salaires cadres</v>
      </c>
      <c r="W423" s="658" t="str">
        <f>+VLOOKUP($L423,Data_Validation!$A:$E,5,0)</f>
        <v>$</v>
      </c>
      <c r="X423" s="658">
        <f>+VLOOKUP($L423,Data_Validation!$A:$F,6,0)</f>
        <v>0</v>
      </c>
    </row>
    <row r="424" spans="1:24" ht="15" customHeight="1">
      <c r="A424" s="1055" t="s">
        <v>1175</v>
      </c>
      <c r="B424" s="1055" t="s">
        <v>2664</v>
      </c>
      <c r="C424" s="1057">
        <v>38014.53</v>
      </c>
      <c r="D424" s="1057">
        <v>10289.719999999999</v>
      </c>
      <c r="E424" s="1057">
        <v>48304.25</v>
      </c>
      <c r="F424" s="1055" t="s">
        <v>1156</v>
      </c>
      <c r="G424" s="1055" t="s">
        <v>1176</v>
      </c>
      <c r="H424" s="1030"/>
      <c r="I424" s="1030"/>
      <c r="J424" s="1030"/>
      <c r="K424" s="1030"/>
      <c r="L424" s="655" t="str">
        <f t="shared" si="393"/>
        <v>6723</v>
      </c>
      <c r="M424" s="656" t="str">
        <f t="shared" si="260"/>
        <v>SAL. &amp; RENUM. - CLERICAL</v>
      </c>
      <c r="N424" s="657">
        <f>+IF(OR($Q424=Parametres!$G$2,$Q424=Parametres!$G$3),I424,C424)</f>
        <v>38014.53</v>
      </c>
      <c r="O424" s="657">
        <f>+IF(OR($Q424=Parametres!$G$2,$Q424=Parametres!$G$3),J424,D424)</f>
        <v>10289.719999999999</v>
      </c>
      <c r="P424" s="657">
        <f>+IF(OR($Q424=Parametres!$G$2,$Q424=Parametres!$G$3),K424,E424)</f>
        <v>48304.25</v>
      </c>
      <c r="Q424" s="656" t="str">
        <f t="shared" ref="Q424:S424" si="431">+F424</f>
        <v>7-Dépenses</v>
      </c>
      <c r="R424" s="655" t="str">
        <f t="shared" si="431"/>
        <v>6123</v>
      </c>
      <c r="S424" s="656">
        <f t="shared" si="431"/>
        <v>0</v>
      </c>
      <c r="T424" s="658" t="str">
        <f>+VLOOKUP($L424,Data_Validation!$A:$D,1,0)</f>
        <v>6723</v>
      </c>
      <c r="U424" s="658" t="str">
        <f>+VLOOKUP($L424,Data_Validation!$A:$D,3,0)</f>
        <v>Pièces</v>
      </c>
      <c r="V424" s="658" t="str">
        <f>+VLOOKUP($L424,Data_Validation!$A:$D,4,0)</f>
        <v>Salaires commis</v>
      </c>
      <c r="W424" s="658" t="str">
        <f>+VLOOKUP($L424,Data_Validation!$A:$E,5,0)</f>
        <v>$</v>
      </c>
      <c r="X424" s="658">
        <f>+VLOOKUP($L424,Data_Validation!$A:$F,6,0)</f>
        <v>0</v>
      </c>
    </row>
    <row r="425" spans="1:24" ht="15.75" customHeight="1">
      <c r="A425" s="1055" t="s">
        <v>1177</v>
      </c>
      <c r="B425" s="1055" t="s">
        <v>2667</v>
      </c>
      <c r="C425" s="1057">
        <v>249777.5</v>
      </c>
      <c r="D425" s="1057">
        <v>17362.310000000001</v>
      </c>
      <c r="E425" s="1057">
        <v>267139.81</v>
      </c>
      <c r="F425" s="1055" t="s">
        <v>1156</v>
      </c>
      <c r="G425" s="1055" t="s">
        <v>1178</v>
      </c>
      <c r="H425" s="1030"/>
      <c r="I425" s="1031"/>
      <c r="J425" s="1031"/>
      <c r="K425" s="1031"/>
      <c r="L425" s="655" t="str">
        <f t="shared" si="393"/>
        <v>6724</v>
      </c>
      <c r="M425" s="656" t="str">
        <f t="shared" si="260"/>
        <v>SALAIRES &amp; RENUM. - AUTRES</v>
      </c>
      <c r="N425" s="657">
        <f>+IF(OR($Q425=Parametres!$G$2,$Q425=Parametres!$G$3),I425,C425)</f>
        <v>249777.5</v>
      </c>
      <c r="O425" s="657">
        <f>+IF(OR($Q425=Parametres!$G$2,$Q425=Parametres!$G$3),J425,D425)</f>
        <v>17362.310000000001</v>
      </c>
      <c r="P425" s="657">
        <f>+IF(OR($Q425=Parametres!$G$2,$Q425=Parametres!$G$3),K425,E425)</f>
        <v>267139.81</v>
      </c>
      <c r="Q425" s="656" t="str">
        <f t="shared" ref="Q425:S425" si="432">+F425</f>
        <v>7-Dépenses</v>
      </c>
      <c r="R425" s="655" t="str">
        <f t="shared" si="432"/>
        <v>6124</v>
      </c>
      <c r="S425" s="656">
        <f t="shared" si="432"/>
        <v>0</v>
      </c>
      <c r="T425" s="658" t="str">
        <f>+VLOOKUP($L425,Data_Validation!$A:$D,1,0)</f>
        <v>6724</v>
      </c>
      <c r="U425" s="658" t="str">
        <f>+VLOOKUP($L425,Data_Validation!$A:$D,3,0)</f>
        <v>Pièces</v>
      </c>
      <c r="V425" s="658" t="str">
        <f>+VLOOKUP($L425,Data_Validation!$A:$D,4,0)</f>
        <v>Salaires autres</v>
      </c>
      <c r="W425" s="658" t="str">
        <f>+VLOOKUP($L425,Data_Validation!$A:$E,5,0)</f>
        <v>$</v>
      </c>
      <c r="X425" s="658">
        <f>+VLOOKUP($L425,Data_Validation!$A:$F,6,0)</f>
        <v>0</v>
      </c>
    </row>
    <row r="426" spans="1:24" ht="15" customHeight="1">
      <c r="A426" s="1055" t="s">
        <v>1277</v>
      </c>
      <c r="B426" s="1055" t="s">
        <v>2670</v>
      </c>
      <c r="C426" s="1057">
        <v>34926.6</v>
      </c>
      <c r="D426" s="1057">
        <v>7703.06</v>
      </c>
      <c r="E426" s="1057">
        <v>42629.66</v>
      </c>
      <c r="F426" s="1055" t="s">
        <v>1156</v>
      </c>
      <c r="G426" s="1055" t="s">
        <v>1180</v>
      </c>
      <c r="H426" s="1030"/>
      <c r="I426" s="1031"/>
      <c r="J426" s="1031"/>
      <c r="K426" s="1031"/>
      <c r="L426" s="655" t="str">
        <f t="shared" si="393"/>
        <v>6729</v>
      </c>
      <c r="M426" s="656" t="str">
        <f t="shared" si="260"/>
        <v>ABSENCES, VACANCES, ETC</v>
      </c>
      <c r="N426" s="657">
        <f>+IF(OR($Q426=Parametres!$G$2,$Q426=Parametres!$G$3),I426,C426)</f>
        <v>34926.6</v>
      </c>
      <c r="O426" s="657">
        <f>+IF(OR($Q426=Parametres!$G$2,$Q426=Parametres!$G$3),J426,D426)</f>
        <v>7703.06</v>
      </c>
      <c r="P426" s="657">
        <f>+IF(OR($Q426=Parametres!$G$2,$Q426=Parametres!$G$3),K426,E426)</f>
        <v>42629.66</v>
      </c>
      <c r="Q426" s="656" t="str">
        <f t="shared" ref="Q426:S426" si="433">+F426</f>
        <v>7-Dépenses</v>
      </c>
      <c r="R426" s="655" t="str">
        <f t="shared" si="433"/>
        <v>6129</v>
      </c>
      <c r="S426" s="656">
        <f t="shared" si="433"/>
        <v>0</v>
      </c>
      <c r="T426" s="658" t="str">
        <f>+VLOOKUP($L426,Data_Validation!$A:$D,1,0)</f>
        <v>6729</v>
      </c>
      <c r="U426" s="658" t="str">
        <f>+VLOOKUP($L426,Data_Validation!$A:$D,3,0)</f>
        <v>Pièces</v>
      </c>
      <c r="V426" s="658" t="str">
        <f>+VLOOKUP($L426,Data_Validation!$A:$D,4,0)</f>
        <v>Salaires en absences</v>
      </c>
      <c r="W426" s="658" t="str">
        <f>+VLOOKUP($L426,Data_Validation!$A:$E,5,0)</f>
        <v>$</v>
      </c>
      <c r="X426" s="658">
        <f>+VLOOKUP($L426,Data_Validation!$A:$F,6,0)</f>
        <v>0</v>
      </c>
    </row>
    <row r="427" spans="1:24" ht="15" customHeight="1">
      <c r="A427" s="1055" t="s">
        <v>1181</v>
      </c>
      <c r="B427" s="1055" t="s">
        <v>2673</v>
      </c>
      <c r="C427" s="1057">
        <v>-820.61</v>
      </c>
      <c r="D427" s="1057">
        <v>-1941.53</v>
      </c>
      <c r="E427" s="1057">
        <v>-2762.14</v>
      </c>
      <c r="F427" s="1055" t="s">
        <v>1156</v>
      </c>
      <c r="G427" s="1055" t="s">
        <v>1182</v>
      </c>
      <c r="H427" s="1030"/>
      <c r="I427" s="1031"/>
      <c r="J427" s="1031"/>
      <c r="K427" s="1031"/>
      <c r="L427" s="655" t="str">
        <f t="shared" si="393"/>
        <v>6731</v>
      </c>
      <c r="M427" s="656" t="str">
        <f t="shared" si="260"/>
        <v>CSST</v>
      </c>
      <c r="N427" s="657">
        <f>+IF(OR($Q427=Parametres!$G$2,$Q427=Parametres!$G$3),I427,C427)</f>
        <v>-820.61</v>
      </c>
      <c r="O427" s="657">
        <f>+IF(OR($Q427=Parametres!$G$2,$Q427=Parametres!$G$3),J427,D427)</f>
        <v>-1941.53</v>
      </c>
      <c r="P427" s="657">
        <f>+IF(OR($Q427=Parametres!$G$2,$Q427=Parametres!$G$3),K427,E427)</f>
        <v>-2762.14</v>
      </c>
      <c r="Q427" s="656" t="str">
        <f t="shared" ref="Q427:S427" si="434">+F427</f>
        <v>7-Dépenses</v>
      </c>
      <c r="R427" s="655" t="str">
        <f t="shared" si="434"/>
        <v>6131</v>
      </c>
      <c r="S427" s="656">
        <f t="shared" si="434"/>
        <v>0</v>
      </c>
      <c r="T427" s="658" t="str">
        <f>+VLOOKUP($L427,Data_Validation!$A:$D,1,0)</f>
        <v>6731</v>
      </c>
      <c r="U427" s="658" t="str">
        <f>+VLOOKUP($L427,Data_Validation!$A:$D,3,0)</f>
        <v>Pièces</v>
      </c>
      <c r="V427" s="658" t="str">
        <f>+VLOOKUP($L427,Data_Validation!$A:$D,4,0)</f>
        <v>Csst</v>
      </c>
      <c r="W427" s="658" t="str">
        <f>+VLOOKUP($L427,Data_Validation!$A:$E,5,0)</f>
        <v>$</v>
      </c>
      <c r="X427" s="658">
        <f>+VLOOKUP($L427,Data_Validation!$A:$F,6,0)</f>
        <v>0</v>
      </c>
    </row>
    <row r="428" spans="1:24" ht="15" customHeight="1">
      <c r="A428" s="1055" t="s">
        <v>1183</v>
      </c>
      <c r="B428" s="1055" t="s">
        <v>2676</v>
      </c>
      <c r="C428" s="1057">
        <v>71294.55</v>
      </c>
      <c r="D428" s="1057">
        <v>12117.09</v>
      </c>
      <c r="E428" s="1057">
        <v>83411.64</v>
      </c>
      <c r="F428" s="1055" t="s">
        <v>1156</v>
      </c>
      <c r="G428" s="1055" t="s">
        <v>1184</v>
      </c>
      <c r="H428" s="1030"/>
      <c r="I428" s="1031"/>
      <c r="J428" s="1031"/>
      <c r="K428" s="1031"/>
      <c r="L428" s="655" t="str">
        <f t="shared" si="393"/>
        <v>6732</v>
      </c>
      <c r="M428" s="656" t="str">
        <f t="shared" si="260"/>
        <v>RRQ RAMQ AC</v>
      </c>
      <c r="N428" s="657">
        <f>+IF(OR($Q428=Parametres!$G$2,$Q428=Parametres!$G$3),I428,C428)</f>
        <v>71294.55</v>
      </c>
      <c r="O428" s="657">
        <f>+IF(OR($Q428=Parametres!$G$2,$Q428=Parametres!$G$3),J428,D428)</f>
        <v>12117.09</v>
      </c>
      <c r="P428" s="657">
        <f>+IF(OR($Q428=Parametres!$G$2,$Q428=Parametres!$G$3),K428,E428)</f>
        <v>83411.64</v>
      </c>
      <c r="Q428" s="656" t="str">
        <f t="shared" ref="Q428:S428" si="435">+F428</f>
        <v>7-Dépenses</v>
      </c>
      <c r="R428" s="655" t="str">
        <f t="shared" si="435"/>
        <v>6132</v>
      </c>
      <c r="S428" s="656">
        <f t="shared" si="435"/>
        <v>0</v>
      </c>
      <c r="T428" s="658" t="str">
        <f>+VLOOKUP($L428,Data_Validation!$A:$D,1,0)</f>
        <v>6732</v>
      </c>
      <c r="U428" s="658" t="str">
        <f>+VLOOKUP($L428,Data_Validation!$A:$D,3,0)</f>
        <v>Pièces</v>
      </c>
      <c r="V428" s="658" t="str">
        <f>+VLOOKUP($L428,Data_Validation!$A:$D,4,0)</f>
        <v>Déduction à la source</v>
      </c>
      <c r="W428" s="658" t="str">
        <f>+VLOOKUP($L428,Data_Validation!$A:$E,5,0)</f>
        <v>$</v>
      </c>
      <c r="X428" s="658">
        <f>+VLOOKUP($L428,Data_Validation!$A:$F,6,0)</f>
        <v>0</v>
      </c>
    </row>
    <row r="429" spans="1:24" ht="15" customHeight="1">
      <c r="A429" s="1055" t="s">
        <v>1278</v>
      </c>
      <c r="B429" s="1055" t="s">
        <v>2679</v>
      </c>
      <c r="C429" s="1057">
        <v>564.07000000000005</v>
      </c>
      <c r="D429" s="1057">
        <v>448.95</v>
      </c>
      <c r="E429" s="1057">
        <v>1013.02</v>
      </c>
      <c r="F429" s="1055" t="s">
        <v>1156</v>
      </c>
      <c r="G429" s="1055" t="s">
        <v>1186</v>
      </c>
      <c r="H429" s="1030"/>
      <c r="I429" s="1031"/>
      <c r="J429" s="1031"/>
      <c r="K429" s="1031"/>
      <c r="L429" s="655" t="str">
        <f t="shared" si="393"/>
        <v>6733</v>
      </c>
      <c r="M429" s="656" t="str">
        <f t="shared" si="260"/>
        <v>FOND PENSION - PIECES</v>
      </c>
      <c r="N429" s="657">
        <f>+IF(OR($Q429=Parametres!$G$2,$Q429=Parametres!$G$3),I429,C429)</f>
        <v>564.07000000000005</v>
      </c>
      <c r="O429" s="657">
        <f>+IF(OR($Q429=Parametres!$G$2,$Q429=Parametres!$G$3),J429,D429)</f>
        <v>448.95</v>
      </c>
      <c r="P429" s="657">
        <f>+IF(OR($Q429=Parametres!$G$2,$Q429=Parametres!$G$3),K429,E429)</f>
        <v>1013.02</v>
      </c>
      <c r="Q429" s="656" t="str">
        <f t="shared" ref="Q429:S429" si="436">+F429</f>
        <v>7-Dépenses</v>
      </c>
      <c r="R429" s="655" t="str">
        <f t="shared" si="436"/>
        <v>6133</v>
      </c>
      <c r="S429" s="656">
        <f t="shared" si="436"/>
        <v>0</v>
      </c>
      <c r="T429" s="658" t="str">
        <f>+VLOOKUP($L429,Data_Validation!$A:$D,1,0)</f>
        <v>6733</v>
      </c>
      <c r="U429" s="658" t="str">
        <f>+VLOOKUP($L429,Data_Validation!$A:$D,3,0)</f>
        <v>Pièces</v>
      </c>
      <c r="V429" s="658" t="str">
        <f>+VLOOKUP($L429,Data_Validation!$A:$D,4,0)</f>
        <v>Déduction à la source</v>
      </c>
      <c r="W429" s="658" t="str">
        <f>+VLOOKUP($L429,Data_Validation!$A:$E,5,0)</f>
        <v>$</v>
      </c>
      <c r="X429" s="658">
        <f>+VLOOKUP($L429,Data_Validation!$A:$F,6,0)</f>
        <v>0</v>
      </c>
    </row>
    <row r="430" spans="1:24" ht="15" customHeight="1">
      <c r="A430" s="1055" t="s">
        <v>1233</v>
      </c>
      <c r="B430" s="1055" t="s">
        <v>2682</v>
      </c>
      <c r="C430" s="1057">
        <v>49809.11</v>
      </c>
      <c r="D430" s="1057">
        <v>3733.42</v>
      </c>
      <c r="E430" s="1057">
        <v>53542.53</v>
      </c>
      <c r="F430" s="1055" t="s">
        <v>1156</v>
      </c>
      <c r="G430" s="1055" t="s">
        <v>1188</v>
      </c>
      <c r="H430" s="1030"/>
      <c r="I430" s="1031"/>
      <c r="J430" s="1031"/>
      <c r="K430" s="1031"/>
      <c r="L430" s="655" t="str">
        <f t="shared" si="393"/>
        <v>6739</v>
      </c>
      <c r="M430" s="656" t="str">
        <f t="shared" si="260"/>
        <v>ASSURANCE GROUPE</v>
      </c>
      <c r="N430" s="657">
        <f>+IF(OR($Q430=Parametres!$G$2,$Q430=Parametres!$G$3),I430,C430)</f>
        <v>49809.11</v>
      </c>
      <c r="O430" s="657">
        <f>+IF(OR($Q430=Parametres!$G$2,$Q430=Parametres!$G$3),J430,D430)</f>
        <v>3733.42</v>
      </c>
      <c r="P430" s="657">
        <f>+IF(OR($Q430=Parametres!$G$2,$Q430=Parametres!$G$3),K430,E430)</f>
        <v>53542.53</v>
      </c>
      <c r="Q430" s="656" t="str">
        <f t="shared" ref="Q430:S430" si="437">+F430</f>
        <v>7-Dépenses</v>
      </c>
      <c r="R430" s="655" t="str">
        <f t="shared" si="437"/>
        <v>6139</v>
      </c>
      <c r="S430" s="656">
        <f t="shared" si="437"/>
        <v>0</v>
      </c>
      <c r="T430" s="658" t="str">
        <f>+VLOOKUP($L430,Data_Validation!$A:$D,1,0)</f>
        <v>6739</v>
      </c>
      <c r="U430" s="658" t="str">
        <f>+VLOOKUP($L430,Data_Validation!$A:$D,3,0)</f>
        <v>Pièces</v>
      </c>
      <c r="V430" s="658" t="str">
        <f>+VLOOKUP($L430,Data_Validation!$A:$D,4,0)</f>
        <v>Bénéfices marginaux</v>
      </c>
      <c r="W430" s="658" t="str">
        <f>+VLOOKUP($L430,Data_Validation!$A:$E,5,0)</f>
        <v>$</v>
      </c>
      <c r="X430" s="658">
        <f>+VLOOKUP($L430,Data_Validation!$A:$F,6,0)</f>
        <v>0</v>
      </c>
    </row>
    <row r="431" spans="1:24" ht="15.75" customHeight="1">
      <c r="A431" s="1055" t="s">
        <v>1189</v>
      </c>
      <c r="B431" s="1055" t="s">
        <v>2686</v>
      </c>
      <c r="C431" s="1057">
        <v>758.35</v>
      </c>
      <c r="D431" s="1057">
        <v>0</v>
      </c>
      <c r="E431" s="1057">
        <v>758.35</v>
      </c>
      <c r="F431" s="1055" t="s">
        <v>1156</v>
      </c>
      <c r="G431" s="1055" t="s">
        <v>1190</v>
      </c>
      <c r="H431" s="1030"/>
      <c r="I431" s="1031"/>
      <c r="J431" s="1031"/>
      <c r="K431" s="1031"/>
      <c r="L431" s="655" t="str">
        <f t="shared" si="393"/>
        <v>6742</v>
      </c>
      <c r="M431" s="656" t="str">
        <f t="shared" si="260"/>
        <v>FOURNITURES &amp; PETITS OUTILS</v>
      </c>
      <c r="N431" s="657">
        <f>+IF(OR($Q431=Parametres!$G$2,$Q431=Parametres!$G$3),I431,C431)</f>
        <v>758.35</v>
      </c>
      <c r="O431" s="657">
        <f>+IF(OR($Q431=Parametres!$G$2,$Q431=Parametres!$G$3),J431,D431)</f>
        <v>0</v>
      </c>
      <c r="P431" s="657">
        <f>+IF(OR($Q431=Parametres!$G$2,$Q431=Parametres!$G$3),K431,E431)</f>
        <v>758.35</v>
      </c>
      <c r="Q431" s="656" t="str">
        <f t="shared" ref="Q431:S431" si="438">+F431</f>
        <v>7-Dépenses</v>
      </c>
      <c r="R431" s="655" t="str">
        <f t="shared" si="438"/>
        <v>6142</v>
      </c>
      <c r="S431" s="656">
        <f t="shared" si="438"/>
        <v>0</v>
      </c>
      <c r="T431" s="658" t="str">
        <f>+VLOOKUP($L431,Data_Validation!$A:$D,1,0)</f>
        <v>6742</v>
      </c>
      <c r="U431" s="658" t="str">
        <f>+VLOOKUP($L431,Data_Validation!$A:$D,3,0)</f>
        <v>Pièces</v>
      </c>
      <c r="V431" s="658" t="str">
        <f>+VLOOKUP($L431,Data_Validation!$A:$D,4,0)</f>
        <v>Fournitures autres</v>
      </c>
      <c r="W431" s="658" t="str">
        <f>+VLOOKUP($L431,Data_Validation!$A:$E,5,0)</f>
        <v>$</v>
      </c>
      <c r="X431" s="658">
        <f>+VLOOKUP($L431,Data_Validation!$A:$F,6,0)</f>
        <v>0</v>
      </c>
    </row>
    <row r="432" spans="1:24" ht="15" customHeight="1">
      <c r="A432" s="1055" t="s">
        <v>1193</v>
      </c>
      <c r="B432" s="1055" t="s">
        <v>2692</v>
      </c>
      <c r="C432" s="1057">
        <v>2305.92</v>
      </c>
      <c r="D432" s="1057">
        <v>540.99</v>
      </c>
      <c r="E432" s="1057">
        <v>2846.91</v>
      </c>
      <c r="F432" s="1055" t="s">
        <v>1156</v>
      </c>
      <c r="G432" s="1055" t="s">
        <v>1194</v>
      </c>
      <c r="H432" s="1030"/>
      <c r="I432" s="1031"/>
      <c r="J432" s="1031"/>
      <c r="K432" s="1031"/>
      <c r="L432" s="655" t="str">
        <f t="shared" si="393"/>
        <v>6744</v>
      </c>
      <c r="M432" s="656" t="str">
        <f t="shared" si="260"/>
        <v>FORMATION</v>
      </c>
      <c r="N432" s="657">
        <f>+IF(OR($Q432=Parametres!$G$2,$Q432=Parametres!$G$3),I432,C432)</f>
        <v>2305.92</v>
      </c>
      <c r="O432" s="657">
        <f>+IF(OR($Q432=Parametres!$G$2,$Q432=Parametres!$G$3),J432,D432)</f>
        <v>540.99</v>
      </c>
      <c r="P432" s="657">
        <f>+IF(OR($Q432=Parametres!$G$2,$Q432=Parametres!$G$3),K432,E432)</f>
        <v>2846.91</v>
      </c>
      <c r="Q432" s="656" t="str">
        <f t="shared" ref="Q432:S432" si="439">+F432</f>
        <v>7-Dépenses</v>
      </c>
      <c r="R432" s="655" t="str">
        <f t="shared" si="439"/>
        <v>6144</v>
      </c>
      <c r="S432" s="656">
        <f t="shared" si="439"/>
        <v>0</v>
      </c>
      <c r="T432" s="658" t="str">
        <f>+VLOOKUP($L432,Data_Validation!$A:$D,1,0)</f>
        <v>6744</v>
      </c>
      <c r="U432" s="658" t="str">
        <f>+VLOOKUP($L432,Data_Validation!$A:$D,3,0)</f>
        <v>Pièces</v>
      </c>
      <c r="V432" s="658" t="str">
        <f>+VLOOKUP($L432,Data_Validation!$A:$D,4,0)</f>
        <v>Formation</v>
      </c>
      <c r="W432" s="658" t="str">
        <f>+VLOOKUP($L432,Data_Validation!$A:$E,5,0)</f>
        <v>$</v>
      </c>
      <c r="X432" s="658">
        <f>+VLOOKUP($L432,Data_Validation!$A:$F,6,0)</f>
        <v>0</v>
      </c>
    </row>
    <row r="433" spans="1:24" ht="15" customHeight="1">
      <c r="A433" s="1055" t="s">
        <v>1195</v>
      </c>
      <c r="B433" s="1055" t="s">
        <v>2695</v>
      </c>
      <c r="C433" s="1057">
        <v>4664.04</v>
      </c>
      <c r="D433" s="1057">
        <v>3404.66</v>
      </c>
      <c r="E433" s="1057">
        <v>8068.7</v>
      </c>
      <c r="F433" s="1055" t="s">
        <v>1156</v>
      </c>
      <c r="G433" s="1055" t="s">
        <v>1196</v>
      </c>
      <c r="H433" s="1045"/>
      <c r="I433" s="1045"/>
      <c r="J433" s="1045"/>
      <c r="K433" s="1045"/>
      <c r="L433" s="655" t="str">
        <f t="shared" si="393"/>
        <v>6745</v>
      </c>
      <c r="M433" s="656" t="str">
        <f t="shared" si="260"/>
        <v>VEHICULE DE COMPAGNIE - DEPENS</v>
      </c>
      <c r="N433" s="657">
        <f>+IF(OR($Q433=Parametres!$G$2,$Q433=Parametres!$G$3),I433,C433)</f>
        <v>4664.04</v>
      </c>
      <c r="O433" s="657">
        <f>+IF(OR($Q433=Parametres!$G$2,$Q433=Parametres!$G$3),J433,D433)</f>
        <v>3404.66</v>
      </c>
      <c r="P433" s="657">
        <f>+IF(OR($Q433=Parametres!$G$2,$Q433=Parametres!$G$3),K433,E433)</f>
        <v>8068.7</v>
      </c>
      <c r="Q433" s="656" t="str">
        <f t="shared" ref="Q433:S433" si="440">+F433</f>
        <v>7-Dépenses</v>
      </c>
      <c r="R433" s="655" t="str">
        <f t="shared" si="440"/>
        <v>6145</v>
      </c>
      <c r="S433" s="656">
        <f t="shared" si="440"/>
        <v>0</v>
      </c>
      <c r="T433" s="658" t="str">
        <f>+VLOOKUP($L433,Data_Validation!$A:$D,1,0)</f>
        <v>6745</v>
      </c>
      <c r="U433" s="658" t="str">
        <f>+VLOOKUP($L433,Data_Validation!$A:$D,3,0)</f>
        <v>Pièces</v>
      </c>
      <c r="V433" s="658" t="str">
        <f>+VLOOKUP($L433,Data_Validation!$A:$D,4,0)</f>
        <v>Frais véhicules de cie</v>
      </c>
      <c r="W433" s="658" t="str">
        <f>+VLOOKUP($L433,Data_Validation!$A:$E,5,0)</f>
        <v>$</v>
      </c>
      <c r="X433" s="658">
        <f>+VLOOKUP($L433,Data_Validation!$A:$F,6,0)</f>
        <v>0</v>
      </c>
    </row>
    <row r="434" spans="1:24" ht="15" customHeight="1">
      <c r="A434" s="1055" t="s">
        <v>1197</v>
      </c>
      <c r="B434" s="1055" t="s">
        <v>2698</v>
      </c>
      <c r="C434" s="1057">
        <v>-39.020000000000003</v>
      </c>
      <c r="D434" s="1057">
        <v>-234.31</v>
      </c>
      <c r="E434" s="1057">
        <v>-273.33</v>
      </c>
      <c r="F434" s="1055" t="s">
        <v>1156</v>
      </c>
      <c r="G434" s="1055" t="s">
        <v>1198</v>
      </c>
      <c r="H434" s="1045"/>
      <c r="I434" s="1045"/>
      <c r="J434" s="1045"/>
      <c r="K434" s="1045"/>
      <c r="L434" s="655" t="str">
        <f t="shared" si="393"/>
        <v>6747</v>
      </c>
      <c r="M434" s="656" t="str">
        <f t="shared" si="260"/>
        <v>FRET/EXPRESS/TRANS. PAR CAMION</v>
      </c>
      <c r="N434" s="657">
        <f>+IF(OR($Q434=Parametres!$G$2,$Q434=Parametres!$G$3),I434,C434)</f>
        <v>-39.020000000000003</v>
      </c>
      <c r="O434" s="657">
        <f>+IF(OR($Q434=Parametres!$G$2,$Q434=Parametres!$G$3),J434,D434)</f>
        <v>-234.31</v>
      </c>
      <c r="P434" s="657">
        <f>+IF(OR($Q434=Parametres!$G$2,$Q434=Parametres!$G$3),K434,E434)</f>
        <v>-273.33</v>
      </c>
      <c r="Q434" s="656" t="str">
        <f t="shared" ref="Q434:S434" si="441">+F434</f>
        <v>7-Dépenses</v>
      </c>
      <c r="R434" s="655" t="str">
        <f t="shared" si="441"/>
        <v>6147</v>
      </c>
      <c r="S434" s="656">
        <f t="shared" si="441"/>
        <v>0</v>
      </c>
      <c r="T434" s="658" t="str">
        <f>+VLOOKUP($L434,Data_Validation!$A:$D,1,0)</f>
        <v>6747</v>
      </c>
      <c r="U434" s="658" t="str">
        <f>+VLOOKUP($L434,Data_Validation!$A:$D,3,0)</f>
        <v>Pièces</v>
      </c>
      <c r="V434" s="658" t="str">
        <f>+VLOOKUP($L434,Data_Validation!$A:$D,4,0)</f>
        <v>Frais postaux</v>
      </c>
      <c r="W434" s="658" t="str">
        <f>+VLOOKUP($L434,Data_Validation!$A:$E,5,0)</f>
        <v>$</v>
      </c>
      <c r="X434" s="658">
        <f>+VLOOKUP($L434,Data_Validation!$A:$F,6,0)</f>
        <v>0</v>
      </c>
    </row>
    <row r="435" spans="1:24" ht="15.75" customHeight="1">
      <c r="A435" s="1055" t="s">
        <v>1199</v>
      </c>
      <c r="B435" s="1055" t="s">
        <v>2700</v>
      </c>
      <c r="C435" s="1057">
        <v>42316.63</v>
      </c>
      <c r="D435" s="1057">
        <v>3747.75</v>
      </c>
      <c r="E435" s="1057">
        <v>46064.38</v>
      </c>
      <c r="F435" s="1055" t="s">
        <v>1156</v>
      </c>
      <c r="G435" s="1055" t="s">
        <v>1200</v>
      </c>
      <c r="H435" s="1045"/>
      <c r="I435" s="1045"/>
      <c r="J435" s="1045"/>
      <c r="K435" s="1045"/>
      <c r="L435" s="655" t="str">
        <f t="shared" si="393"/>
        <v>6751</v>
      </c>
      <c r="M435" s="656" t="str">
        <f t="shared" si="260"/>
        <v>DEP. DU TRAITEMENT DES DONNEES</v>
      </c>
      <c r="N435" s="657">
        <f>+IF(OR($Q435=Parametres!$G$2,$Q435=Parametres!$G$3),I435,C435)</f>
        <v>42316.63</v>
      </c>
      <c r="O435" s="657">
        <f>+IF(OR($Q435=Parametres!$G$2,$Q435=Parametres!$G$3),J435,D435)</f>
        <v>3747.75</v>
      </c>
      <c r="P435" s="657">
        <f>+IF(OR($Q435=Parametres!$G$2,$Q435=Parametres!$G$3),K435,E435)</f>
        <v>46064.38</v>
      </c>
      <c r="Q435" s="656" t="str">
        <f t="shared" ref="Q435:S435" si="442">+F435</f>
        <v>7-Dépenses</v>
      </c>
      <c r="R435" s="655" t="str">
        <f t="shared" si="442"/>
        <v>6151</v>
      </c>
      <c r="S435" s="656">
        <f t="shared" si="442"/>
        <v>0</v>
      </c>
      <c r="T435" s="658" t="str">
        <f>+VLOOKUP($L435,Data_Validation!$A:$D,1,0)</f>
        <v>6751</v>
      </c>
      <c r="U435" s="658" t="str">
        <f>+VLOOKUP($L435,Data_Validation!$A:$D,3,0)</f>
        <v>Pièces</v>
      </c>
      <c r="V435" s="658" t="str">
        <f>+VLOOKUP($L435,Data_Validation!$A:$D,4,0)</f>
        <v>Informatique</v>
      </c>
      <c r="W435" s="658" t="str">
        <f>+VLOOKUP($L435,Data_Validation!$A:$E,5,0)</f>
        <v>$</v>
      </c>
      <c r="X435" s="658">
        <f>+VLOOKUP($L435,Data_Validation!$A:$F,6,0)</f>
        <v>0</v>
      </c>
    </row>
    <row r="436" spans="1:24" ht="15" customHeight="1">
      <c r="A436" s="1055" t="s">
        <v>1201</v>
      </c>
      <c r="B436" s="1055" t="s">
        <v>2703</v>
      </c>
      <c r="C436" s="1057">
        <v>7184.77</v>
      </c>
      <c r="D436" s="1057">
        <v>735.94</v>
      </c>
      <c r="E436" s="1057">
        <v>7920.71</v>
      </c>
      <c r="F436" s="1055" t="s">
        <v>1156</v>
      </c>
      <c r="G436" s="1055" t="s">
        <v>1202</v>
      </c>
      <c r="H436" s="1045"/>
      <c r="I436" s="1045"/>
      <c r="J436" s="1045"/>
      <c r="K436" s="1045"/>
      <c r="L436" s="655" t="str">
        <f t="shared" si="393"/>
        <v>6752</v>
      </c>
      <c r="M436" s="656" t="str">
        <f t="shared" si="260"/>
        <v>PAPETERIE</v>
      </c>
      <c r="N436" s="657">
        <f>+IF(OR($Q436=Parametres!$G$2,$Q436=Parametres!$G$3),I436,C436)</f>
        <v>7184.77</v>
      </c>
      <c r="O436" s="657">
        <f>+IF(OR($Q436=Parametres!$G$2,$Q436=Parametres!$G$3),J436,D436)</f>
        <v>735.94</v>
      </c>
      <c r="P436" s="657">
        <f>+IF(OR($Q436=Parametres!$G$2,$Q436=Parametres!$G$3),K436,E436)</f>
        <v>7920.71</v>
      </c>
      <c r="Q436" s="656" t="str">
        <f t="shared" ref="Q436:S436" si="443">+F436</f>
        <v>7-Dépenses</v>
      </c>
      <c r="R436" s="655" t="str">
        <f t="shared" si="443"/>
        <v>6152</v>
      </c>
      <c r="S436" s="656">
        <f t="shared" si="443"/>
        <v>0</v>
      </c>
      <c r="T436" s="658" t="str">
        <f>+VLOOKUP($L436,Data_Validation!$A:$D,1,0)</f>
        <v>6752</v>
      </c>
      <c r="U436" s="658" t="str">
        <f>+VLOOKUP($L436,Data_Validation!$A:$D,3,0)</f>
        <v>Pièces</v>
      </c>
      <c r="V436" s="658" t="str">
        <f>+VLOOKUP($L436,Data_Validation!$A:$D,4,0)</f>
        <v>Papeterie</v>
      </c>
      <c r="W436" s="658" t="str">
        <f>+VLOOKUP($L436,Data_Validation!$A:$E,5,0)</f>
        <v>$</v>
      </c>
      <c r="X436" s="658">
        <f>+VLOOKUP($L436,Data_Validation!$A:$F,6,0)</f>
        <v>0</v>
      </c>
    </row>
    <row r="437" spans="1:24" ht="15" customHeight="1">
      <c r="A437" s="1055" t="s">
        <v>1203</v>
      </c>
      <c r="B437" s="1055" t="s">
        <v>2706</v>
      </c>
      <c r="C437" s="1057">
        <v>1024.3499999999999</v>
      </c>
      <c r="D437" s="1057">
        <v>81.28</v>
      </c>
      <c r="E437" s="1057">
        <v>1105.6300000000001</v>
      </c>
      <c r="F437" s="1055" t="s">
        <v>1156</v>
      </c>
      <c r="G437" s="1055" t="s">
        <v>1204</v>
      </c>
      <c r="H437" s="1045"/>
      <c r="I437" s="1045"/>
      <c r="J437" s="1045"/>
      <c r="K437" s="1045"/>
      <c r="L437" s="655" t="str">
        <f t="shared" si="393"/>
        <v>6753</v>
      </c>
      <c r="M437" s="656" t="str">
        <f t="shared" si="260"/>
        <v>TELEPHONE ET TELEX</v>
      </c>
      <c r="N437" s="657">
        <f>+IF(OR($Q437=Parametres!$G$2,$Q437=Parametres!$G$3),I437,C437)</f>
        <v>1024.3499999999999</v>
      </c>
      <c r="O437" s="657">
        <f>+IF(OR($Q437=Parametres!$G$2,$Q437=Parametres!$G$3),J437,D437)</f>
        <v>81.28</v>
      </c>
      <c r="P437" s="657">
        <f>+IF(OR($Q437=Parametres!$G$2,$Q437=Parametres!$G$3),K437,E437)</f>
        <v>1105.6300000000001</v>
      </c>
      <c r="Q437" s="656" t="str">
        <f t="shared" ref="Q437:S437" si="444">+F437</f>
        <v>7-Dépenses</v>
      </c>
      <c r="R437" s="655" t="str">
        <f t="shared" si="444"/>
        <v>6153</v>
      </c>
      <c r="S437" s="656">
        <f t="shared" si="444"/>
        <v>0</v>
      </c>
      <c r="T437" s="658" t="str">
        <f>+VLOOKUP($L437,Data_Validation!$A:$D,1,0)</f>
        <v>6753</v>
      </c>
      <c r="U437" s="658" t="str">
        <f>+VLOOKUP($L437,Data_Validation!$A:$D,3,0)</f>
        <v>Pièces</v>
      </c>
      <c r="V437" s="658" t="str">
        <f>+VLOOKUP($L437,Data_Validation!$A:$D,4,0)</f>
        <v>Téléphone</v>
      </c>
      <c r="W437" s="658" t="str">
        <f>+VLOOKUP($L437,Data_Validation!$A:$E,5,0)</f>
        <v>$</v>
      </c>
      <c r="X437" s="658">
        <f>+VLOOKUP($L437,Data_Validation!$A:$F,6,0)</f>
        <v>0</v>
      </c>
    </row>
    <row r="438" spans="1:24" ht="15" customHeight="1">
      <c r="A438" s="1055" t="s">
        <v>1205</v>
      </c>
      <c r="B438" s="1055" t="s">
        <v>2709</v>
      </c>
      <c r="C438" s="1057">
        <v>2290.08</v>
      </c>
      <c r="D438" s="1057">
        <v>-2.94</v>
      </c>
      <c r="E438" s="1057">
        <v>2287.14</v>
      </c>
      <c r="F438" s="1055" t="s">
        <v>1156</v>
      </c>
      <c r="G438" s="1055" t="s">
        <v>1206</v>
      </c>
      <c r="H438" s="1045"/>
      <c r="I438" s="1045"/>
      <c r="J438" s="1045"/>
      <c r="K438" s="1045"/>
      <c r="L438" s="655" t="str">
        <f t="shared" si="393"/>
        <v>6755</v>
      </c>
      <c r="M438" s="656" t="str">
        <f t="shared" si="260"/>
        <v>DEPENSES DIVERS</v>
      </c>
      <c r="N438" s="657">
        <f>+IF(OR($Q438=Parametres!$G$2,$Q438=Parametres!$G$3),I438,C438)</f>
        <v>2290.08</v>
      </c>
      <c r="O438" s="713">
        <f>+IF(OR($Q438=Parametres!$G$2,$Q438=Parametres!$G$3),J438,D438)</f>
        <v>-2.94</v>
      </c>
      <c r="P438" s="657">
        <f>+IF(OR($Q438=Parametres!$G$2,$Q438=Parametres!$G$3),K438,E438)</f>
        <v>2287.14</v>
      </c>
      <c r="Q438" s="656" t="str">
        <f t="shared" ref="Q438:S438" si="445">+F438</f>
        <v>7-Dépenses</v>
      </c>
      <c r="R438" s="655" t="str">
        <f t="shared" si="445"/>
        <v>6155</v>
      </c>
      <c r="S438" s="656">
        <f t="shared" si="445"/>
        <v>0</v>
      </c>
      <c r="T438" s="658" t="str">
        <f>+VLOOKUP($L438,Data_Validation!$A:$D,1,0)</f>
        <v>6755</v>
      </c>
      <c r="U438" s="658" t="str">
        <f>+VLOOKUP($L438,Data_Validation!$A:$D,3,0)</f>
        <v>Pièces</v>
      </c>
      <c r="V438" s="658" t="str">
        <f>+VLOOKUP($L438,Data_Validation!$A:$D,4,0)</f>
        <v>Divers</v>
      </c>
      <c r="W438" s="658" t="str">
        <f>+VLOOKUP($L438,Data_Validation!$A:$E,5,0)</f>
        <v>$</v>
      </c>
      <c r="X438" s="658">
        <f>+VLOOKUP($L438,Data_Validation!$A:$F,6,0)</f>
        <v>0</v>
      </c>
    </row>
    <row r="439" spans="1:24" ht="15" customHeight="1">
      <c r="A439" s="1055" t="s">
        <v>1279</v>
      </c>
      <c r="B439" s="1055" t="s">
        <v>2712</v>
      </c>
      <c r="C439" s="1057">
        <v>8090.64</v>
      </c>
      <c r="D439" s="1057">
        <v>746.87</v>
      </c>
      <c r="E439" s="1057">
        <v>8837.51</v>
      </c>
      <c r="F439" s="1055" t="s">
        <v>1156</v>
      </c>
      <c r="G439" s="1055" t="s">
        <v>1208</v>
      </c>
      <c r="H439" s="1045"/>
      <c r="I439" s="1045"/>
      <c r="J439" s="1045"/>
      <c r="K439" s="1045"/>
      <c r="L439" s="655" t="str">
        <f t="shared" si="393"/>
        <v>6756</v>
      </c>
      <c r="M439" s="656" t="str">
        <f t="shared" si="260"/>
        <v>FRAIS REPRESENTATION - PIECES</v>
      </c>
      <c r="N439" s="657">
        <f>+IF(OR($Q439=Parametres!$G$2,$Q439=Parametres!$G$3),I439,C439)</f>
        <v>8090.64</v>
      </c>
      <c r="O439" s="657">
        <f>+IF(OR($Q439=Parametres!$G$2,$Q439=Parametres!$G$3),J439,D439)</f>
        <v>746.87</v>
      </c>
      <c r="P439" s="657">
        <f>+IF(OR($Q439=Parametres!$G$2,$Q439=Parametres!$G$3),K439,E439)</f>
        <v>8837.51</v>
      </c>
      <c r="Q439" s="656" t="str">
        <f t="shared" ref="Q439:S439" si="446">+F439</f>
        <v>7-Dépenses</v>
      </c>
      <c r="R439" s="655" t="str">
        <f t="shared" si="446"/>
        <v>6156</v>
      </c>
      <c r="S439" s="656">
        <f t="shared" si="446"/>
        <v>0</v>
      </c>
      <c r="T439" s="658" t="str">
        <f>+VLOOKUP($L439,Data_Validation!$A:$D,1,0)</f>
        <v>6756</v>
      </c>
      <c r="U439" s="658" t="str">
        <f>+VLOOKUP($L439,Data_Validation!$A:$D,3,0)</f>
        <v>Pièces</v>
      </c>
      <c r="V439" s="658" t="str">
        <f>+VLOOKUP($L439,Data_Validation!$A:$D,4,0)</f>
        <v>Frais de déplacement</v>
      </c>
      <c r="W439" s="658" t="str">
        <f>+VLOOKUP($L439,Data_Validation!$A:$E,5,0)</f>
        <v>$</v>
      </c>
      <c r="X439" s="658">
        <f>+VLOOKUP($L439,Data_Validation!$A:$F,6,0)</f>
        <v>0</v>
      </c>
    </row>
    <row r="440" spans="1:24" ht="15" customHeight="1">
      <c r="A440" s="1055" t="s">
        <v>1280</v>
      </c>
      <c r="B440" s="1055" t="s">
        <v>3405</v>
      </c>
      <c r="C440" s="1057">
        <v>17649.330000000002</v>
      </c>
      <c r="D440" s="1057">
        <v>1630.49</v>
      </c>
      <c r="E440" s="1057">
        <v>19279.82</v>
      </c>
      <c r="F440" s="1055" t="s">
        <v>1156</v>
      </c>
      <c r="G440" s="1055" t="s">
        <v>3342</v>
      </c>
      <c r="H440" s="1045"/>
      <c r="I440" s="1045"/>
      <c r="J440" s="1045"/>
      <c r="K440" s="1045"/>
      <c r="L440" s="655" t="str">
        <f t="shared" si="393"/>
        <v>6757</v>
      </c>
      <c r="M440" s="656" t="str">
        <f t="shared" si="260"/>
        <v>FRAIS BANCAIRES - PIECES</v>
      </c>
      <c r="N440" s="657">
        <f>+IF(OR($Q440=Parametres!$G$2,$Q440=Parametres!$G$3),I440,C440)</f>
        <v>17649.330000000002</v>
      </c>
      <c r="O440" s="715">
        <f>+IF(OR($Q440=Parametres!$G$2,$Q440=Parametres!$G$3),J440,D440)</f>
        <v>1630.49</v>
      </c>
      <c r="P440" s="657">
        <f>+IF(OR($Q440=Parametres!$G$2,$Q440=Parametres!$G$3),K440,E440)</f>
        <v>19279.82</v>
      </c>
      <c r="Q440" s="656" t="str">
        <f t="shared" ref="Q440:S440" si="447">+F440</f>
        <v>7-Dépenses</v>
      </c>
      <c r="R440" s="655" t="str">
        <f t="shared" si="447"/>
        <v>675</v>
      </c>
      <c r="S440" s="656">
        <f t="shared" si="447"/>
        <v>0</v>
      </c>
      <c r="T440" s="658" t="str">
        <f>+VLOOKUP($L440,Data_Validation!$A:$D,1,0)</f>
        <v>6757</v>
      </c>
      <c r="U440" s="658" t="str">
        <f>+VLOOKUP($L440,Data_Validation!$A:$D,3,0)</f>
        <v>Pièces</v>
      </c>
      <c r="V440" s="658" t="str">
        <f>+VLOOKUP($L440,Data_Validation!$A:$D,4,0)</f>
        <v>Frais bancaires</v>
      </c>
      <c r="W440" s="658" t="str">
        <f>+VLOOKUP($L440,Data_Validation!$A:$E,5,0)</f>
        <v>$</v>
      </c>
      <c r="X440" s="658">
        <f>+VLOOKUP($L440,Data_Validation!$A:$F,6,0)</f>
        <v>0</v>
      </c>
    </row>
    <row r="441" spans="1:24" ht="15.75" customHeight="1">
      <c r="A441" s="1055" t="s">
        <v>1211</v>
      </c>
      <c r="B441" s="1055" t="s">
        <v>2715</v>
      </c>
      <c r="C441" s="1057">
        <v>102477.14</v>
      </c>
      <c r="D441" s="1057">
        <v>9918.16</v>
      </c>
      <c r="E441" s="1057">
        <v>112395.3</v>
      </c>
      <c r="F441" s="1055" t="s">
        <v>1156</v>
      </c>
      <c r="G441" s="1055" t="s">
        <v>1212</v>
      </c>
      <c r="H441" s="1045"/>
      <c r="I441" s="1045"/>
      <c r="J441" s="1045"/>
      <c r="K441" s="1045"/>
      <c r="L441" s="655" t="str">
        <f t="shared" si="393"/>
        <v>6759</v>
      </c>
      <c r="M441" s="656" t="str">
        <f t="shared" si="260"/>
        <v>SERVICE EXTERIEUR</v>
      </c>
      <c r="N441" s="657">
        <f>+IF(OR($Q441=Parametres!$G$2,$Q441=Parametres!$G$3),I441,C441)</f>
        <v>102477.14</v>
      </c>
      <c r="O441" s="657">
        <f>+IF(OR($Q441=Parametres!$G$2,$Q441=Parametres!$G$3),J441,D441)</f>
        <v>9918.16</v>
      </c>
      <c r="P441" s="657">
        <f>+IF(OR($Q441=Parametres!$G$2,$Q441=Parametres!$G$3),K441,E441)</f>
        <v>112395.3</v>
      </c>
      <c r="Q441" s="656" t="str">
        <f t="shared" ref="Q441:S441" si="448">+F441</f>
        <v>7-Dépenses</v>
      </c>
      <c r="R441" s="655" t="str">
        <f t="shared" si="448"/>
        <v>6159</v>
      </c>
      <c r="S441" s="656">
        <f t="shared" si="448"/>
        <v>0</v>
      </c>
      <c r="T441" s="658" t="str">
        <f>+VLOOKUP($L441,Data_Validation!$A:$D,1,0)</f>
        <v>6759</v>
      </c>
      <c r="U441" s="658" t="str">
        <f>+VLOOKUP($L441,Data_Validation!$A:$D,3,0)</f>
        <v>Pièces</v>
      </c>
      <c r="V441" s="658" t="str">
        <f>+VLOOKUP($L441,Data_Validation!$A:$D,4,0)</f>
        <v>Services extérieurs</v>
      </c>
      <c r="W441" s="658" t="str">
        <f>+VLOOKUP($L441,Data_Validation!$A:$E,5,0)</f>
        <v>$</v>
      </c>
      <c r="X441" s="658">
        <f>+VLOOKUP($L441,Data_Validation!$A:$F,6,0)</f>
        <v>0</v>
      </c>
    </row>
    <row r="442" spans="1:24" ht="15" customHeight="1">
      <c r="A442" s="1055" t="s">
        <v>1213</v>
      </c>
      <c r="B442" s="1055" t="s">
        <v>2718</v>
      </c>
      <c r="C442" s="1057">
        <v>11864.82</v>
      </c>
      <c r="D442" s="1057">
        <v>1078.6199999999999</v>
      </c>
      <c r="E442" s="1057">
        <v>12943.44</v>
      </c>
      <c r="F442" s="1055" t="s">
        <v>1156</v>
      </c>
      <c r="G442" s="1055" t="s">
        <v>1214</v>
      </c>
      <c r="H442" s="1045"/>
      <c r="I442" s="1045"/>
      <c r="J442" s="1045"/>
      <c r="K442" s="1045"/>
      <c r="L442" s="655" t="str">
        <f t="shared" si="393"/>
        <v>6761</v>
      </c>
      <c r="M442" s="656" t="str">
        <f t="shared" si="260"/>
        <v>DEPRECIATION EQUIP. &amp; FIXTURES</v>
      </c>
      <c r="N442" s="657">
        <f>+IF(OR($Q442=Parametres!$G$2,$Q442=Parametres!$G$3),I442,C442)</f>
        <v>11864.82</v>
      </c>
      <c r="O442" s="657">
        <f>+IF(OR($Q442=Parametres!$G$2,$Q442=Parametres!$G$3),J442,D442)</f>
        <v>1078.6199999999999</v>
      </c>
      <c r="P442" s="657">
        <f>+IF(OR($Q442=Parametres!$G$2,$Q442=Parametres!$G$3),K442,E442)</f>
        <v>12943.44</v>
      </c>
      <c r="Q442" s="656" t="str">
        <f t="shared" ref="Q442:S442" si="449">+F442</f>
        <v>7-Dépenses</v>
      </c>
      <c r="R442" s="655" t="str">
        <f t="shared" si="449"/>
        <v>6161</v>
      </c>
      <c r="S442" s="656">
        <f t="shared" si="449"/>
        <v>0</v>
      </c>
      <c r="T442" s="658" t="str">
        <f>+VLOOKUP($L442,Data_Validation!$A:$D,1,0)</f>
        <v>6761</v>
      </c>
      <c r="U442" s="658" t="str">
        <f>+VLOOKUP($L442,Data_Validation!$A:$D,3,0)</f>
        <v>Pièces</v>
      </c>
      <c r="V442" s="658" t="str">
        <f>+VLOOKUP($L442,Data_Validation!$A:$D,4,0)</f>
        <v>Amortissement</v>
      </c>
      <c r="W442" s="658" t="str">
        <f>+VLOOKUP($L442,Data_Validation!$A:$E,5,0)</f>
        <v>$</v>
      </c>
      <c r="X442" s="658">
        <f>+VLOOKUP($L442,Data_Validation!$A:$F,6,0)</f>
        <v>0</v>
      </c>
    </row>
    <row r="443" spans="1:24" ht="15" customHeight="1">
      <c r="A443" s="1055" t="s">
        <v>1281</v>
      </c>
      <c r="B443" s="1055" t="s">
        <v>2727</v>
      </c>
      <c r="C443" s="1057">
        <v>6958.19</v>
      </c>
      <c r="D443" s="1057">
        <v>232.71</v>
      </c>
      <c r="E443" s="1057">
        <v>7190.9</v>
      </c>
      <c r="F443" s="1055" t="s">
        <v>1156</v>
      </c>
      <c r="G443" s="1055" t="s">
        <v>1216</v>
      </c>
      <c r="H443" s="1045"/>
      <c r="I443" s="1045"/>
      <c r="J443" s="1045"/>
      <c r="K443" s="1045"/>
      <c r="L443" s="655" t="str">
        <f t="shared" si="393"/>
        <v>6781</v>
      </c>
      <c r="M443" s="656" t="str">
        <f t="shared" si="260"/>
        <v>CHAUFFAGE,ELECTRICITE,EAU-PIECES</v>
      </c>
      <c r="N443" s="657">
        <f>+IF(OR($Q443=Parametres!$G$2,$Q443=Parametres!$G$3),I443,C443)</f>
        <v>6958.19</v>
      </c>
      <c r="O443" s="657">
        <f>+IF(OR($Q443=Parametres!$G$2,$Q443=Parametres!$G$3),J443,D443)</f>
        <v>232.71</v>
      </c>
      <c r="P443" s="657">
        <f>+IF(OR($Q443=Parametres!$G$2,$Q443=Parametres!$G$3),K443,E443)</f>
        <v>7190.9</v>
      </c>
      <c r="Q443" s="656" t="str">
        <f t="shared" ref="Q443:S443" si="450">+F443</f>
        <v>7-Dépenses</v>
      </c>
      <c r="R443" s="655" t="str">
        <f t="shared" si="450"/>
        <v>6181</v>
      </c>
      <c r="S443" s="656">
        <f t="shared" si="450"/>
        <v>0</v>
      </c>
      <c r="T443" s="658" t="str">
        <f>+VLOOKUP($L443,Data_Validation!$A:$D,1,0)</f>
        <v>6781</v>
      </c>
      <c r="U443" s="658" t="str">
        <f>+VLOOKUP($L443,Data_Validation!$A:$D,3,0)</f>
        <v>Pièces</v>
      </c>
      <c r="V443" s="658" t="str">
        <f>+VLOOKUP($L443,Data_Validation!$A:$D,4,0)</f>
        <v>Chauffage, éclairage</v>
      </c>
      <c r="W443" s="658" t="str">
        <f>+VLOOKUP($L443,Data_Validation!$A:$E,5,0)</f>
        <v>$</v>
      </c>
      <c r="X443" s="658">
        <f>+VLOOKUP($L443,Data_Validation!$A:$F,6,0)</f>
        <v>0</v>
      </c>
    </row>
    <row r="444" spans="1:24" ht="15" customHeight="1">
      <c r="A444" s="1055" t="s">
        <v>1282</v>
      </c>
      <c r="B444" s="1055" t="s">
        <v>2730</v>
      </c>
      <c r="C444" s="1057">
        <v>71500</v>
      </c>
      <c r="D444" s="1057">
        <v>6500</v>
      </c>
      <c r="E444" s="1057">
        <v>78000</v>
      </c>
      <c r="F444" s="1055" t="s">
        <v>1156</v>
      </c>
      <c r="G444" s="1055" t="s">
        <v>1218</v>
      </c>
      <c r="H444" s="1045"/>
      <c r="I444" s="1045"/>
      <c r="J444" s="1045"/>
      <c r="K444" s="1045"/>
      <c r="L444" s="655" t="str">
        <f t="shared" si="393"/>
        <v>6782</v>
      </c>
      <c r="M444" s="656" t="str">
        <f t="shared" si="260"/>
        <v>LOYER - PIECES</v>
      </c>
      <c r="N444" s="657">
        <f>+IF(OR($Q444=Parametres!$G$2,$Q444=Parametres!$G$3),I444,C444)</f>
        <v>71500</v>
      </c>
      <c r="O444" s="657">
        <f>+IF(OR($Q444=Parametres!$G$2,$Q444=Parametres!$G$3),J444,D444)</f>
        <v>6500</v>
      </c>
      <c r="P444" s="657">
        <f>+IF(OR($Q444=Parametres!$G$2,$Q444=Parametres!$G$3),K444,E444)</f>
        <v>78000</v>
      </c>
      <c r="Q444" s="656" t="str">
        <f t="shared" ref="Q444:S444" si="451">+F444</f>
        <v>7-Dépenses</v>
      </c>
      <c r="R444" s="655" t="str">
        <f t="shared" si="451"/>
        <v>6182</v>
      </c>
      <c r="S444" s="656">
        <f t="shared" si="451"/>
        <v>0</v>
      </c>
      <c r="T444" s="658" t="str">
        <f>+VLOOKUP($L444,Data_Validation!$A:$D,1,0)</f>
        <v>6782</v>
      </c>
      <c r="U444" s="658" t="str">
        <f>+VLOOKUP($L444,Data_Validation!$A:$D,3,0)</f>
        <v>Pièces</v>
      </c>
      <c r="V444" s="658" t="str">
        <f>+VLOOKUP($L444,Data_Validation!$A:$D,4,0)</f>
        <v>Loyer</v>
      </c>
      <c r="W444" s="658" t="str">
        <f>+VLOOKUP($L444,Data_Validation!$A:$E,5,0)</f>
        <v>$</v>
      </c>
      <c r="X444" s="658">
        <f>+VLOOKUP($L444,Data_Validation!$A:$F,6,0)</f>
        <v>0</v>
      </c>
    </row>
    <row r="445" spans="1:24" ht="15" customHeight="1">
      <c r="A445" s="1055" t="s">
        <v>1283</v>
      </c>
      <c r="B445" s="1055" t="s">
        <v>2733</v>
      </c>
      <c r="C445" s="1057">
        <v>11745.25</v>
      </c>
      <c r="D445" s="1057">
        <v>1067.75</v>
      </c>
      <c r="E445" s="1057">
        <v>12813</v>
      </c>
      <c r="F445" s="1055" t="s">
        <v>1156</v>
      </c>
      <c r="G445" s="1055" t="s">
        <v>1220</v>
      </c>
      <c r="H445" s="1045"/>
      <c r="I445" s="1045"/>
      <c r="J445" s="1045"/>
      <c r="K445" s="1045"/>
      <c r="L445" s="655" t="str">
        <f t="shared" si="393"/>
        <v>6786</v>
      </c>
      <c r="M445" s="656" t="str">
        <f t="shared" si="260"/>
        <v>ASSURANCE BATISSE &amp; AMEL.-PIECES</v>
      </c>
      <c r="N445" s="657">
        <f>+IF(OR($Q445=Parametres!$G$2,$Q445=Parametres!$G$3),I445,C445)</f>
        <v>11745.25</v>
      </c>
      <c r="O445" s="657">
        <f>+IF(OR($Q445=Parametres!$G$2,$Q445=Parametres!$G$3),J445,D445)</f>
        <v>1067.75</v>
      </c>
      <c r="P445" s="657">
        <f>+IF(OR($Q445=Parametres!$G$2,$Q445=Parametres!$G$3),K445,E445)</f>
        <v>12813</v>
      </c>
      <c r="Q445" s="656" t="str">
        <f t="shared" ref="Q445:S445" si="452">+F445</f>
        <v>7-Dépenses</v>
      </c>
      <c r="R445" s="655" t="str">
        <f t="shared" si="452"/>
        <v>6186</v>
      </c>
      <c r="S445" s="656">
        <f t="shared" si="452"/>
        <v>0</v>
      </c>
      <c r="T445" s="658" t="str">
        <f>+VLOOKUP($L445,Data_Validation!$A:$D,1,0)</f>
        <v>6786</v>
      </c>
      <c r="U445" s="658" t="str">
        <f>+VLOOKUP($L445,Data_Validation!$A:$D,3,0)</f>
        <v>Pièces</v>
      </c>
      <c r="V445" s="658" t="str">
        <f>+VLOOKUP($L445,Data_Validation!$A:$D,4,0)</f>
        <v>Assurances</v>
      </c>
      <c r="W445" s="658" t="str">
        <f>+VLOOKUP($L445,Data_Validation!$A:$E,5,0)</f>
        <v>$</v>
      </c>
      <c r="X445" s="658">
        <f>+VLOOKUP($L445,Data_Validation!$A:$F,6,0)</f>
        <v>0</v>
      </c>
    </row>
    <row r="446" spans="1:24" ht="15.75" customHeight="1">
      <c r="A446" s="1055" t="s">
        <v>1284</v>
      </c>
      <c r="B446" s="1055" t="s">
        <v>2736</v>
      </c>
      <c r="C446" s="1057">
        <v>13557.5</v>
      </c>
      <c r="D446" s="1057">
        <v>414.01</v>
      </c>
      <c r="E446" s="1057">
        <v>13971.51</v>
      </c>
      <c r="F446" s="1055" t="s">
        <v>1156</v>
      </c>
      <c r="G446" s="1055" t="s">
        <v>1222</v>
      </c>
      <c r="H446" s="1045"/>
      <c r="I446" s="1045"/>
      <c r="J446" s="1045"/>
      <c r="K446" s="1045"/>
      <c r="L446" s="655" t="str">
        <f t="shared" si="393"/>
        <v>6787</v>
      </c>
      <c r="M446" s="656" t="str">
        <f t="shared" si="260"/>
        <v>TAXES FONCIERES - PIECES</v>
      </c>
      <c r="N446" s="657">
        <f>+IF(OR($Q446=Parametres!$G$2,$Q446=Parametres!$G$3),I446,C446)</f>
        <v>13557.5</v>
      </c>
      <c r="O446" s="657">
        <f>+IF(OR($Q446=Parametres!$G$2,$Q446=Parametres!$G$3),J446,D446)</f>
        <v>414.01</v>
      </c>
      <c r="P446" s="657">
        <f>+IF(OR($Q446=Parametres!$G$2,$Q446=Parametres!$G$3),K446,E446)</f>
        <v>13971.51</v>
      </c>
      <c r="Q446" s="656" t="str">
        <f t="shared" ref="Q446:S446" si="453">+F446</f>
        <v>7-Dépenses</v>
      </c>
      <c r="R446" s="655" t="str">
        <f t="shared" si="453"/>
        <v>6187</v>
      </c>
      <c r="S446" s="656">
        <f t="shared" si="453"/>
        <v>0</v>
      </c>
      <c r="T446" s="658" t="str">
        <f>+VLOOKUP($L446,Data_Validation!$A:$D,1,0)</f>
        <v>6787</v>
      </c>
      <c r="U446" s="658" t="str">
        <f>+VLOOKUP($L446,Data_Validation!$A:$D,3,0)</f>
        <v>Pièces</v>
      </c>
      <c r="V446" s="658" t="str">
        <f>+VLOOKUP($L446,Data_Validation!$A:$D,4,0)</f>
        <v>Taxes foncières</v>
      </c>
      <c r="W446" s="658" t="str">
        <f>+VLOOKUP($L446,Data_Validation!$A:$E,5,0)</f>
        <v>$</v>
      </c>
      <c r="X446" s="658">
        <f>+VLOOKUP($L446,Data_Validation!$A:$F,6,0)</f>
        <v>0</v>
      </c>
    </row>
    <row r="447" spans="1:24" ht="15.75" customHeight="1">
      <c r="A447" s="1055" t="s">
        <v>1285</v>
      </c>
      <c r="B447" s="1055" t="s">
        <v>2739</v>
      </c>
      <c r="C447" s="1057">
        <v>9020</v>
      </c>
      <c r="D447" s="1057">
        <v>820</v>
      </c>
      <c r="E447" s="1057">
        <v>9840</v>
      </c>
      <c r="F447" s="1055" t="s">
        <v>1156</v>
      </c>
      <c r="G447" s="1055" t="s">
        <v>1224</v>
      </c>
      <c r="H447" s="1045"/>
      <c r="I447" s="1046"/>
      <c r="J447" s="1046"/>
      <c r="K447" s="1046"/>
      <c r="L447" s="655" t="str">
        <f t="shared" si="393"/>
        <v>6793</v>
      </c>
      <c r="M447" s="656" t="str">
        <f t="shared" si="260"/>
        <v>AUTRES TAXES - PIECES</v>
      </c>
      <c r="N447" s="657">
        <f>+IF(OR($Q447=Parametres!$G$2,$Q447=Parametres!$G$3),I447,C447)</f>
        <v>9020</v>
      </c>
      <c r="O447" s="657">
        <f>+IF(OR($Q447=Parametres!$G$2,$Q447=Parametres!$G$3),J447,D447)</f>
        <v>820</v>
      </c>
      <c r="P447" s="657">
        <f>+IF(OR($Q447=Parametres!$G$2,$Q447=Parametres!$G$3),K447,E447)</f>
        <v>9840</v>
      </c>
      <c r="Q447" s="656" t="str">
        <f t="shared" ref="Q447:S447" si="454">+F447</f>
        <v>7-Dépenses</v>
      </c>
      <c r="R447" s="655" t="str">
        <f t="shared" si="454"/>
        <v>6193</v>
      </c>
      <c r="S447" s="656">
        <f t="shared" si="454"/>
        <v>0</v>
      </c>
      <c r="T447" s="658" t="str">
        <f>+VLOOKUP($L447,Data_Validation!$A:$D,1,0)</f>
        <v>6793</v>
      </c>
      <c r="U447" s="658" t="str">
        <f>+VLOOKUP($L447,Data_Validation!$A:$D,3,0)</f>
        <v>Pièces</v>
      </c>
      <c r="V447" s="658" t="str">
        <f>+VLOOKUP($L447,Data_Validation!$A:$D,4,0)</f>
        <v>Taxes d`affaires</v>
      </c>
      <c r="W447" s="658" t="str">
        <f>+VLOOKUP($L447,Data_Validation!$A:$E,5,0)</f>
        <v>$</v>
      </c>
      <c r="X447" s="658">
        <f>+VLOOKUP($L447,Data_Validation!$A:$F,6,0)</f>
        <v>0</v>
      </c>
    </row>
    <row r="448" spans="1:24" ht="15" customHeight="1">
      <c r="A448" s="1055" t="s">
        <v>1286</v>
      </c>
      <c r="B448" s="1055" t="s">
        <v>2742</v>
      </c>
      <c r="C448" s="1057">
        <v>16839.13</v>
      </c>
      <c r="D448" s="1057">
        <v>1530.83</v>
      </c>
      <c r="E448" s="1057">
        <v>18369.96</v>
      </c>
      <c r="F448" s="1055" t="s">
        <v>1156</v>
      </c>
      <c r="G448" s="1055" t="s">
        <v>1226</v>
      </c>
      <c r="H448" s="1045"/>
      <c r="I448" s="1046"/>
      <c r="J448" s="1046"/>
      <c r="K448" s="1046"/>
      <c r="L448" s="655" t="str">
        <f t="shared" si="393"/>
        <v>6794</v>
      </c>
      <c r="M448" s="656" t="str">
        <f t="shared" si="260"/>
        <v>FRAIS PROFESSIONNEL-PIECES</v>
      </c>
      <c r="N448" s="657">
        <f>+IF(OR($Q448=Parametres!$G$2,$Q448=Parametres!$G$3),I448,C448)</f>
        <v>16839.13</v>
      </c>
      <c r="O448" s="657">
        <f>+IF(OR($Q448=Parametres!$G$2,$Q448=Parametres!$G$3),J448,D448)</f>
        <v>1530.83</v>
      </c>
      <c r="P448" s="657">
        <f>+IF(OR($Q448=Parametres!$G$2,$Q448=Parametres!$G$3),K448,E448)</f>
        <v>18369.96</v>
      </c>
      <c r="Q448" s="656" t="str">
        <f t="shared" ref="Q448:S448" si="455">+F448</f>
        <v>7-Dépenses</v>
      </c>
      <c r="R448" s="655" t="str">
        <f t="shared" si="455"/>
        <v>6194</v>
      </c>
      <c r="S448" s="656">
        <f t="shared" si="455"/>
        <v>0</v>
      </c>
      <c r="T448" s="658" t="str">
        <f>+VLOOKUP($L448,Data_Validation!$A:$D,1,0)</f>
        <v>6794</v>
      </c>
      <c r="U448" s="658" t="str">
        <f>+VLOOKUP($L448,Data_Validation!$A:$D,3,0)</f>
        <v>Pièces</v>
      </c>
      <c r="V448" s="658" t="str">
        <f>+VLOOKUP($L448,Data_Validation!$A:$D,4,0)</f>
        <v>Honoraires</v>
      </c>
      <c r="W448" s="658" t="str">
        <f>+VLOOKUP($L448,Data_Validation!$A:$E,5,0)</f>
        <v>$</v>
      </c>
      <c r="X448" s="658">
        <f>+VLOOKUP($L448,Data_Validation!$A:$F,6,0)</f>
        <v>0</v>
      </c>
    </row>
    <row r="449" spans="1:24" ht="15" customHeight="1">
      <c r="A449" s="1055" t="s">
        <v>3686</v>
      </c>
      <c r="B449" s="1055" t="s">
        <v>3407</v>
      </c>
      <c r="C449" s="1057">
        <v>0</v>
      </c>
      <c r="D449" s="1057">
        <v>450</v>
      </c>
      <c r="E449" s="1057">
        <v>450</v>
      </c>
      <c r="F449" s="1055" t="s">
        <v>1287</v>
      </c>
      <c r="G449" s="1055" t="s">
        <v>1288</v>
      </c>
      <c r="H449" s="1047"/>
      <c r="I449" s="1047"/>
      <c r="J449" s="1047"/>
      <c r="K449" s="1047"/>
      <c r="L449" s="655" t="str">
        <f t="shared" si="393"/>
        <v>9143</v>
      </c>
      <c r="M449" s="656" t="str">
        <f t="shared" si="260"/>
        <v>PRIMES DE PERFORMANCE VW</v>
      </c>
      <c r="N449" s="657">
        <f>+IF(OR($Q449=Parametres!$G$2,$Q449=Parametres!$G$3),I449,C449)</f>
        <v>0</v>
      </c>
      <c r="O449" s="657">
        <f>+IF(OR($Q449=Parametres!$G$2,$Q449=Parametres!$G$3),J449,D449)</f>
        <v>450</v>
      </c>
      <c r="P449" s="657">
        <f>+IF(OR($Q449=Parametres!$G$2,$Q449=Parametres!$G$3),K449,E449)</f>
        <v>450</v>
      </c>
      <c r="Q449" s="656" t="str">
        <f t="shared" ref="Q449:S449" si="456">+F449</f>
        <v>8-Autres revenus</v>
      </c>
      <c r="R449" s="655" t="str">
        <f t="shared" si="456"/>
        <v>9101</v>
      </c>
      <c r="S449" s="656">
        <f t="shared" si="456"/>
        <v>0</v>
      </c>
      <c r="T449" s="658" t="str">
        <f>+VLOOKUP($L449,Data_Validation!$A:$D,1,0)</f>
        <v>9143</v>
      </c>
      <c r="U449" s="658" t="str">
        <f>+VLOOKUP($L449,Data_Validation!$A:$D,3,0)</f>
        <v>TOTAL  DES  REVENUS  ET  DÉPENSES</v>
      </c>
      <c r="V449" s="658" t="str">
        <f>+VLOOKUP($L449,Data_Validation!$A:$D,4,0)</f>
        <v>Revenus autres</v>
      </c>
      <c r="W449" s="658" t="str">
        <f>+VLOOKUP($L449,Data_Validation!$A:$E,5,0)</f>
        <v>$</v>
      </c>
      <c r="X449" s="658">
        <f>+VLOOKUP($L449,Data_Validation!$A:$F,6,0)</f>
        <v>0</v>
      </c>
    </row>
    <row r="450" spans="1:24" ht="15" customHeight="1">
      <c r="A450" s="1055" t="s">
        <v>1289</v>
      </c>
      <c r="B450" s="1055" t="s">
        <v>2753</v>
      </c>
      <c r="C450" s="1057">
        <v>-648421.92000000004</v>
      </c>
      <c r="D450" s="1057">
        <v>-45541</v>
      </c>
      <c r="E450" s="1057">
        <v>-693962.92</v>
      </c>
      <c r="F450" s="1055" t="s">
        <v>1287</v>
      </c>
      <c r="G450" s="1055" t="s">
        <v>1288</v>
      </c>
      <c r="H450" s="1047"/>
      <c r="I450" s="1047"/>
      <c r="J450" s="1047"/>
      <c r="K450" s="1047"/>
      <c r="L450" s="655" t="str">
        <f t="shared" si="393"/>
        <v>9149</v>
      </c>
      <c r="M450" s="656" t="str">
        <f t="shared" si="260"/>
        <v>REVENU RESERVE VOLKS</v>
      </c>
      <c r="N450" s="657">
        <f>+IF(OR($Q450=Parametres!$G$2,$Q450=Parametres!$G$3),I450,C450)</f>
        <v>-648421.92000000004</v>
      </c>
      <c r="O450" s="657">
        <f>+IF(OR($Q450=Parametres!$G$2,$Q450=Parametres!$G$3),J450,D450)</f>
        <v>-45541</v>
      </c>
      <c r="P450" s="657">
        <f>+IF(OR($Q450=Parametres!$G$2,$Q450=Parametres!$G$3),K450,E450)</f>
        <v>-693962.92</v>
      </c>
      <c r="Q450" s="656" t="str">
        <f t="shared" ref="Q450:S450" si="457">+F450</f>
        <v>8-Autres revenus</v>
      </c>
      <c r="R450" s="655" t="str">
        <f t="shared" si="457"/>
        <v>9101</v>
      </c>
      <c r="S450" s="656">
        <f t="shared" si="457"/>
        <v>0</v>
      </c>
      <c r="T450" s="658" t="str">
        <f>+VLOOKUP($L450,Data_Validation!$A:$D,1,0)</f>
        <v>9149</v>
      </c>
      <c r="U450" s="658" t="str">
        <f>+VLOOKUP($L450,Data_Validation!$A:$D,3,0)</f>
        <v>Véhicules neufs</v>
      </c>
      <c r="V450" s="658" t="str">
        <f>+VLOOKUP($L450,Data_Validation!$A:$D,4,0)</f>
        <v>Holdbacks</v>
      </c>
      <c r="W450" s="658" t="str">
        <f>+VLOOKUP($L450,Data_Validation!$A:$E,5,0)</f>
        <v>$</v>
      </c>
      <c r="X450" s="658">
        <f>+VLOOKUP($L450,Data_Validation!$A:$F,6,0)</f>
        <v>0</v>
      </c>
    </row>
    <row r="451" spans="1:24" ht="15" customHeight="1">
      <c r="A451" s="1055" t="s">
        <v>1290</v>
      </c>
      <c r="B451" s="1055" t="s">
        <v>1291</v>
      </c>
      <c r="C451" s="1057">
        <v>-69988.2</v>
      </c>
      <c r="D451" s="1057">
        <v>-10129.6</v>
      </c>
      <c r="E451" s="1057">
        <v>-80117.8</v>
      </c>
      <c r="F451" s="1055" t="s">
        <v>1287</v>
      </c>
      <c r="G451" s="1055" t="s">
        <v>1291</v>
      </c>
      <c r="H451" s="1047"/>
      <c r="I451" s="1048"/>
      <c r="J451" s="1048"/>
      <c r="K451" s="1048"/>
      <c r="L451" s="655" t="str">
        <f t="shared" ref="L451:L514" si="458">TEXT(B451,0)</f>
        <v>9152</v>
      </c>
      <c r="M451" s="656" t="str">
        <f t="shared" si="260"/>
        <v>ESCOMPTES SUR ACHAT PIECES</v>
      </c>
      <c r="N451" s="657">
        <f>+IF(OR($Q451=Parametres!$G$2,$Q451=Parametres!$G$3),I451,C451)</f>
        <v>-69988.2</v>
      </c>
      <c r="O451" s="657">
        <f>+IF(OR($Q451=Parametres!$G$2,$Q451=Parametres!$G$3),J451,D451)</f>
        <v>-10129.6</v>
      </c>
      <c r="P451" s="657">
        <f>+IF(OR($Q451=Parametres!$G$2,$Q451=Parametres!$G$3),K451,E451)</f>
        <v>-80117.8</v>
      </c>
      <c r="Q451" s="656" t="str">
        <f t="shared" ref="Q451:S451" si="459">+F451</f>
        <v>8-Autres revenus</v>
      </c>
      <c r="R451" s="655" t="str">
        <f t="shared" si="459"/>
        <v>9152</v>
      </c>
      <c r="S451" s="656">
        <f t="shared" si="459"/>
        <v>0</v>
      </c>
      <c r="T451" s="658" t="str">
        <f>+VLOOKUP($L451,Data_Validation!$A:$D,1,0)</f>
        <v>9152</v>
      </c>
      <c r="U451" s="658" t="str">
        <f>+VLOOKUP($L451,Data_Validation!$A:$D,3,0)</f>
        <v>Pièces</v>
      </c>
      <c r="V451" s="658" t="str">
        <f>+VLOOKUP($L451,Data_Validation!$A:$D,4,0)</f>
        <v>Escomptes</v>
      </c>
      <c r="W451" s="658" t="str">
        <f>+VLOOKUP($L451,Data_Validation!$A:$E,5,0)</f>
        <v>$</v>
      </c>
      <c r="X451" s="658">
        <f>+VLOOKUP($L451,Data_Validation!$A:$F,6,0)</f>
        <v>0</v>
      </c>
    </row>
    <row r="452" spans="1:24" ht="15.75" customHeight="1">
      <c r="A452" s="1055" t="s">
        <v>3419</v>
      </c>
      <c r="B452" s="1055" t="s">
        <v>2758</v>
      </c>
      <c r="C452" s="1057">
        <v>-22000</v>
      </c>
      <c r="D452" s="1057">
        <v>-21300</v>
      </c>
      <c r="E452" s="1057">
        <v>-43300</v>
      </c>
      <c r="F452" s="1055" t="s">
        <v>1287</v>
      </c>
      <c r="G452" s="1055" t="s">
        <v>3420</v>
      </c>
      <c r="H452" s="1047"/>
      <c r="I452" s="1048"/>
      <c r="J452" s="1048"/>
      <c r="K452" s="1048"/>
      <c r="L452" s="655" t="str">
        <f t="shared" si="458"/>
        <v>9157</v>
      </c>
      <c r="M452" s="656" t="str">
        <f t="shared" si="260"/>
        <v>BONUS EXPERIENCE + - NV</v>
      </c>
      <c r="N452" s="657">
        <f>+IF(OR($Q452=Parametres!$G$2,$Q452=Parametres!$G$3),I452,C452)</f>
        <v>-22000</v>
      </c>
      <c r="O452" s="657">
        <f>+IF(OR($Q452=Parametres!$G$2,$Q452=Parametres!$G$3),J452,D452)</f>
        <v>-21300</v>
      </c>
      <c r="P452" s="657">
        <f>+IF(OR($Q452=Parametres!$G$2,$Q452=Parametres!$G$3),K452,E452)</f>
        <v>-43300</v>
      </c>
      <c r="Q452" s="656" t="str">
        <f t="shared" ref="Q452:S452" si="460">+F452</f>
        <v>8-Autres revenus</v>
      </c>
      <c r="R452" s="655" t="str">
        <f t="shared" si="460"/>
        <v>915</v>
      </c>
      <c r="S452" s="656">
        <f t="shared" si="460"/>
        <v>0</v>
      </c>
      <c r="T452" s="658" t="str">
        <f>+VLOOKUP($L452,Data_Validation!$A:$D,1,0)</f>
        <v>9157</v>
      </c>
      <c r="U452" s="658" t="str">
        <f>+VLOOKUP($L452,Data_Validation!$A:$D,3,0)</f>
        <v>Véhicules neufs</v>
      </c>
      <c r="V452" s="658" t="str">
        <f>+VLOOKUP($L452,Data_Validation!$A:$D,4,0)</f>
        <v>Programme neuf 1</v>
      </c>
      <c r="W452" s="658" t="str">
        <f>+VLOOKUP($L452,Data_Validation!$A:$E,5,0)</f>
        <v>$</v>
      </c>
      <c r="X452" s="658">
        <f>+VLOOKUP($L452,Data_Validation!$A:$F,6,0)</f>
        <v>0</v>
      </c>
    </row>
    <row r="453" spans="1:24" ht="15" customHeight="1">
      <c r="A453" s="1055" t="s">
        <v>1292</v>
      </c>
      <c r="B453" s="1055" t="s">
        <v>1293</v>
      </c>
      <c r="C453" s="1057">
        <v>-107648.72</v>
      </c>
      <c r="D453" s="1057">
        <v>-12066.34</v>
      </c>
      <c r="E453" s="1057">
        <v>-119715.06</v>
      </c>
      <c r="F453" s="1055" t="s">
        <v>1287</v>
      </c>
      <c r="G453" s="1055" t="s">
        <v>1293</v>
      </c>
      <c r="H453" s="1047"/>
      <c r="I453" s="1048"/>
      <c r="J453" s="1048"/>
      <c r="K453" s="1048"/>
      <c r="L453" s="655" t="str">
        <f t="shared" si="458"/>
        <v>9161</v>
      </c>
      <c r="M453" s="656" t="str">
        <f t="shared" si="260"/>
        <v>REVENU FIN ET ASS NEUF</v>
      </c>
      <c r="N453" s="657">
        <f>+IF(OR($Q453=Parametres!$G$2,$Q453=Parametres!$G$3),I453,C453)</f>
        <v>-107648.72</v>
      </c>
      <c r="O453" s="657">
        <f>+IF(OR($Q453=Parametres!$G$2,$Q453=Parametres!$G$3),J453,D453)</f>
        <v>-12066.34</v>
      </c>
      <c r="P453" s="657">
        <f>+IF(OR($Q453=Parametres!$G$2,$Q453=Parametres!$G$3),K453,E453)</f>
        <v>-119715.06</v>
      </c>
      <c r="Q453" s="656" t="str">
        <f t="shared" ref="Q453:S453" si="461">+F453</f>
        <v>8-Autres revenus</v>
      </c>
      <c r="R453" s="655" t="str">
        <f t="shared" si="461"/>
        <v>9161</v>
      </c>
      <c r="S453" s="656">
        <f t="shared" si="461"/>
        <v>0</v>
      </c>
      <c r="T453" s="658" t="str">
        <f>+VLOOKUP($L453,Data_Validation!$A:$D,1,0)</f>
        <v>9161</v>
      </c>
      <c r="U453" s="658" t="str">
        <f>+VLOOKUP($L453,Data_Validation!$A:$D,3,0)</f>
        <v>Véhicules neufs</v>
      </c>
      <c r="V453" s="658" t="str">
        <f>+VLOOKUP($L453,Data_Validation!$A:$D,4,0)</f>
        <v>Rev. Finances</v>
      </c>
      <c r="W453" s="658" t="str">
        <f>+VLOOKUP($L453,Data_Validation!$A:$E,5,0)</f>
        <v>$</v>
      </c>
      <c r="X453" s="658" t="str">
        <f>+VLOOKUP($L453,Data_Validation!$A:$F,6,0)</f>
        <v>Oui</v>
      </c>
    </row>
    <row r="454" spans="1:24" ht="15" customHeight="1">
      <c r="A454" s="1055" t="s">
        <v>1296</v>
      </c>
      <c r="B454" s="1055" t="s">
        <v>1297</v>
      </c>
      <c r="C454" s="1057">
        <v>-368418.67</v>
      </c>
      <c r="D454" s="1057">
        <v>-16637.84</v>
      </c>
      <c r="E454" s="1057">
        <v>-385056.51</v>
      </c>
      <c r="F454" s="1055" t="s">
        <v>1287</v>
      </c>
      <c r="G454" s="1055" t="s">
        <v>1297</v>
      </c>
      <c r="H454" s="1047"/>
      <c r="I454" s="1048"/>
      <c r="J454" s="1048"/>
      <c r="K454" s="1048"/>
      <c r="L454" s="655" t="str">
        <f t="shared" si="458"/>
        <v>9163</v>
      </c>
      <c r="M454" s="656" t="str">
        <f t="shared" si="260"/>
        <v>RESERVE FIN ET ASS VEH OCCASION</v>
      </c>
      <c r="N454" s="657">
        <f>+IF(OR($Q454=Parametres!$G$2,$Q454=Parametres!$G$3),I454,C454)</f>
        <v>-368418.67</v>
      </c>
      <c r="O454" s="657">
        <f>+IF(OR($Q454=Parametres!$G$2,$Q454=Parametres!$G$3),J454,D454)</f>
        <v>-16637.84</v>
      </c>
      <c r="P454" s="657">
        <f>+IF(OR($Q454=Parametres!$G$2,$Q454=Parametres!$G$3),K454,E454)</f>
        <v>-385056.51</v>
      </c>
      <c r="Q454" s="656" t="str">
        <f t="shared" ref="Q454:S454" si="462">+F454</f>
        <v>8-Autres revenus</v>
      </c>
      <c r="R454" s="655" t="str">
        <f t="shared" si="462"/>
        <v>9163</v>
      </c>
      <c r="S454" s="656">
        <f t="shared" si="462"/>
        <v>0</v>
      </c>
      <c r="T454" s="658" t="str">
        <f>+VLOOKUP($L454,Data_Validation!$A:$D,1,0)</f>
        <v>9163</v>
      </c>
      <c r="U454" s="658" t="str">
        <f>+VLOOKUP($L454,Data_Validation!$A:$D,3,0)</f>
        <v>Véhicules usagés</v>
      </c>
      <c r="V454" s="658" t="str">
        <f>+VLOOKUP($L454,Data_Validation!$A:$D,4,0)</f>
        <v>Rev. Finances</v>
      </c>
      <c r="W454" s="658" t="str">
        <f>+VLOOKUP($L454,Data_Validation!$A:$E,5,0)</f>
        <v>$</v>
      </c>
      <c r="X454" s="658" t="str">
        <f>+VLOOKUP($L454,Data_Validation!$A:$F,6,0)</f>
        <v>Oui</v>
      </c>
    </row>
    <row r="455" spans="1:24" ht="15" customHeight="1">
      <c r="A455" s="1055" t="s">
        <v>1299</v>
      </c>
      <c r="B455" s="1055" t="s">
        <v>2765</v>
      </c>
      <c r="C455" s="1057">
        <v>-8390.2000000000007</v>
      </c>
      <c r="D455" s="1057">
        <v>0</v>
      </c>
      <c r="E455" s="1057">
        <v>-8390.2000000000007</v>
      </c>
      <c r="F455" s="1055" t="s">
        <v>1287</v>
      </c>
      <c r="G455" s="1055" t="s">
        <v>1293</v>
      </c>
      <c r="H455" s="1047"/>
      <c r="I455" s="1048"/>
      <c r="J455" s="1048"/>
      <c r="K455" s="1048"/>
      <c r="L455" s="655" t="str">
        <f t="shared" si="458"/>
        <v>9165</v>
      </c>
      <c r="M455" s="656" t="str">
        <f t="shared" si="260"/>
        <v>REV. ASSURANCES NEUF</v>
      </c>
      <c r="N455" s="657">
        <f>+IF(OR($Q455=Parametres!$G$2,$Q455=Parametres!$G$3),I455,C455)</f>
        <v>-8390.2000000000007</v>
      </c>
      <c r="O455" s="657">
        <f>+IF(OR($Q455=Parametres!$G$2,$Q455=Parametres!$G$3),J455,D455)</f>
        <v>0</v>
      </c>
      <c r="P455" s="657">
        <f>+IF(OR($Q455=Parametres!$G$2,$Q455=Parametres!$G$3),K455,E455)</f>
        <v>-8390.2000000000007</v>
      </c>
      <c r="Q455" s="656" t="str">
        <f t="shared" ref="Q455:S455" si="463">+F455</f>
        <v>8-Autres revenus</v>
      </c>
      <c r="R455" s="655" t="str">
        <f t="shared" si="463"/>
        <v>9161</v>
      </c>
      <c r="S455" s="656">
        <f t="shared" si="463"/>
        <v>0</v>
      </c>
      <c r="T455" s="658" t="str">
        <f>+VLOOKUP($L455,Data_Validation!$A:$D,1,0)</f>
        <v>9165</v>
      </c>
      <c r="U455" s="658" t="str">
        <f>+VLOOKUP($L455,Data_Validation!$A:$D,3,0)</f>
        <v>Véhicules neufs</v>
      </c>
      <c r="V455" s="658" t="str">
        <f>+VLOOKUP($L455,Data_Validation!$A:$D,4,0)</f>
        <v>Rev. Autres</v>
      </c>
      <c r="W455" s="658" t="str">
        <f>+VLOOKUP($L455,Data_Validation!$A:$E,5,0)</f>
        <v>$</v>
      </c>
      <c r="X455" s="658" t="str">
        <f>+VLOOKUP($L455,Data_Validation!$A:$F,6,0)</f>
        <v>Oui</v>
      </c>
    </row>
    <row r="456" spans="1:24" ht="15.75" customHeight="1">
      <c r="A456" s="1055" t="s">
        <v>1300</v>
      </c>
      <c r="B456" s="1055" t="s">
        <v>2768</v>
      </c>
      <c r="C456" s="1057">
        <v>-18601.68</v>
      </c>
      <c r="D456" s="1057">
        <v>-714.39</v>
      </c>
      <c r="E456" s="1057">
        <v>-19316.07</v>
      </c>
      <c r="F456" s="1055" t="s">
        <v>1287</v>
      </c>
      <c r="G456" s="1055" t="s">
        <v>1297</v>
      </c>
      <c r="H456" s="1047"/>
      <c r="I456" s="1048"/>
      <c r="J456" s="1048"/>
      <c r="K456" s="1048"/>
      <c r="L456" s="655" t="str">
        <f t="shared" si="458"/>
        <v>9167</v>
      </c>
      <c r="M456" s="656" t="str">
        <f t="shared" si="260"/>
        <v>REV ASSURANCE USAGE</v>
      </c>
      <c r="N456" s="657">
        <f>+IF(OR($Q456=Parametres!$G$2,$Q456=Parametres!$G$3),I456,C456)</f>
        <v>-18601.68</v>
      </c>
      <c r="O456" s="657">
        <f>+IF(OR($Q456=Parametres!$G$2,$Q456=Parametres!$G$3),J456,D456)</f>
        <v>-714.39</v>
      </c>
      <c r="P456" s="657">
        <f>+IF(OR($Q456=Parametres!$G$2,$Q456=Parametres!$G$3),K456,E456)</f>
        <v>-19316.07</v>
      </c>
      <c r="Q456" s="656" t="str">
        <f t="shared" ref="Q456:S456" si="464">+F456</f>
        <v>8-Autres revenus</v>
      </c>
      <c r="R456" s="655" t="str">
        <f t="shared" si="464"/>
        <v>9163</v>
      </c>
      <c r="S456" s="656">
        <f t="shared" si="464"/>
        <v>0</v>
      </c>
      <c r="T456" s="658" t="str">
        <f>+VLOOKUP($L456,Data_Validation!$A:$D,1,0)</f>
        <v>9167</v>
      </c>
      <c r="U456" s="658" t="str">
        <f>+VLOOKUP($L456,Data_Validation!$A:$D,3,0)</f>
        <v>Véhicules usagés</v>
      </c>
      <c r="V456" s="658" t="str">
        <f>+VLOOKUP($L456,Data_Validation!$A:$D,4,0)</f>
        <v>Rev. Autres</v>
      </c>
      <c r="W456" s="658" t="str">
        <f>+VLOOKUP($L456,Data_Validation!$A:$E,5,0)</f>
        <v>$</v>
      </c>
      <c r="X456" s="658" t="str">
        <f>+VLOOKUP($L456,Data_Validation!$A:$F,6,0)</f>
        <v>Oui</v>
      </c>
    </row>
    <row r="457" spans="1:24" ht="15" customHeight="1">
      <c r="A457" s="1055" t="s">
        <v>1303</v>
      </c>
      <c r="B457" s="1055" t="s">
        <v>2771</v>
      </c>
      <c r="C457" s="1057">
        <v>-76480</v>
      </c>
      <c r="D457" s="1057">
        <v>-4668.92</v>
      </c>
      <c r="E457" s="1057">
        <v>-81148.92</v>
      </c>
      <c r="F457" s="1055" t="s">
        <v>1287</v>
      </c>
      <c r="G457" s="1055" t="s">
        <v>1293</v>
      </c>
      <c r="H457" s="1047"/>
      <c r="I457" s="1048"/>
      <c r="J457" s="1048"/>
      <c r="K457" s="1048"/>
      <c r="L457" s="655" t="str">
        <f t="shared" si="458"/>
        <v>9169</v>
      </c>
      <c r="M457" s="656" t="str">
        <f t="shared" si="260"/>
        <v>REV GARANTIE PROLONGEE NEUF</v>
      </c>
      <c r="N457" s="657">
        <f>+IF(OR($Q457=Parametres!$G$2,$Q457=Parametres!$G$3),I457,C457)</f>
        <v>-76480</v>
      </c>
      <c r="O457" s="657">
        <f>+IF(OR($Q457=Parametres!$G$2,$Q457=Parametres!$G$3),J457,D457)</f>
        <v>-4668.92</v>
      </c>
      <c r="P457" s="657">
        <f>+IF(OR($Q457=Parametres!$G$2,$Q457=Parametres!$G$3),K457,E457)</f>
        <v>-81148.92</v>
      </c>
      <c r="Q457" s="656" t="str">
        <f t="shared" ref="Q457:S457" si="465">+F457</f>
        <v>8-Autres revenus</v>
      </c>
      <c r="R457" s="655" t="str">
        <f t="shared" si="465"/>
        <v>9161</v>
      </c>
      <c r="S457" s="656">
        <f t="shared" si="465"/>
        <v>0</v>
      </c>
      <c r="T457" s="658" t="str">
        <f>+VLOOKUP($L457,Data_Validation!$A:$D,1,0)</f>
        <v>9169</v>
      </c>
      <c r="U457" s="658" t="str">
        <f>+VLOOKUP($L457,Data_Validation!$A:$D,3,0)</f>
        <v>Véhicules neufs</v>
      </c>
      <c r="V457" s="658" t="str">
        <f>+VLOOKUP($L457,Data_Validation!$A:$D,4,0)</f>
        <v>Rev. Protections</v>
      </c>
      <c r="W457" s="658" t="str">
        <f>+VLOOKUP($L457,Data_Validation!$A:$E,5,0)</f>
        <v>$</v>
      </c>
      <c r="X457" s="658" t="str">
        <f>+VLOOKUP($L457,Data_Validation!$A:$F,6,0)</f>
        <v>Oui</v>
      </c>
    </row>
    <row r="458" spans="1:24" ht="15" customHeight="1">
      <c r="A458" s="1055" t="s">
        <v>1304</v>
      </c>
      <c r="B458" s="1055" t="s">
        <v>2774</v>
      </c>
      <c r="C458" s="1057">
        <v>-381089.17</v>
      </c>
      <c r="D458" s="1057">
        <v>-27825.1</v>
      </c>
      <c r="E458" s="1057">
        <v>-408914.27</v>
      </c>
      <c r="F458" s="1055" t="s">
        <v>1287</v>
      </c>
      <c r="G458" s="1055" t="s">
        <v>1293</v>
      </c>
      <c r="H458" s="1047"/>
      <c r="I458" s="1048"/>
      <c r="J458" s="1048"/>
      <c r="K458" s="1048"/>
      <c r="L458" s="655" t="str">
        <f t="shared" si="458"/>
        <v>9170</v>
      </c>
      <c r="M458" s="656" t="str">
        <f t="shared" si="260"/>
        <v>PROFIT PROTECTIONS - NEUFS</v>
      </c>
      <c r="N458" s="657">
        <f>+IF(OR($Q458=Parametres!$G$2,$Q458=Parametres!$G$3),I458,C458)</f>
        <v>-381089.17</v>
      </c>
      <c r="O458" s="657">
        <f>+IF(OR($Q458=Parametres!$G$2,$Q458=Parametres!$G$3),J458,D458)</f>
        <v>-27825.1</v>
      </c>
      <c r="P458" s="657">
        <f>+IF(OR($Q458=Parametres!$G$2,$Q458=Parametres!$G$3),K458,E458)</f>
        <v>-408914.27</v>
      </c>
      <c r="Q458" s="656" t="str">
        <f t="shared" ref="Q458:S458" si="466">+F458</f>
        <v>8-Autres revenus</v>
      </c>
      <c r="R458" s="655" t="str">
        <f t="shared" si="466"/>
        <v>9161</v>
      </c>
      <c r="S458" s="656">
        <f t="shared" si="466"/>
        <v>0</v>
      </c>
      <c r="T458" s="658" t="str">
        <f>+VLOOKUP($L458,Data_Validation!$A:$D,1,0)</f>
        <v>9170</v>
      </c>
      <c r="U458" s="658" t="str">
        <f>+VLOOKUP($L458,Data_Validation!$A:$D,3,0)</f>
        <v>Véhicules neufs</v>
      </c>
      <c r="V458" s="658" t="str">
        <f>+VLOOKUP($L458,Data_Validation!$A:$D,4,0)</f>
        <v>Rev. Protections</v>
      </c>
      <c r="W458" s="658" t="str">
        <f>+VLOOKUP($L458,Data_Validation!$A:$E,5,0)</f>
        <v>$</v>
      </c>
      <c r="X458" s="658" t="str">
        <f>+VLOOKUP($L458,Data_Validation!$A:$F,6,0)</f>
        <v>Oui</v>
      </c>
    </row>
    <row r="459" spans="1:24" ht="15" customHeight="1">
      <c r="A459" s="1055" t="s">
        <v>1305</v>
      </c>
      <c r="B459" s="1055" t="s">
        <v>2777</v>
      </c>
      <c r="C459" s="1057">
        <v>-266443.45</v>
      </c>
      <c r="D459" s="1057">
        <v>-15093</v>
      </c>
      <c r="E459" s="1057">
        <v>-281536.45</v>
      </c>
      <c r="F459" s="1055" t="s">
        <v>1287</v>
      </c>
      <c r="G459" s="1055" t="s">
        <v>1297</v>
      </c>
      <c r="H459" s="1047"/>
      <c r="I459" s="1048"/>
      <c r="J459" s="1048"/>
      <c r="K459" s="1048"/>
      <c r="L459" s="655" t="str">
        <f t="shared" si="458"/>
        <v>9171</v>
      </c>
      <c r="M459" s="656" t="str">
        <f t="shared" si="260"/>
        <v>REV GARANTIE PROLONGEE USAGE</v>
      </c>
      <c r="N459" s="657">
        <f>+IF(OR($Q459=Parametres!$G$2,$Q459=Parametres!$G$3),I459,C459)</f>
        <v>-266443.45</v>
      </c>
      <c r="O459" s="657">
        <f>+IF(OR($Q459=Parametres!$G$2,$Q459=Parametres!$G$3),J459,D459)</f>
        <v>-15093</v>
      </c>
      <c r="P459" s="657">
        <f>+IF(OR($Q459=Parametres!$G$2,$Q459=Parametres!$G$3),K459,E459)</f>
        <v>-281536.45</v>
      </c>
      <c r="Q459" s="656" t="str">
        <f t="shared" ref="Q459:S459" si="467">+F459</f>
        <v>8-Autres revenus</v>
      </c>
      <c r="R459" s="655" t="str">
        <f t="shared" si="467"/>
        <v>9163</v>
      </c>
      <c r="S459" s="656">
        <f t="shared" si="467"/>
        <v>0</v>
      </c>
      <c r="T459" s="658" t="str">
        <f>+VLOOKUP($L459,Data_Validation!$A:$D,1,0)</f>
        <v>9171</v>
      </c>
      <c r="U459" s="658" t="str">
        <f>+VLOOKUP($L459,Data_Validation!$A:$D,3,0)</f>
        <v>Véhicules usagés</v>
      </c>
      <c r="V459" s="658" t="str">
        <f>+VLOOKUP($L459,Data_Validation!$A:$D,4,0)</f>
        <v>Rev. Protections</v>
      </c>
      <c r="W459" s="658" t="str">
        <f>+VLOOKUP($L459,Data_Validation!$A:$E,5,0)</f>
        <v>$</v>
      </c>
      <c r="X459" s="658" t="str">
        <f>+VLOOKUP($L459,Data_Validation!$A:$F,6,0)</f>
        <v>Oui</v>
      </c>
    </row>
    <row r="460" spans="1:24" ht="15" customHeight="1">
      <c r="A460" s="1055" t="s">
        <v>1308</v>
      </c>
      <c r="B460" s="1055" t="s">
        <v>2780</v>
      </c>
      <c r="C460" s="1057">
        <v>-177166.6</v>
      </c>
      <c r="D460" s="1057">
        <v>-14368.87</v>
      </c>
      <c r="E460" s="1057">
        <v>-191535.47</v>
      </c>
      <c r="F460" s="1055" t="s">
        <v>1287</v>
      </c>
      <c r="G460" s="1055" t="s">
        <v>1297</v>
      </c>
      <c r="H460" s="1047"/>
      <c r="I460" s="1048"/>
      <c r="J460" s="1048"/>
      <c r="K460" s="1048"/>
      <c r="L460" s="655" t="str">
        <f t="shared" si="458"/>
        <v>9172</v>
      </c>
      <c r="M460" s="656" t="str">
        <f t="shared" si="260"/>
        <v>PROFIT PROTECTIONS - USAGES</v>
      </c>
      <c r="N460" s="657">
        <f>+IF(OR($Q460=Parametres!$G$2,$Q460=Parametres!$G$3),I460,C460)</f>
        <v>-177166.6</v>
      </c>
      <c r="O460" s="657">
        <f>+IF(OR($Q460=Parametres!$G$2,$Q460=Parametres!$G$3),J460,D460)</f>
        <v>-14368.87</v>
      </c>
      <c r="P460" s="657">
        <f>+IF(OR($Q460=Parametres!$G$2,$Q460=Parametres!$G$3),K460,E460)</f>
        <v>-191535.47</v>
      </c>
      <c r="Q460" s="656" t="str">
        <f t="shared" ref="Q460:S460" si="468">+F460</f>
        <v>8-Autres revenus</v>
      </c>
      <c r="R460" s="655" t="str">
        <f t="shared" si="468"/>
        <v>9163</v>
      </c>
      <c r="S460" s="656">
        <f t="shared" si="468"/>
        <v>0</v>
      </c>
      <c r="T460" s="658" t="str">
        <f>+VLOOKUP($L460,Data_Validation!$A:$D,1,0)</f>
        <v>9172</v>
      </c>
      <c r="U460" s="658" t="str">
        <f>+VLOOKUP($L460,Data_Validation!$A:$D,3,0)</f>
        <v>Véhicules usagés</v>
      </c>
      <c r="V460" s="658" t="str">
        <f>+VLOOKUP($L460,Data_Validation!$A:$D,4,0)</f>
        <v>Rev. Protections</v>
      </c>
      <c r="W460" s="658" t="str">
        <f>+VLOOKUP($L460,Data_Validation!$A:$E,5,0)</f>
        <v>$</v>
      </c>
      <c r="X460" s="658" t="str">
        <f>+VLOOKUP($L460,Data_Validation!$A:$F,6,0)</f>
        <v>Oui</v>
      </c>
    </row>
    <row r="461" spans="1:24" ht="15" customHeight="1">
      <c r="A461" s="1055" t="s">
        <v>1311</v>
      </c>
      <c r="B461" s="1055" t="s">
        <v>2783</v>
      </c>
      <c r="C461" s="1057">
        <v>-188181</v>
      </c>
      <c r="D461" s="1057">
        <v>-14304</v>
      </c>
      <c r="E461" s="1057">
        <v>-202485</v>
      </c>
      <c r="F461" s="1055" t="s">
        <v>1287</v>
      </c>
      <c r="G461" s="1055" t="s">
        <v>1312</v>
      </c>
      <c r="H461" s="1047"/>
      <c r="I461" s="1048"/>
      <c r="J461" s="1048"/>
      <c r="K461" s="1048"/>
      <c r="L461" s="655" t="str">
        <f t="shared" si="458"/>
        <v>9173</v>
      </c>
      <c r="M461" s="656" t="str">
        <f t="shared" si="260"/>
        <v>FRAIS ADMIN. VOLKS</v>
      </c>
      <c r="N461" s="657">
        <f>+IF(OR($Q461=Parametres!$G$2,$Q461=Parametres!$G$3),I461,C461)</f>
        <v>-188181</v>
      </c>
      <c r="O461" s="657">
        <f>+IF(OR($Q461=Parametres!$G$2,$Q461=Parametres!$G$3),J461,D461)</f>
        <v>-14304</v>
      </c>
      <c r="P461" s="657">
        <f>+IF(OR($Q461=Parametres!$G$2,$Q461=Parametres!$G$3),K461,E461)</f>
        <v>-202485</v>
      </c>
      <c r="Q461" s="656" t="str">
        <f t="shared" ref="Q461:S461" si="469">+F461</f>
        <v>8-Autres revenus</v>
      </c>
      <c r="R461" s="655" t="str">
        <f t="shared" si="469"/>
        <v>9191</v>
      </c>
      <c r="S461" s="656">
        <f t="shared" si="469"/>
        <v>0</v>
      </c>
      <c r="T461" s="658" t="str">
        <f>+VLOOKUP($L461,Data_Validation!$A:$D,1,0)</f>
        <v>9173</v>
      </c>
      <c r="U461" s="658" t="str">
        <f>+VLOOKUP($L461,Data_Validation!$A:$D,3,0)</f>
        <v>Véhicules neufs</v>
      </c>
      <c r="V461" s="658" t="str">
        <f>+VLOOKUP($L461,Data_Validation!$A:$D,4,0)</f>
        <v>Frais administration</v>
      </c>
      <c r="W461" s="658" t="str">
        <f>+VLOOKUP($L461,Data_Validation!$A:$E,5,0)</f>
        <v>$</v>
      </c>
      <c r="X461" s="658">
        <f>+VLOOKUP($L461,Data_Validation!$A:$F,6,0)</f>
        <v>0</v>
      </c>
    </row>
    <row r="462" spans="1:24" ht="15.75" customHeight="1">
      <c r="A462" s="1055" t="s">
        <v>1313</v>
      </c>
      <c r="B462" s="1055" t="s">
        <v>3408</v>
      </c>
      <c r="C462" s="1057">
        <v>-119413.49</v>
      </c>
      <c r="D462" s="1057">
        <v>-9570</v>
      </c>
      <c r="E462" s="1057">
        <v>-128983.49</v>
      </c>
      <c r="F462" s="1055" t="s">
        <v>1287</v>
      </c>
      <c r="G462" s="1055" t="s">
        <v>1312</v>
      </c>
      <c r="H462" s="1047"/>
      <c r="I462" s="1048"/>
      <c r="J462" s="1048"/>
      <c r="K462" s="1048"/>
      <c r="L462" s="655" t="str">
        <f t="shared" si="458"/>
        <v>9174</v>
      </c>
      <c r="M462" s="656" t="str">
        <f t="shared" si="260"/>
        <v>FRAIS ADMIN. VW USAGE</v>
      </c>
      <c r="N462" s="657">
        <f>+IF(OR($Q462=Parametres!$G$2,$Q462=Parametres!$G$3),I462,C462)</f>
        <v>-119413.49</v>
      </c>
      <c r="O462" s="657">
        <f>+IF(OR($Q462=Parametres!$G$2,$Q462=Parametres!$G$3),J462,D462)</f>
        <v>-9570</v>
      </c>
      <c r="P462" s="657">
        <f>+IF(OR($Q462=Parametres!$G$2,$Q462=Parametres!$G$3),K462,E462)</f>
        <v>-128983.49</v>
      </c>
      <c r="Q462" s="656" t="str">
        <f t="shared" ref="Q462:S462" si="470">+F462</f>
        <v>8-Autres revenus</v>
      </c>
      <c r="R462" s="655" t="str">
        <f t="shared" si="470"/>
        <v>9191</v>
      </c>
      <c r="S462" s="656">
        <f t="shared" si="470"/>
        <v>0</v>
      </c>
      <c r="T462" s="658" t="str">
        <f>+VLOOKUP($L462,Data_Validation!$A:$D,1,0)</f>
        <v>9174</v>
      </c>
      <c r="U462" s="658" t="str">
        <f>+VLOOKUP($L462,Data_Validation!$A:$D,3,0)</f>
        <v>Véhicules usagés</v>
      </c>
      <c r="V462" s="658" t="str">
        <f>+VLOOKUP($L462,Data_Validation!$A:$D,4,0)</f>
        <v>Frais administration</v>
      </c>
      <c r="W462" s="658" t="str">
        <f>+VLOOKUP($L462,Data_Validation!$A:$E,5,0)</f>
        <v>$</v>
      </c>
      <c r="X462" s="658">
        <f>+VLOOKUP($L462,Data_Validation!$A:$F,6,0)</f>
        <v>0</v>
      </c>
    </row>
    <row r="463" spans="1:24" ht="15" customHeight="1">
      <c r="A463" s="1055" t="s">
        <v>1314</v>
      </c>
      <c r="B463" s="1055" t="s">
        <v>1312</v>
      </c>
      <c r="C463" s="1057">
        <v>-274209.42</v>
      </c>
      <c r="D463" s="1057">
        <v>-1498.69</v>
      </c>
      <c r="E463" s="1057">
        <v>-275708.11</v>
      </c>
      <c r="F463" s="1055" t="s">
        <v>1287</v>
      </c>
      <c r="G463" s="1055" t="s">
        <v>1312</v>
      </c>
      <c r="H463" s="1047"/>
      <c r="I463" s="1048"/>
      <c r="J463" s="1048"/>
      <c r="K463" s="1048"/>
      <c r="L463" s="655" t="str">
        <f t="shared" si="458"/>
        <v>9191</v>
      </c>
      <c r="M463" s="656" t="str">
        <f t="shared" si="260"/>
        <v>REVENUS DIVERS</v>
      </c>
      <c r="N463" s="657">
        <f>+IF(OR($Q463=Parametres!$G$2,$Q463=Parametres!$G$3),I463,C463)</f>
        <v>-274209.42</v>
      </c>
      <c r="O463" s="657">
        <f>+IF(OR($Q463=Parametres!$G$2,$Q463=Parametres!$G$3),J463,D463)</f>
        <v>-1498.69</v>
      </c>
      <c r="P463" s="657">
        <f>+IF(OR($Q463=Parametres!$G$2,$Q463=Parametres!$G$3),K463,E463)</f>
        <v>-275708.11</v>
      </c>
      <c r="Q463" s="656" t="str">
        <f t="shared" ref="Q463:S463" si="471">+F463</f>
        <v>8-Autres revenus</v>
      </c>
      <c r="R463" s="655" t="str">
        <f t="shared" si="471"/>
        <v>9191</v>
      </c>
      <c r="S463" s="656">
        <f t="shared" si="471"/>
        <v>0</v>
      </c>
      <c r="T463" s="658" t="str">
        <f>+VLOOKUP($L463,Data_Validation!$A:$D,1,0)</f>
        <v>9191</v>
      </c>
      <c r="U463" s="658" t="str">
        <f>+VLOOKUP($L463,Data_Validation!$A:$D,3,0)</f>
        <v>TOTAL  DES  REVENUS  ET  DÉPENSES</v>
      </c>
      <c r="V463" s="658" t="str">
        <f>+VLOOKUP($L463,Data_Validation!$A:$D,4,0)</f>
        <v>Revenus autres</v>
      </c>
      <c r="W463" s="658" t="str">
        <f>+VLOOKUP($L463,Data_Validation!$A:$E,5,0)</f>
        <v>$</v>
      </c>
      <c r="X463" s="658">
        <f>+VLOOKUP($L463,Data_Validation!$A:$F,6,0)</f>
        <v>0</v>
      </c>
    </row>
    <row r="464" spans="1:24" ht="15" customHeight="1">
      <c r="A464" s="1055" t="s">
        <v>1315</v>
      </c>
      <c r="B464" s="1055" t="s">
        <v>1317</v>
      </c>
      <c r="C464" s="1057">
        <v>3300</v>
      </c>
      <c r="D464" s="1057">
        <v>300</v>
      </c>
      <c r="E464" s="1057">
        <v>3600</v>
      </c>
      <c r="F464" s="1055" t="s">
        <v>1316</v>
      </c>
      <c r="G464" s="1055" t="s">
        <v>1317</v>
      </c>
      <c r="H464" s="1047"/>
      <c r="I464" s="1048"/>
      <c r="J464" s="1048"/>
      <c r="K464" s="1048"/>
      <c r="L464" s="655" t="str">
        <f t="shared" si="458"/>
        <v>9402</v>
      </c>
      <c r="M464" s="656" t="str">
        <f t="shared" si="260"/>
        <v>DEPENSE D'INTERETS</v>
      </c>
      <c r="N464" s="657">
        <f>+IF(OR($Q464=Parametres!$G$2,$Q464=Parametres!$G$3),I464,C464)</f>
        <v>3300</v>
      </c>
      <c r="O464" s="657">
        <f>+IF(OR($Q464=Parametres!$G$2,$Q464=Parametres!$G$3),J464,D464)</f>
        <v>300</v>
      </c>
      <c r="P464" s="657">
        <f>+IF(OR($Q464=Parametres!$G$2,$Q464=Parametres!$G$3),K464,E464)</f>
        <v>3600</v>
      </c>
      <c r="Q464" s="656" t="str">
        <f t="shared" ref="Q464:S464" si="472">+F464</f>
        <v>9-Autres déductions</v>
      </c>
      <c r="R464" s="655" t="str">
        <f t="shared" si="472"/>
        <v>9402</v>
      </c>
      <c r="S464" s="656">
        <f t="shared" si="472"/>
        <v>0</v>
      </c>
      <c r="T464" s="658" t="str">
        <f>+VLOOKUP($L464,Data_Validation!$A:$D,1,0)</f>
        <v>9402</v>
      </c>
      <c r="U464" s="658" t="str">
        <f>+VLOOKUP($L464,Data_Validation!$A:$D,3,0)</f>
        <v>TOTAL  DES  REVENUS  ET  DÉPENSES</v>
      </c>
      <c r="V464" s="658" t="str">
        <f>+VLOOKUP($L464,Data_Validation!$A:$D,4,0)</f>
        <v>Intérêts sur prêt</v>
      </c>
      <c r="W464" s="658" t="str">
        <f>+VLOOKUP($L464,Data_Validation!$A:$E,5,0)</f>
        <v>$</v>
      </c>
      <c r="X464" s="658">
        <f>+VLOOKUP($L464,Data_Validation!$A:$F,6,0)</f>
        <v>0</v>
      </c>
    </row>
    <row r="465" spans="1:24" ht="15" customHeight="1">
      <c r="A465" s="1055" t="s">
        <v>1318</v>
      </c>
      <c r="B465" s="1055" t="s">
        <v>2793</v>
      </c>
      <c r="C465" s="1057">
        <v>1394.69</v>
      </c>
      <c r="D465" s="1057">
        <v>126.79</v>
      </c>
      <c r="E465" s="1057">
        <v>1521.48</v>
      </c>
      <c r="F465" s="1055" t="s">
        <v>1316</v>
      </c>
      <c r="G465" s="1055" t="s">
        <v>1317</v>
      </c>
      <c r="H465" s="1056"/>
      <c r="I465" s="1056"/>
      <c r="J465" s="1056"/>
      <c r="K465" s="1056"/>
      <c r="L465" s="655" t="str">
        <f t="shared" si="458"/>
        <v>9404</v>
      </c>
      <c r="M465" s="656" t="str">
        <f t="shared" si="260"/>
        <v>INTERETS SUR PRET</v>
      </c>
      <c r="N465" s="657">
        <f>+IF(OR($Q465=Parametres!$G$2,$Q465=Parametres!$G$3),I465,C465)</f>
        <v>1394.69</v>
      </c>
      <c r="O465" s="657">
        <f>+IF(OR($Q465=Parametres!$G$2,$Q465=Parametres!$G$3),J465,D465)</f>
        <v>126.79</v>
      </c>
      <c r="P465" s="657">
        <f>+IF(OR($Q465=Parametres!$G$2,$Q465=Parametres!$G$3),K465,E465)</f>
        <v>1521.48</v>
      </c>
      <c r="Q465" s="656" t="str">
        <f t="shared" ref="Q465:S465" si="473">+F465</f>
        <v>9-Autres déductions</v>
      </c>
      <c r="R465" s="655" t="str">
        <f t="shared" si="473"/>
        <v>9402</v>
      </c>
      <c r="S465" s="656">
        <f t="shared" si="473"/>
        <v>0</v>
      </c>
      <c r="T465" s="658" t="str">
        <f>+VLOOKUP($L465,Data_Validation!$A:$D,1,0)</f>
        <v>9404</v>
      </c>
      <c r="U465" s="658" t="str">
        <f>+VLOOKUP($L465,Data_Validation!$A:$D,3,0)</f>
        <v>TOTAL  DES  REVENUS  ET  DÉPENSES</v>
      </c>
      <c r="V465" s="658" t="str">
        <f>+VLOOKUP($L465,Data_Validation!$A:$D,4,0)</f>
        <v>Intérêts sur prêt</v>
      </c>
      <c r="W465" s="658" t="str">
        <f>+VLOOKUP($L465,Data_Validation!$A:$E,5,0)</f>
        <v>$</v>
      </c>
      <c r="X465" s="658">
        <f>+VLOOKUP($L465,Data_Validation!$A:$F,6,0)</f>
        <v>0</v>
      </c>
    </row>
    <row r="466" spans="1:24" ht="15" customHeight="1">
      <c r="A466" s="1055" t="s">
        <v>1301</v>
      </c>
      <c r="B466" s="1055" t="s">
        <v>1302</v>
      </c>
      <c r="C466" s="1056"/>
      <c r="D466" s="1056"/>
      <c r="E466" s="1056"/>
      <c r="F466" s="1055" t="s">
        <v>7</v>
      </c>
      <c r="G466" s="1055" t="s">
        <v>1297</v>
      </c>
      <c r="H466" s="1056"/>
      <c r="I466" s="1057">
        <v>-32</v>
      </c>
      <c r="J466" s="1057">
        <v>-2</v>
      </c>
      <c r="K466" s="1057">
        <v>-34</v>
      </c>
      <c r="L466" s="655" t="str">
        <f t="shared" si="458"/>
        <v>9167@</v>
      </c>
      <c r="M466" s="656" t="str">
        <f t="shared" si="260"/>
        <v>ASSURANCE VIE USAGE</v>
      </c>
      <c r="N466" s="657">
        <f>+IF(OR($Q466=Parametres!$G$2,$Q466=Parametres!$G$3),I466,C466)</f>
        <v>-32</v>
      </c>
      <c r="O466" s="657">
        <f>+IF(OR($Q466=Parametres!$G$2,$Q466=Parametres!$G$3),J466,D466)</f>
        <v>-2</v>
      </c>
      <c r="P466" s="657">
        <f>+IF(OR($Q466=Parametres!$G$2,$Q466=Parametres!$G$3),K466,E466)</f>
        <v>-34</v>
      </c>
      <c r="Q466" s="656" t="str">
        <f t="shared" ref="Q466:S466" si="474">+F466</f>
        <v>10-Compte compteur</v>
      </c>
      <c r="R466" s="655" t="str">
        <f t="shared" si="474"/>
        <v>9163</v>
      </c>
      <c r="S466" s="656">
        <f t="shared" si="474"/>
        <v>0</v>
      </c>
      <c r="T466" s="658" t="str">
        <f>+VLOOKUP($L466,Data_Validation!$A:$D,1,0)</f>
        <v>9167@</v>
      </c>
      <c r="U466" s="658" t="str">
        <f>+VLOOKUP($L466,Data_Validation!$A:$D,3,0)</f>
        <v>Véhicules usagés</v>
      </c>
      <c r="V466" s="658">
        <f>+VLOOKUP($L466,Data_Validation!$A:$D,4,0)</f>
        <v>0</v>
      </c>
      <c r="W466" s="658" t="str">
        <f>+VLOOKUP($L466,Data_Validation!$A:$E,5,0)</f>
        <v>NB</v>
      </c>
      <c r="X466" s="658">
        <f>+VLOOKUP($L466,Data_Validation!$A:$F,6,0)</f>
        <v>0</v>
      </c>
    </row>
    <row r="467" spans="1:24" ht="15.75" customHeight="1">
      <c r="A467" s="1055" t="s">
        <v>1306</v>
      </c>
      <c r="B467" s="1055" t="s">
        <v>1307</v>
      </c>
      <c r="C467" s="1056"/>
      <c r="D467" s="1056"/>
      <c r="E467" s="1056"/>
      <c r="F467" s="1055" t="s">
        <v>7</v>
      </c>
      <c r="G467" s="1055" t="s">
        <v>1297</v>
      </c>
      <c r="H467" s="1056"/>
      <c r="I467" s="1057">
        <v>-192</v>
      </c>
      <c r="J467" s="1057">
        <v>-12</v>
      </c>
      <c r="K467" s="1057">
        <v>-204</v>
      </c>
      <c r="L467" s="655" t="str">
        <f t="shared" si="458"/>
        <v>9171@</v>
      </c>
      <c r="M467" s="656" t="str">
        <f t="shared" si="260"/>
        <v>VENTE CHIMIQUE USAGE</v>
      </c>
      <c r="N467" s="657">
        <f>+IF(OR($Q467=Parametres!$G$2,$Q467=Parametres!$G$3),I467,C467)</f>
        <v>-192</v>
      </c>
      <c r="O467" s="657">
        <f>+IF(OR($Q467=Parametres!$G$2,$Q467=Parametres!$G$3),J467,D467)</f>
        <v>-12</v>
      </c>
      <c r="P467" s="657">
        <f>+IF(OR($Q467=Parametres!$G$2,$Q467=Parametres!$G$3),K467,E467)</f>
        <v>-204</v>
      </c>
      <c r="Q467" s="656" t="str">
        <f t="shared" ref="Q467:S467" si="475">+F467</f>
        <v>10-Compte compteur</v>
      </c>
      <c r="R467" s="655" t="str">
        <f t="shared" si="475"/>
        <v>9163</v>
      </c>
      <c r="S467" s="656">
        <f t="shared" si="475"/>
        <v>0</v>
      </c>
      <c r="T467" s="658" t="str">
        <f>+VLOOKUP($L467,Data_Validation!$A:$D,1,0)</f>
        <v>9171@</v>
      </c>
      <c r="U467" s="658" t="str">
        <f>+VLOOKUP($L467,Data_Validation!$A:$D,3,0)</f>
        <v>Véhicules usagés</v>
      </c>
      <c r="V467" s="658">
        <f>+VLOOKUP($L467,Data_Validation!$A:$D,4,0)</f>
        <v>0</v>
      </c>
      <c r="W467" s="658" t="str">
        <f>+VLOOKUP($L467,Data_Validation!$A:$E,5,0)</f>
        <v>NB</v>
      </c>
      <c r="X467" s="658">
        <f>+VLOOKUP($L467,Data_Validation!$A:$F,6,0)</f>
        <v>0</v>
      </c>
    </row>
    <row r="468" spans="1:24" ht="15" customHeight="1">
      <c r="A468" s="1055" t="s">
        <v>844</v>
      </c>
      <c r="B468" s="1055" t="s">
        <v>845</v>
      </c>
      <c r="C468" s="1056"/>
      <c r="D468" s="1056"/>
      <c r="E468" s="1056"/>
      <c r="F468" s="1055" t="s">
        <v>7</v>
      </c>
      <c r="G468" s="1055" t="s">
        <v>843</v>
      </c>
      <c r="H468" s="1056"/>
      <c r="I468" s="1057">
        <v>63</v>
      </c>
      <c r="J468" s="1057">
        <v>-12</v>
      </c>
      <c r="K468" s="1057">
        <v>51</v>
      </c>
      <c r="L468" s="655" t="str">
        <f t="shared" si="458"/>
        <v>1402@</v>
      </c>
      <c r="M468" s="656" t="str">
        <f t="shared" si="260"/>
        <v># DE INVENTAIRE VEH.NEUFS VW</v>
      </c>
      <c r="N468" s="657">
        <f>+IF(OR($Q468=Parametres!$G$2,$Q468=Parametres!$G$3),I468,C468)</f>
        <v>63</v>
      </c>
      <c r="O468" s="657">
        <f>+IF(OR($Q468=Parametres!$G$2,$Q468=Parametres!$G$3),J468,D468)</f>
        <v>-12</v>
      </c>
      <c r="P468" s="657">
        <f>+IF(OR($Q468=Parametres!$G$2,$Q468=Parametres!$G$3),K468,E468)</f>
        <v>51</v>
      </c>
      <c r="Q468" s="656" t="str">
        <f t="shared" ref="Q468:S468" si="476">+F468</f>
        <v>10-Compte compteur</v>
      </c>
      <c r="R468" s="655" t="str">
        <f t="shared" si="476"/>
        <v>1402</v>
      </c>
      <c r="S468" s="656">
        <f t="shared" si="476"/>
        <v>0</v>
      </c>
      <c r="T468" s="658" t="str">
        <f>+VLOOKUP($L468,Data_Validation!$A:$D,1,0)</f>
        <v>1402@</v>
      </c>
      <c r="U468" s="658" t="str">
        <f>+VLOOKUP($L468,Data_Validation!$A:$D,3,0)</f>
        <v>Bilan</v>
      </c>
      <c r="V468" s="658">
        <f>+VLOOKUP($L468,Data_Validation!$A:$D,4,0)</f>
        <v>0</v>
      </c>
      <c r="W468" s="658" t="str">
        <f>+VLOOKUP($L468,Data_Validation!$A:$E,5,0)</f>
        <v>NB</v>
      </c>
      <c r="X468" s="658">
        <f>+VLOOKUP($L468,Data_Validation!$A:$F,6,0)</f>
        <v>0</v>
      </c>
    </row>
    <row r="469" spans="1:24" ht="15" customHeight="1">
      <c r="A469" s="1055" t="s">
        <v>851</v>
      </c>
      <c r="B469" s="1055" t="s">
        <v>852</v>
      </c>
      <c r="C469" s="1056"/>
      <c r="D469" s="1056"/>
      <c r="E469" s="1056"/>
      <c r="F469" s="1055" t="s">
        <v>7</v>
      </c>
      <c r="G469" s="1055" t="s">
        <v>850</v>
      </c>
      <c r="H469" s="1056"/>
      <c r="I469" s="1057">
        <v>111</v>
      </c>
      <c r="J469" s="1057">
        <v>-16</v>
      </c>
      <c r="K469" s="1057">
        <v>95</v>
      </c>
      <c r="L469" s="655" t="str">
        <f t="shared" si="458"/>
        <v>1416@</v>
      </c>
      <c r="M469" s="656" t="str">
        <f t="shared" si="260"/>
        <v># DE INV. VEH. USAGE VW</v>
      </c>
      <c r="N469" s="657">
        <f>+IF(OR($Q469=Parametres!$G$2,$Q469=Parametres!$G$3),I469,C469)</f>
        <v>111</v>
      </c>
      <c r="O469" s="657">
        <f>+IF(OR($Q469=Parametres!$G$2,$Q469=Parametres!$G$3),J469,D469)</f>
        <v>-16</v>
      </c>
      <c r="P469" s="657">
        <f>+IF(OR($Q469=Parametres!$G$2,$Q469=Parametres!$G$3),K469,E469)</f>
        <v>95</v>
      </c>
      <c r="Q469" s="656" t="str">
        <f t="shared" ref="Q469:S469" si="477">+F469</f>
        <v>10-Compte compteur</v>
      </c>
      <c r="R469" s="655" t="str">
        <f t="shared" si="477"/>
        <v>1416</v>
      </c>
      <c r="S469" s="656">
        <f t="shared" si="477"/>
        <v>0</v>
      </c>
      <c r="T469" s="658" t="str">
        <f>+VLOOKUP($L469,Data_Validation!$A:$D,1,0)</f>
        <v>1416@</v>
      </c>
      <c r="U469" s="658" t="str">
        <f>+VLOOKUP($L469,Data_Validation!$A:$D,3,0)</f>
        <v>Bilan</v>
      </c>
      <c r="V469" s="658">
        <f>+VLOOKUP($L469,Data_Validation!$A:$D,4,0)</f>
        <v>0</v>
      </c>
      <c r="W469" s="658" t="str">
        <f>+VLOOKUP($L469,Data_Validation!$A:$E,5,0)</f>
        <v>NB</v>
      </c>
      <c r="X469" s="658">
        <f>+VLOOKUP($L469,Data_Validation!$A:$F,6,0)</f>
        <v>0</v>
      </c>
    </row>
    <row r="470" spans="1:24" ht="15" customHeight="1">
      <c r="A470" s="1055" t="s">
        <v>967</v>
      </c>
      <c r="B470" s="1055" t="s">
        <v>968</v>
      </c>
      <c r="C470" s="1056"/>
      <c r="D470" s="1056"/>
      <c r="E470" s="1056"/>
      <c r="F470" s="1055" t="s">
        <v>7</v>
      </c>
      <c r="G470" s="1055" t="s">
        <v>966</v>
      </c>
      <c r="H470" s="1056"/>
      <c r="I470" s="1057">
        <v>-239</v>
      </c>
      <c r="J470" s="1057">
        <v>-10</v>
      </c>
      <c r="K470" s="1057">
        <v>-249</v>
      </c>
      <c r="L470" s="655" t="str">
        <f t="shared" si="458"/>
        <v>4100@</v>
      </c>
      <c r="M470" s="656" t="str">
        <f t="shared" si="260"/>
        <v>RESERVE</v>
      </c>
      <c r="N470" s="657">
        <f>+IF(OR($Q470=Parametres!$G$2,$Q470=Parametres!$G$3),I470,C470)</f>
        <v>-239</v>
      </c>
      <c r="O470" s="657">
        <f>+IF(OR($Q470=Parametres!$G$2,$Q470=Parametres!$G$3),J470,D470)</f>
        <v>-10</v>
      </c>
      <c r="P470" s="657">
        <f>+IF(OR($Q470=Parametres!$G$2,$Q470=Parametres!$G$3),K470,E470)</f>
        <v>-249</v>
      </c>
      <c r="Q470" s="656" t="str">
        <f t="shared" ref="Q470:S470" si="478">+F470</f>
        <v>10-Compte compteur</v>
      </c>
      <c r="R470" s="655" t="str">
        <f t="shared" si="478"/>
        <v>4100</v>
      </c>
      <c r="S470" s="656">
        <f t="shared" si="478"/>
        <v>0</v>
      </c>
      <c r="T470" s="658" t="str">
        <f>+VLOOKUP($L470,Data_Validation!$A:$D,1,0)</f>
        <v>4100@</v>
      </c>
      <c r="U470" s="658" t="str">
        <f>+VLOOKUP($L470,Data_Validation!$A:$D,3,0)</f>
        <v>Véhicules neufs</v>
      </c>
      <c r="V470" s="658" t="str">
        <f>+VLOOKUP($L470,Data_Validation!$A:$D,4,0)</f>
        <v>Rachat bail</v>
      </c>
      <c r="W470" s="658" t="str">
        <f>+VLOOKUP($L470,Data_Validation!$A:$E,5,0)</f>
        <v>NB</v>
      </c>
      <c r="X470" s="658">
        <f>+VLOOKUP($L470,Data_Validation!$A:$F,6,0)</f>
        <v>0</v>
      </c>
    </row>
    <row r="471" spans="1:24" ht="15" customHeight="1">
      <c r="A471" s="1055" t="s">
        <v>971</v>
      </c>
      <c r="B471" s="1055" t="s">
        <v>972</v>
      </c>
      <c r="C471" s="1056"/>
      <c r="D471" s="1056"/>
      <c r="E471" s="1056"/>
      <c r="F471" s="1055" t="s">
        <v>7</v>
      </c>
      <c r="G471" s="1055" t="s">
        <v>970</v>
      </c>
      <c r="H471" s="1056"/>
      <c r="I471" s="1057">
        <v>-7</v>
      </c>
      <c r="J471" s="1057">
        <v>0</v>
      </c>
      <c r="K471" s="1057">
        <v>-7</v>
      </c>
      <c r="L471" s="655" t="str">
        <f t="shared" si="458"/>
        <v>4109@</v>
      </c>
      <c r="M471" s="656" t="str">
        <f t="shared" si="260"/>
        <v># DE VENTE - GOLF R</v>
      </c>
      <c r="N471" s="657">
        <f>+IF(OR($Q471=Parametres!$G$2,$Q471=Parametres!$G$3),I471,C471)</f>
        <v>-7</v>
      </c>
      <c r="O471" s="661">
        <f>+IF(OR($Q471=Parametres!$G$2,$Q471=Parametres!$G$3),J471,D471)</f>
        <v>0</v>
      </c>
      <c r="P471" s="657">
        <f>+IF(OR($Q471=Parametres!$G$2,$Q471=Parametres!$G$3),K471,E471)</f>
        <v>-7</v>
      </c>
      <c r="Q471" s="656" t="str">
        <f t="shared" ref="Q471:S471" si="479">+F471</f>
        <v>10-Compte compteur</v>
      </c>
      <c r="R471" s="655" t="str">
        <f t="shared" si="479"/>
        <v>4109</v>
      </c>
      <c r="S471" s="656">
        <f t="shared" si="479"/>
        <v>0</v>
      </c>
      <c r="T471" s="658" t="str">
        <f>+VLOOKUP($L471,Data_Validation!$A:$D,1,0)</f>
        <v>4109@</v>
      </c>
      <c r="U471" s="658" t="str">
        <f>+VLOOKUP($L471,Data_Validation!$A:$D,3,0)</f>
        <v>Véhicules neufs</v>
      </c>
      <c r="V471" s="658" t="str">
        <f>+VLOOKUP($L471,Data_Validation!$A:$D,4,0)</f>
        <v>Autos détail</v>
      </c>
      <c r="W471" s="658" t="str">
        <f>+VLOOKUP($L471,Data_Validation!$A:$E,5,0)</f>
        <v>NB</v>
      </c>
      <c r="X471" s="658">
        <f>+VLOOKUP($L471,Data_Validation!$A:$F,6,0)</f>
        <v>0</v>
      </c>
    </row>
    <row r="472" spans="1:24" ht="15" customHeight="1">
      <c r="A472" s="1055" t="s">
        <v>973</v>
      </c>
      <c r="B472" s="1055" t="s">
        <v>975</v>
      </c>
      <c r="C472" s="1056"/>
      <c r="D472" s="1056"/>
      <c r="E472" s="1056"/>
      <c r="F472" s="1055" t="s">
        <v>7</v>
      </c>
      <c r="G472" s="1055" t="s">
        <v>974</v>
      </c>
      <c r="H472" s="1056"/>
      <c r="I472" s="1057">
        <v>-53</v>
      </c>
      <c r="J472" s="1057">
        <v>-7</v>
      </c>
      <c r="K472" s="1057">
        <v>-60</v>
      </c>
      <c r="L472" s="655" t="str">
        <f t="shared" si="458"/>
        <v>4111@</v>
      </c>
      <c r="M472" s="656" t="str">
        <f t="shared" si="260"/>
        <v>JETTA/ JETTA GLI</v>
      </c>
      <c r="N472" s="657">
        <f>+IF(OR($Q472=Parametres!$G$2,$Q472=Parametres!$G$3),I472,C472)</f>
        <v>-53</v>
      </c>
      <c r="O472" s="657">
        <f>+IF(OR($Q472=Parametres!$G$2,$Q472=Parametres!$G$3),J472,D472)</f>
        <v>-7</v>
      </c>
      <c r="P472" s="657">
        <f>+IF(OR($Q472=Parametres!$G$2,$Q472=Parametres!$G$3),K472,E472)</f>
        <v>-60</v>
      </c>
      <c r="Q472" s="656" t="str">
        <f t="shared" ref="Q472:S472" si="480">+F472</f>
        <v>10-Compte compteur</v>
      </c>
      <c r="R472" s="655" t="str">
        <f t="shared" si="480"/>
        <v>4111</v>
      </c>
      <c r="S472" s="656">
        <f t="shared" si="480"/>
        <v>0</v>
      </c>
      <c r="T472" s="658" t="str">
        <f>+VLOOKUP($L472,Data_Validation!$A:$D,1,0)</f>
        <v>4111@</v>
      </c>
      <c r="U472" s="658" t="str">
        <f>+VLOOKUP($L472,Data_Validation!$A:$D,3,0)</f>
        <v>Véhicules neufs</v>
      </c>
      <c r="V472" s="658" t="str">
        <f>+VLOOKUP($L472,Data_Validation!$A:$D,4,0)</f>
        <v>Autos détail</v>
      </c>
      <c r="W472" s="658" t="str">
        <f>+VLOOKUP($L472,Data_Validation!$A:$E,5,0)</f>
        <v>NB</v>
      </c>
      <c r="X472" s="658">
        <f>+VLOOKUP($L472,Data_Validation!$A:$F,6,0)</f>
        <v>0</v>
      </c>
    </row>
    <row r="473" spans="1:24" ht="15.75" customHeight="1">
      <c r="A473" s="1055" t="s">
        <v>978</v>
      </c>
      <c r="B473" s="1055" t="s">
        <v>979</v>
      </c>
      <c r="C473" s="1056"/>
      <c r="D473" s="1056"/>
      <c r="E473" s="1056"/>
      <c r="F473" s="1055" t="s">
        <v>7</v>
      </c>
      <c r="G473" s="1055" t="s">
        <v>980</v>
      </c>
      <c r="H473" s="1056"/>
      <c r="I473" s="1057">
        <v>-109</v>
      </c>
      <c r="J473" s="1057">
        <v>-2</v>
      </c>
      <c r="K473" s="1057">
        <v>-111</v>
      </c>
      <c r="L473" s="655" t="str">
        <f t="shared" si="458"/>
        <v>4118@</v>
      </c>
      <c r="M473" s="656" t="str">
        <f t="shared" si="260"/>
        <v>TAOS</v>
      </c>
      <c r="N473" s="657">
        <f>+IF(OR($Q473=Parametres!$G$2,$Q473=Parametres!$G$3),I473,C473)</f>
        <v>-109</v>
      </c>
      <c r="O473" s="657">
        <f>+IF(OR($Q473=Parametres!$G$2,$Q473=Parametres!$G$3),J473,D473)</f>
        <v>-2</v>
      </c>
      <c r="P473" s="657">
        <f>+IF(OR($Q473=Parametres!$G$2,$Q473=Parametres!$G$3),K473,E473)</f>
        <v>-111</v>
      </c>
      <c r="Q473" s="656" t="str">
        <f t="shared" ref="Q473:S473" si="481">+F473</f>
        <v>10-Compte compteur</v>
      </c>
      <c r="R473" s="655" t="str">
        <f t="shared" si="481"/>
        <v>411</v>
      </c>
      <c r="S473" s="656">
        <f t="shared" si="481"/>
        <v>0</v>
      </c>
      <c r="T473" s="658" t="str">
        <f>+VLOOKUP($L473,Data_Validation!$A:$D,1,0)</f>
        <v>4118@</v>
      </c>
      <c r="U473" s="658" t="str">
        <f>+VLOOKUP($L473,Data_Validation!$A:$D,3,0)</f>
        <v>Véhicules neufs</v>
      </c>
      <c r="V473" s="658" t="str">
        <f>+VLOOKUP($L473,Data_Validation!$A:$D,4,0)</f>
        <v>Camions détail</v>
      </c>
      <c r="W473" s="658" t="str">
        <f>+VLOOKUP($L473,Data_Validation!$A:$E,5,0)</f>
        <v>NB</v>
      </c>
      <c r="X473" s="658">
        <f>+VLOOKUP($L473,Data_Validation!$A:$F,6,0)</f>
        <v>0</v>
      </c>
    </row>
    <row r="474" spans="1:24" ht="15" customHeight="1">
      <c r="A474" s="1055" t="s">
        <v>983</v>
      </c>
      <c r="B474" s="1055" t="s">
        <v>984</v>
      </c>
      <c r="C474" s="1056"/>
      <c r="D474" s="1056"/>
      <c r="E474" s="1056"/>
      <c r="F474" s="1055" t="s">
        <v>7</v>
      </c>
      <c r="G474" s="1055" t="s">
        <v>982</v>
      </c>
      <c r="H474" s="1056"/>
      <c r="I474" s="1057">
        <v>-69</v>
      </c>
      <c r="J474" s="1057">
        <v>-2</v>
      </c>
      <c r="K474" s="1057">
        <v>-71</v>
      </c>
      <c r="L474" s="655" t="str">
        <f t="shared" si="458"/>
        <v>4119@</v>
      </c>
      <c r="M474" s="656" t="str">
        <f t="shared" si="260"/>
        <v># DE VTE - ATLAS</v>
      </c>
      <c r="N474" s="657">
        <f>+IF(OR($Q474=Parametres!$G$2,$Q474=Parametres!$G$3),I474,C474)</f>
        <v>-69</v>
      </c>
      <c r="O474" s="657">
        <f>+IF(OR($Q474=Parametres!$G$2,$Q474=Parametres!$G$3),J474,D474)</f>
        <v>-2</v>
      </c>
      <c r="P474" s="657">
        <f>+IF(OR($Q474=Parametres!$G$2,$Q474=Parametres!$G$3),K474,E474)</f>
        <v>-71</v>
      </c>
      <c r="Q474" s="656" t="str">
        <f t="shared" ref="Q474:S474" si="482">+F474</f>
        <v>10-Compte compteur</v>
      </c>
      <c r="R474" s="655" t="str">
        <f t="shared" si="482"/>
        <v>4119</v>
      </c>
      <c r="S474" s="656">
        <f t="shared" si="482"/>
        <v>0</v>
      </c>
      <c r="T474" s="658" t="str">
        <f>+VLOOKUP($L474,Data_Validation!$A:$D,1,0)</f>
        <v>4119@</v>
      </c>
      <c r="U474" s="658" t="str">
        <f>+VLOOKUP($L474,Data_Validation!$A:$D,3,0)</f>
        <v>Véhicules neufs</v>
      </c>
      <c r="V474" s="658" t="str">
        <f>+VLOOKUP($L474,Data_Validation!$A:$D,4,0)</f>
        <v>Camions détail</v>
      </c>
      <c r="W474" s="658" t="str">
        <f>+VLOOKUP($L474,Data_Validation!$A:$E,5,0)</f>
        <v>NB</v>
      </c>
      <c r="X474" s="658">
        <f>+VLOOKUP($L474,Data_Validation!$A:$F,6,0)</f>
        <v>0</v>
      </c>
    </row>
    <row r="475" spans="1:24" ht="15" customHeight="1">
      <c r="A475" s="1055" t="s">
        <v>986</v>
      </c>
      <c r="B475" s="1055" t="s">
        <v>987</v>
      </c>
      <c r="C475" s="1056"/>
      <c r="D475" s="1056"/>
      <c r="E475" s="1056"/>
      <c r="F475" s="1055" t="s">
        <v>7</v>
      </c>
      <c r="G475" s="1055" t="s">
        <v>3353</v>
      </c>
      <c r="H475" s="1056"/>
      <c r="I475" s="1057">
        <v>-3</v>
      </c>
      <c r="J475" s="1057">
        <v>0</v>
      </c>
      <c r="K475" s="1057">
        <v>-3</v>
      </c>
      <c r="L475" s="655" t="str">
        <f t="shared" si="458"/>
        <v>4121@</v>
      </c>
      <c r="M475" s="656" t="str">
        <f t="shared" si="260"/>
        <v># DE VTE - ATLAS CROSS SPORT</v>
      </c>
      <c r="N475" s="657">
        <f>+IF(OR($Q475=Parametres!$G$2,$Q475=Parametres!$G$3),I475,C475)</f>
        <v>-3</v>
      </c>
      <c r="O475" s="657">
        <f>+IF(OR($Q475=Parametres!$G$2,$Q475=Parametres!$G$3),J475,D475)</f>
        <v>0</v>
      </c>
      <c r="P475" s="657">
        <f>+IF(OR($Q475=Parametres!$G$2,$Q475=Parametres!$G$3),K475,E475)</f>
        <v>-3</v>
      </c>
      <c r="Q475" s="656" t="str">
        <f t="shared" ref="Q475:S475" si="483">+F475</f>
        <v>10-Compte compteur</v>
      </c>
      <c r="R475" s="655" t="str">
        <f t="shared" si="483"/>
        <v>4121</v>
      </c>
      <c r="S475" s="656">
        <f t="shared" si="483"/>
        <v>0</v>
      </c>
      <c r="T475" s="658" t="str">
        <f>+VLOOKUP($L475,Data_Validation!$A:$D,1,0)</f>
        <v>4121@</v>
      </c>
      <c r="U475" s="658" t="str">
        <f>+VLOOKUP($L475,Data_Validation!$A:$D,3,0)</f>
        <v>Véhicules neufs</v>
      </c>
      <c r="V475" s="658" t="str">
        <f>+VLOOKUP($L475,Data_Validation!$A:$D,4,0)</f>
        <v>Camions détail</v>
      </c>
      <c r="W475" s="658" t="str">
        <f>+VLOOKUP($L475,Data_Validation!$A:$E,5,0)</f>
        <v>NB</v>
      </c>
      <c r="X475" s="658">
        <f>+VLOOKUP($L475,Data_Validation!$A:$F,6,0)</f>
        <v>0</v>
      </c>
    </row>
    <row r="476" spans="1:24" ht="15" customHeight="1">
      <c r="A476" s="1055" t="s">
        <v>990</v>
      </c>
      <c r="B476" s="1055" t="s">
        <v>991</v>
      </c>
      <c r="C476" s="1056"/>
      <c r="D476" s="1056"/>
      <c r="E476" s="1056"/>
      <c r="F476" s="1055" t="s">
        <v>7</v>
      </c>
      <c r="G476" s="1055" t="s">
        <v>989</v>
      </c>
      <c r="H476" s="1056"/>
      <c r="I476" s="1057">
        <v>-19</v>
      </c>
      <c r="J476" s="1057">
        <v>0</v>
      </c>
      <c r="K476" s="1057">
        <v>-19</v>
      </c>
      <c r="L476" s="655" t="str">
        <f t="shared" si="458"/>
        <v>4127@</v>
      </c>
      <c r="M476" s="656" t="str">
        <f t="shared" si="260"/>
        <v># DE VENTE - GOLF GTI</v>
      </c>
      <c r="N476" s="657">
        <f>+IF(OR($Q476=Parametres!$G$2,$Q476=Parametres!$G$3),I476,C476)</f>
        <v>-19</v>
      </c>
      <c r="O476" s="657">
        <f>+IF(OR($Q476=Parametres!$G$2,$Q476=Parametres!$G$3),J476,D476)</f>
        <v>0</v>
      </c>
      <c r="P476" s="657">
        <f>+IF(OR($Q476=Parametres!$G$2,$Q476=Parametres!$G$3),K476,E476)</f>
        <v>-19</v>
      </c>
      <c r="Q476" s="656" t="str">
        <f t="shared" ref="Q476:S476" si="484">+F476</f>
        <v>10-Compte compteur</v>
      </c>
      <c r="R476" s="655" t="str">
        <f t="shared" si="484"/>
        <v>4127</v>
      </c>
      <c r="S476" s="656">
        <f t="shared" si="484"/>
        <v>0</v>
      </c>
      <c r="T476" s="658" t="str">
        <f>+VLOOKUP($L476,Data_Validation!$A:$D,1,0)</f>
        <v>4127@</v>
      </c>
      <c r="U476" s="658" t="str">
        <f>+VLOOKUP($L476,Data_Validation!$A:$D,3,0)</f>
        <v>Véhicules neufs</v>
      </c>
      <c r="V476" s="658" t="str">
        <f>+VLOOKUP($L476,Data_Validation!$A:$D,4,0)</f>
        <v>Autos détail</v>
      </c>
      <c r="W476" s="658" t="str">
        <f>+VLOOKUP($L476,Data_Validation!$A:$E,5,0)</f>
        <v>NB</v>
      </c>
      <c r="X476" s="658">
        <f>+VLOOKUP($L476,Data_Validation!$A:$F,6,0)</f>
        <v>0</v>
      </c>
    </row>
    <row r="477" spans="1:24" ht="15.75" customHeight="1">
      <c r="A477" s="1055" t="s">
        <v>994</v>
      </c>
      <c r="B477" s="1055" t="s">
        <v>995</v>
      </c>
      <c r="C477" s="1056"/>
      <c r="D477" s="1056"/>
      <c r="E477" s="1056"/>
      <c r="F477" s="1055" t="s">
        <v>7</v>
      </c>
      <c r="G477" s="1055" t="s">
        <v>993</v>
      </c>
      <c r="H477" s="1056"/>
      <c r="I477" s="1057">
        <v>-180</v>
      </c>
      <c r="J477" s="1057">
        <v>-24</v>
      </c>
      <c r="K477" s="1057">
        <v>-204</v>
      </c>
      <c r="L477" s="655" t="str">
        <f t="shared" si="458"/>
        <v>4131@</v>
      </c>
      <c r="M477" s="656" t="str">
        <f t="shared" si="260"/>
        <v># DE VTE - TIGUAN LWB</v>
      </c>
      <c r="N477" s="657">
        <f>+IF(OR($Q477=Parametres!$G$2,$Q477=Parametres!$G$3),I477,C477)</f>
        <v>-180</v>
      </c>
      <c r="O477" s="657">
        <f>+IF(OR($Q477=Parametres!$G$2,$Q477=Parametres!$G$3),J477,D477)</f>
        <v>-24</v>
      </c>
      <c r="P477" s="657">
        <f>+IF(OR($Q477=Parametres!$G$2,$Q477=Parametres!$G$3),K477,E477)</f>
        <v>-204</v>
      </c>
      <c r="Q477" s="656" t="str">
        <f t="shared" ref="Q477:S477" si="485">+F477</f>
        <v>10-Compte compteur</v>
      </c>
      <c r="R477" s="655" t="str">
        <f t="shared" si="485"/>
        <v>4131</v>
      </c>
      <c r="S477" s="656">
        <f t="shared" si="485"/>
        <v>0</v>
      </c>
      <c r="T477" s="658" t="str">
        <f>+VLOOKUP($L477,Data_Validation!$A:$D,1,0)</f>
        <v>4131@</v>
      </c>
      <c r="U477" s="658" t="str">
        <f>+VLOOKUP($L477,Data_Validation!$A:$D,3,0)</f>
        <v>Véhicules neufs</v>
      </c>
      <c r="V477" s="658" t="str">
        <f>+VLOOKUP($L477,Data_Validation!$A:$D,4,0)</f>
        <v>Camions détail</v>
      </c>
      <c r="W477" s="658" t="str">
        <f>+VLOOKUP($L477,Data_Validation!$A:$E,5,0)</f>
        <v>NB</v>
      </c>
      <c r="X477" s="658">
        <f>+VLOOKUP($L477,Data_Validation!$A:$F,6,0)</f>
        <v>0</v>
      </c>
    </row>
    <row r="478" spans="1:24" ht="15" customHeight="1">
      <c r="A478" s="1055" t="s">
        <v>998</v>
      </c>
      <c r="B478" s="1055" t="s">
        <v>999</v>
      </c>
      <c r="C478" s="1056"/>
      <c r="D478" s="1056"/>
      <c r="E478" s="1056"/>
      <c r="F478" s="1055" t="s">
        <v>7</v>
      </c>
      <c r="G478" s="1055" t="s">
        <v>997</v>
      </c>
      <c r="H478" s="1056"/>
      <c r="I478" s="1057">
        <v>-17</v>
      </c>
      <c r="J478" s="1057">
        <v>0</v>
      </c>
      <c r="K478" s="1057">
        <v>-17</v>
      </c>
      <c r="L478" s="655" t="str">
        <f t="shared" si="458"/>
        <v>4137@</v>
      </c>
      <c r="M478" s="656" t="str">
        <f t="shared" si="260"/>
        <v>VW FLOTTE/VENTE ENTR/EMPLOYE/VEH DEMONST</v>
      </c>
      <c r="N478" s="657">
        <f>+IF(OR($Q478=Parametres!$G$2,$Q478=Parametres!$G$3),I478,C478)</f>
        <v>-17</v>
      </c>
      <c r="O478" s="657">
        <f>+IF(OR($Q478=Parametres!$G$2,$Q478=Parametres!$G$3),J478,D478)</f>
        <v>0</v>
      </c>
      <c r="P478" s="657">
        <f>+IF(OR($Q478=Parametres!$G$2,$Q478=Parametres!$G$3),K478,E478)</f>
        <v>-17</v>
      </c>
      <c r="Q478" s="656" t="str">
        <f t="shared" ref="Q478:S478" si="486">+F478</f>
        <v>10-Compte compteur</v>
      </c>
      <c r="R478" s="655" t="str">
        <f t="shared" si="486"/>
        <v>4137</v>
      </c>
      <c r="S478" s="656">
        <f t="shared" si="486"/>
        <v>0</v>
      </c>
      <c r="T478" s="658" t="str">
        <f>+VLOOKUP($L478,Data_Validation!$A:$D,1,0)</f>
        <v>4137@</v>
      </c>
      <c r="U478" s="658" t="str">
        <f>+VLOOKUP($L478,Data_Validation!$A:$D,3,0)</f>
        <v>Véhicules neufs</v>
      </c>
      <c r="V478" s="658" t="str">
        <f>+VLOOKUP($L478,Data_Validation!$A:$D,4,0)</f>
        <v>Flottes</v>
      </c>
      <c r="W478" s="658" t="str">
        <f>+VLOOKUP($L478,Data_Validation!$A:$E,5,0)</f>
        <v>NB</v>
      </c>
      <c r="X478" s="658">
        <f>+VLOOKUP($L478,Data_Validation!$A:$F,6,0)</f>
        <v>0</v>
      </c>
    </row>
    <row r="479" spans="1:24" ht="15" customHeight="1">
      <c r="A479" s="1055" t="s">
        <v>1002</v>
      </c>
      <c r="B479" s="1055" t="s">
        <v>1003</v>
      </c>
      <c r="C479" s="1056"/>
      <c r="D479" s="1056"/>
      <c r="E479" s="1056"/>
      <c r="F479" s="1055" t="s">
        <v>7</v>
      </c>
      <c r="G479" s="1055" t="s">
        <v>1001</v>
      </c>
      <c r="H479" s="1056"/>
      <c r="I479" s="1057">
        <v>-40</v>
      </c>
      <c r="J479" s="1057">
        <v>-2</v>
      </c>
      <c r="K479" s="1057">
        <v>-42</v>
      </c>
      <c r="L479" s="655" t="str">
        <f t="shared" si="458"/>
        <v>4139@</v>
      </c>
      <c r="M479" s="656" t="str">
        <f t="shared" si="260"/>
        <v>VENTES A PARK AVENUE LOCATION</v>
      </c>
      <c r="N479" s="657">
        <f>+IF(OR($Q479=Parametres!$G$2,$Q479=Parametres!$G$3),I479,C479)</f>
        <v>-40</v>
      </c>
      <c r="O479" s="657">
        <f>+IF(OR($Q479=Parametres!$G$2,$Q479=Parametres!$G$3),J479,D479)</f>
        <v>-2</v>
      </c>
      <c r="P479" s="657">
        <f>+IF(OR($Q479=Parametres!$G$2,$Q479=Parametres!$G$3),K479,E479)</f>
        <v>-42</v>
      </c>
      <c r="Q479" s="656" t="str">
        <f t="shared" ref="Q479:S479" si="487">+F479</f>
        <v>10-Compte compteur</v>
      </c>
      <c r="R479" s="655" t="str">
        <f t="shared" si="487"/>
        <v>4139</v>
      </c>
      <c r="S479" s="656">
        <f t="shared" si="487"/>
        <v>0</v>
      </c>
      <c r="T479" s="658" t="str">
        <f>+VLOOKUP($L479,Data_Validation!$A:$D,1,0)</f>
        <v>4139@</v>
      </c>
      <c r="U479" s="658" t="str">
        <f>+VLOOKUP($L479,Data_Validation!$A:$D,3,0)</f>
        <v>Véhicules neufs</v>
      </c>
      <c r="V479" s="658" t="str">
        <f>+VLOOKUP($L479,Data_Validation!$A:$D,4,0)</f>
        <v>Ex-Démos et courtoisies</v>
      </c>
      <c r="W479" s="658" t="str">
        <f>+VLOOKUP($L479,Data_Validation!$A:$E,5,0)</f>
        <v>NB</v>
      </c>
      <c r="X479" s="658">
        <f>+VLOOKUP($L479,Data_Validation!$A:$F,6,0)</f>
        <v>0</v>
      </c>
    </row>
    <row r="480" spans="1:24" ht="15" customHeight="1">
      <c r="A480" s="1055" t="s">
        <v>1006</v>
      </c>
      <c r="B480" s="1055" t="s">
        <v>1007</v>
      </c>
      <c r="C480" s="1056"/>
      <c r="D480" s="1056"/>
      <c r="E480" s="1056"/>
      <c r="F480" s="1055" t="s">
        <v>7</v>
      </c>
      <c r="G480" s="1055" t="s">
        <v>1005</v>
      </c>
      <c r="H480" s="1056"/>
      <c r="I480" s="1057">
        <v>-20</v>
      </c>
      <c r="J480" s="1057">
        <v>0</v>
      </c>
      <c r="K480" s="1057">
        <v>-20</v>
      </c>
      <c r="L480" s="655" t="str">
        <f t="shared" si="458"/>
        <v>4144@</v>
      </c>
      <c r="M480" s="656" t="str">
        <f t="shared" si="260"/>
        <v># OF VTES -JETTA GLI</v>
      </c>
      <c r="N480" s="657">
        <f>+IF(OR($Q480=Parametres!$G$2,$Q480=Parametres!$G$3),I480,C480)</f>
        <v>-20</v>
      </c>
      <c r="O480" s="657">
        <f>+IF(OR($Q480=Parametres!$G$2,$Q480=Parametres!$G$3),J480,D480)</f>
        <v>0</v>
      </c>
      <c r="P480" s="657">
        <f>+IF(OR($Q480=Parametres!$G$2,$Q480=Parametres!$G$3),K480,E480)</f>
        <v>-20</v>
      </c>
      <c r="Q480" s="656" t="str">
        <f t="shared" ref="Q480:S480" si="488">+F480</f>
        <v>10-Compte compteur</v>
      </c>
      <c r="R480" s="655" t="str">
        <f t="shared" si="488"/>
        <v>414</v>
      </c>
      <c r="S480" s="656">
        <f t="shared" si="488"/>
        <v>0</v>
      </c>
      <c r="T480" s="658" t="str">
        <f>+VLOOKUP($L480,Data_Validation!$A:$D,1,0)</f>
        <v>4144@</v>
      </c>
      <c r="U480" s="658" t="str">
        <f>+VLOOKUP($L480,Data_Validation!$A:$D,3,0)</f>
        <v>Véhicules neufs</v>
      </c>
      <c r="V480" s="658" t="str">
        <f>+VLOOKUP($L480,Data_Validation!$A:$D,4,0)</f>
        <v>Autos détail</v>
      </c>
      <c r="W480" s="658" t="str">
        <f>+VLOOKUP($L480,Data_Validation!$A:$E,5,0)</f>
        <v>NB</v>
      </c>
      <c r="X480" s="658">
        <f>+VLOOKUP($L480,Data_Validation!$A:$F,6,0)</f>
        <v>0</v>
      </c>
    </row>
    <row r="481" spans="1:24" ht="15" customHeight="1">
      <c r="A481" s="1055" t="s">
        <v>1010</v>
      </c>
      <c r="B481" s="1055" t="s">
        <v>1011</v>
      </c>
      <c r="C481" s="1056"/>
      <c r="D481" s="1056"/>
      <c r="E481" s="1056"/>
      <c r="F481" s="1055" t="s">
        <v>7</v>
      </c>
      <c r="G481" s="1055" t="s">
        <v>1009</v>
      </c>
      <c r="H481" s="1056"/>
      <c r="I481" s="1057">
        <v>-346</v>
      </c>
      <c r="J481" s="1057">
        <v>-24</v>
      </c>
      <c r="K481" s="1057">
        <v>-370</v>
      </c>
      <c r="L481" s="655" t="str">
        <f t="shared" si="458"/>
        <v>4201@</v>
      </c>
      <c r="M481" s="656" t="str">
        <f t="shared" si="260"/>
        <v># DE VTE - VEH.USAGE VW DET.CERT.</v>
      </c>
      <c r="N481" s="657">
        <f>+IF(OR($Q481=Parametres!$G$2,$Q481=Parametres!$G$3),I481,C481)</f>
        <v>-346</v>
      </c>
      <c r="O481" s="657">
        <f>+IF(OR($Q481=Parametres!$G$2,$Q481=Parametres!$G$3),J481,D481)</f>
        <v>-24</v>
      </c>
      <c r="P481" s="657">
        <f>+IF(OR($Q481=Parametres!$G$2,$Q481=Parametres!$G$3),K481,E481)</f>
        <v>-370</v>
      </c>
      <c r="Q481" s="656" t="str">
        <f t="shared" ref="Q481:S481" si="489">+F481</f>
        <v>10-Compte compteur</v>
      </c>
      <c r="R481" s="655" t="str">
        <f t="shared" si="489"/>
        <v>4201</v>
      </c>
      <c r="S481" s="656">
        <f t="shared" si="489"/>
        <v>0</v>
      </c>
      <c r="T481" s="658" t="str">
        <f>+VLOOKUP($L481,Data_Validation!$A:$D,1,0)</f>
        <v>4201@</v>
      </c>
      <c r="U481" s="658" t="str">
        <f>+VLOOKUP($L481,Data_Validation!$A:$D,3,0)</f>
        <v>Véhicules usagés</v>
      </c>
      <c r="V481" s="658" t="str">
        <f>+VLOOKUP($L481,Data_Validation!$A:$D,4,0)</f>
        <v>Certifié</v>
      </c>
      <c r="W481" s="658" t="str">
        <f>+VLOOKUP($L481,Data_Validation!$A:$E,5,0)</f>
        <v>NB</v>
      </c>
      <c r="X481" s="658">
        <f>+VLOOKUP($L481,Data_Validation!$A:$F,6,0)</f>
        <v>0</v>
      </c>
    </row>
    <row r="482" spans="1:24" ht="15.75" customHeight="1">
      <c r="A482" s="1055" t="s">
        <v>1014</v>
      </c>
      <c r="B482" s="1055" t="s">
        <v>1015</v>
      </c>
      <c r="C482" s="1056"/>
      <c r="D482" s="1056"/>
      <c r="E482" s="1056"/>
      <c r="F482" s="1055" t="s">
        <v>7</v>
      </c>
      <c r="G482" s="1055" t="s">
        <v>1013</v>
      </c>
      <c r="H482" s="1056"/>
      <c r="I482" s="1057">
        <v>0</v>
      </c>
      <c r="J482" s="1057">
        <v>-1</v>
      </c>
      <c r="K482" s="1057">
        <v>-1</v>
      </c>
      <c r="L482" s="655" t="str">
        <f t="shared" si="458"/>
        <v>4211@</v>
      </c>
      <c r="M482" s="656" t="str">
        <f t="shared" si="260"/>
        <v>VENTES USED DET. CHAMBLY</v>
      </c>
      <c r="N482" s="657">
        <f>+IF(OR($Q482=Parametres!$G$2,$Q482=Parametres!$G$3),I482,C482)</f>
        <v>0</v>
      </c>
      <c r="O482" s="657">
        <f>+IF(OR($Q482=Parametres!$G$2,$Q482=Parametres!$G$3),J482,D482)</f>
        <v>-1</v>
      </c>
      <c r="P482" s="657">
        <f>+IF(OR($Q482=Parametres!$G$2,$Q482=Parametres!$G$3),K482,E482)</f>
        <v>-1</v>
      </c>
      <c r="Q482" s="656" t="str">
        <f t="shared" ref="Q482:S482" si="490">+F482</f>
        <v>10-Compte compteur</v>
      </c>
      <c r="R482" s="655" t="str">
        <f t="shared" si="490"/>
        <v>4211</v>
      </c>
      <c r="S482" s="656">
        <f t="shared" si="490"/>
        <v>0</v>
      </c>
      <c r="T482" s="658" t="str">
        <f>+VLOOKUP($L482,Data_Validation!$A:$D,1,0)</f>
        <v>4211@</v>
      </c>
      <c r="U482" s="658" t="str">
        <f>+VLOOKUP($L482,Data_Validation!$A:$D,3,0)</f>
        <v>Véhicules usagés</v>
      </c>
      <c r="V482" s="658" t="str">
        <f>+VLOOKUP($L482,Data_Validation!$A:$D,4,0)</f>
        <v>Non Certifié</v>
      </c>
      <c r="W482" s="658" t="str">
        <f>+VLOOKUP($L482,Data_Validation!$A:$E,5,0)</f>
        <v>NB</v>
      </c>
      <c r="X482" s="658">
        <f>+VLOOKUP($L482,Data_Validation!$A:$F,6,0)</f>
        <v>0</v>
      </c>
    </row>
    <row r="483" spans="1:24" ht="15" customHeight="1">
      <c r="A483" s="1055" t="s">
        <v>1018</v>
      </c>
      <c r="B483" s="1055" t="s">
        <v>1019</v>
      </c>
      <c r="C483" s="1056"/>
      <c r="D483" s="1056"/>
      <c r="E483" s="1056"/>
      <c r="F483" s="1055" t="s">
        <v>7</v>
      </c>
      <c r="G483" s="1055" t="s">
        <v>1017</v>
      </c>
      <c r="H483" s="1056"/>
      <c r="I483" s="1057">
        <v>-10</v>
      </c>
      <c r="J483" s="1057">
        <v>0</v>
      </c>
      <c r="K483" s="1057">
        <v>-10</v>
      </c>
      <c r="L483" s="655" t="str">
        <f t="shared" si="458"/>
        <v>4285@</v>
      </c>
      <c r="M483" s="656" t="str">
        <f t="shared" si="260"/>
        <v>AUTRE MARQUES DETAIL - USAGE</v>
      </c>
      <c r="N483" s="657">
        <f>+IF(OR($Q483=Parametres!$G$2,$Q483=Parametres!$G$3),I483,C483)</f>
        <v>-10</v>
      </c>
      <c r="O483" s="657">
        <f>+IF(OR($Q483=Parametres!$G$2,$Q483=Parametres!$G$3),J483,D483)</f>
        <v>0</v>
      </c>
      <c r="P483" s="657">
        <f>+IF(OR($Q483=Parametres!$G$2,$Q483=Parametres!$G$3),K483,E483)</f>
        <v>-10</v>
      </c>
      <c r="Q483" s="656" t="str">
        <f t="shared" ref="Q483:S483" si="491">+F483</f>
        <v>10-Compte compteur</v>
      </c>
      <c r="R483" s="655" t="str">
        <f t="shared" si="491"/>
        <v>4261</v>
      </c>
      <c r="S483" s="656">
        <f t="shared" si="491"/>
        <v>0</v>
      </c>
      <c r="T483" s="658" t="str">
        <f>+VLOOKUP($L483,Data_Validation!$A:$D,1,0)</f>
        <v>4285@</v>
      </c>
      <c r="U483" s="658" t="str">
        <f>+VLOOKUP($L483,Data_Validation!$A:$D,3,0)</f>
        <v>Véhicules usagés</v>
      </c>
      <c r="V483" s="658" t="str">
        <f>+VLOOKUP($L483,Data_Validation!$A:$D,4,0)</f>
        <v>Non Certifié</v>
      </c>
      <c r="W483" s="658" t="str">
        <f>+VLOOKUP($L483,Data_Validation!$A:$E,5,0)</f>
        <v>NB</v>
      </c>
      <c r="X483" s="658">
        <f>+VLOOKUP($L483,Data_Validation!$A:$F,6,0)</f>
        <v>0</v>
      </c>
    </row>
    <row r="484" spans="1:24" ht="15" customHeight="1">
      <c r="A484" s="1055" t="s">
        <v>1022</v>
      </c>
      <c r="B484" s="1055" t="s">
        <v>1023</v>
      </c>
      <c r="C484" s="1056"/>
      <c r="D484" s="1056"/>
      <c r="E484" s="1056"/>
      <c r="F484" s="1055" t="s">
        <v>7</v>
      </c>
      <c r="G484" s="1055" t="s">
        <v>1021</v>
      </c>
      <c r="H484" s="1056"/>
      <c r="I484" s="1057">
        <v>-324</v>
      </c>
      <c r="J484" s="1057">
        <v>-31</v>
      </c>
      <c r="K484" s="1057">
        <v>-355</v>
      </c>
      <c r="L484" s="655" t="str">
        <f t="shared" si="458"/>
        <v>4291@</v>
      </c>
      <c r="M484" s="656" t="str">
        <f t="shared" si="260"/>
        <v>VENTE AU GROS - USAGES</v>
      </c>
      <c r="N484" s="657">
        <f>+IF(OR($Q484=Parametres!$G$2,$Q484=Parametres!$G$3),I484,C484)</f>
        <v>-324</v>
      </c>
      <c r="O484" s="657">
        <f>+IF(OR($Q484=Parametres!$G$2,$Q484=Parametres!$G$3),J484,D484)</f>
        <v>-31</v>
      </c>
      <c r="P484" s="657">
        <f>+IF(OR($Q484=Parametres!$G$2,$Q484=Parametres!$G$3),K484,E484)</f>
        <v>-355</v>
      </c>
      <c r="Q484" s="656" t="str">
        <f t="shared" ref="Q484:S484" si="492">+F484</f>
        <v>10-Compte compteur</v>
      </c>
      <c r="R484" s="655" t="str">
        <f t="shared" si="492"/>
        <v>4281</v>
      </c>
      <c r="S484" s="656">
        <f t="shared" si="492"/>
        <v>0</v>
      </c>
      <c r="T484" s="658" t="str">
        <f>+VLOOKUP($L484,Data_Validation!$A:$D,1,0)</f>
        <v>4291@</v>
      </c>
      <c r="U484" s="658" t="str">
        <f>+VLOOKUP($L484,Data_Validation!$A:$D,3,0)</f>
        <v>Véhicules usagés</v>
      </c>
      <c r="V484" s="658" t="str">
        <f>+VLOOKUP($L484,Data_Validation!$A:$D,4,0)</f>
        <v>Ventes au Gros</v>
      </c>
      <c r="W484" s="658" t="str">
        <f>+VLOOKUP($L484,Data_Validation!$A:$E,5,0)</f>
        <v>NB</v>
      </c>
      <c r="X484" s="658">
        <f>+VLOOKUP($L484,Data_Validation!$A:$F,6,0)</f>
        <v>0</v>
      </c>
    </row>
    <row r="485" spans="1:24" ht="15" customHeight="1">
      <c r="A485" s="1055" t="s">
        <v>3675</v>
      </c>
      <c r="B485" s="1055" t="s">
        <v>1026</v>
      </c>
      <c r="C485" s="1056"/>
      <c r="D485" s="1056"/>
      <c r="E485" s="1056"/>
      <c r="F485" s="1055" t="s">
        <v>7</v>
      </c>
      <c r="G485" s="1055" t="s">
        <v>1025</v>
      </c>
      <c r="H485" s="1056"/>
      <c r="I485" s="1057">
        <v>-5411</v>
      </c>
      <c r="J485" s="1057">
        <v>-370</v>
      </c>
      <c r="K485" s="1057">
        <v>-5781</v>
      </c>
      <c r="L485" s="655" t="str">
        <f t="shared" si="458"/>
        <v>4401@</v>
      </c>
      <c r="M485" s="656" t="str">
        <f t="shared" si="260"/>
        <v>MAIN-D'OEUVRE - CLIENT VW - MCI</v>
      </c>
      <c r="N485" s="657">
        <f>+IF(OR($Q485=Parametres!$G$2,$Q485=Parametres!$G$3),I485,C485)</f>
        <v>-5411</v>
      </c>
      <c r="O485" s="657">
        <f>+IF(OR($Q485=Parametres!$G$2,$Q485=Parametres!$G$3),J485,D485)</f>
        <v>-370</v>
      </c>
      <c r="P485" s="657">
        <f>+IF(OR($Q485=Parametres!$G$2,$Q485=Parametres!$G$3),K485,E485)</f>
        <v>-5781</v>
      </c>
      <c r="Q485" s="656" t="str">
        <f t="shared" ref="Q485:S485" si="493">+F485</f>
        <v>10-Compte compteur</v>
      </c>
      <c r="R485" s="655" t="str">
        <f t="shared" si="493"/>
        <v>4401</v>
      </c>
      <c r="S485" s="656">
        <f t="shared" si="493"/>
        <v>0</v>
      </c>
      <c r="T485" s="658" t="str">
        <f>+VLOOKUP($L485,Data_Validation!$A:$D,1,0)</f>
        <v>4401@</v>
      </c>
      <c r="U485" s="658" t="str">
        <f>+VLOOKUP($L485,Data_Validation!$A:$D,3,0)</f>
        <v>Service</v>
      </c>
      <c r="V485" s="658" t="str">
        <f>+VLOOKUP($L485,Data_Validation!$A:$D,4,0)</f>
        <v>M/O Client</v>
      </c>
      <c r="W485" s="658" t="str">
        <f>+VLOOKUP($L485,Data_Validation!$A:$E,5,0)</f>
        <v>NB</v>
      </c>
      <c r="X485" s="658">
        <f>+VLOOKUP($L485,Data_Validation!$A:$F,6,0)</f>
        <v>0</v>
      </c>
    </row>
    <row r="486" spans="1:24" ht="15.75" customHeight="1">
      <c r="A486" s="1055" t="s">
        <v>3676</v>
      </c>
      <c r="B486" s="1055" t="s">
        <v>1031</v>
      </c>
      <c r="C486" s="1056"/>
      <c r="D486" s="1056"/>
      <c r="E486" s="1056"/>
      <c r="F486" s="1055" t="s">
        <v>7</v>
      </c>
      <c r="G486" s="1055" t="s">
        <v>1030</v>
      </c>
      <c r="H486" s="1056"/>
      <c r="I486" s="1057">
        <v>-2534</v>
      </c>
      <c r="J486" s="1057">
        <v>-144</v>
      </c>
      <c r="K486" s="1057">
        <v>-2678</v>
      </c>
      <c r="L486" s="655" t="str">
        <f t="shared" si="458"/>
        <v>4403@</v>
      </c>
      <c r="M486" s="656" t="str">
        <f t="shared" si="260"/>
        <v>MAIN-D'OEUVRE - GARANTIE VW - MCI</v>
      </c>
      <c r="N486" s="657">
        <f>+IF(OR($Q486=Parametres!$G$2,$Q486=Parametres!$G$3),I486,C486)</f>
        <v>-2534</v>
      </c>
      <c r="O486" s="657">
        <f>+IF(OR($Q486=Parametres!$G$2,$Q486=Parametres!$G$3),J486,D486)</f>
        <v>-144</v>
      </c>
      <c r="P486" s="657">
        <f>+IF(OR($Q486=Parametres!$G$2,$Q486=Parametres!$G$3),K486,E486)</f>
        <v>-2678</v>
      </c>
      <c r="Q486" s="656" t="str">
        <f t="shared" ref="Q486:S486" si="494">+F486</f>
        <v>10-Compte compteur</v>
      </c>
      <c r="R486" s="655" t="str">
        <f t="shared" si="494"/>
        <v>4403</v>
      </c>
      <c r="S486" s="656">
        <f t="shared" si="494"/>
        <v>0</v>
      </c>
      <c r="T486" s="658" t="str">
        <f>+VLOOKUP($L486,Data_Validation!$A:$D,1,0)</f>
        <v>4403@</v>
      </c>
      <c r="U486" s="658" t="str">
        <f>+VLOOKUP($L486,Data_Validation!$A:$D,3,0)</f>
        <v>Service</v>
      </c>
      <c r="V486" s="658" t="str">
        <f>+VLOOKUP($L486,Data_Validation!$A:$D,4,0)</f>
        <v>M/O Garantie</v>
      </c>
      <c r="W486" s="658" t="str">
        <f>+VLOOKUP($L486,Data_Validation!$A:$E,5,0)</f>
        <v>NB</v>
      </c>
      <c r="X486" s="658">
        <f>+VLOOKUP($L486,Data_Validation!$A:$F,6,0)</f>
        <v>0</v>
      </c>
    </row>
    <row r="487" spans="1:24" ht="15" customHeight="1">
      <c r="A487" s="1055" t="s">
        <v>3677</v>
      </c>
      <c r="B487" s="1055" t="s">
        <v>1034</v>
      </c>
      <c r="C487" s="1056"/>
      <c r="D487" s="1056"/>
      <c r="E487" s="1056"/>
      <c r="F487" s="1055" t="s">
        <v>7</v>
      </c>
      <c r="G487" s="1055" t="s">
        <v>1033</v>
      </c>
      <c r="H487" s="1056"/>
      <c r="I487" s="1057">
        <v>-2104</v>
      </c>
      <c r="J487" s="1057">
        <v>-196</v>
      </c>
      <c r="K487" s="1057">
        <v>-2300</v>
      </c>
      <c r="L487" s="655" t="str">
        <f t="shared" si="458"/>
        <v>4405@</v>
      </c>
      <c r="M487" s="656" t="str">
        <f t="shared" si="260"/>
        <v>MAIN-D'OEUVRE - INTERNE VW - MCI</v>
      </c>
      <c r="N487" s="657">
        <f>+IF(OR($Q487=Parametres!$G$2,$Q487=Parametres!$G$3),I487,C487)</f>
        <v>-2104</v>
      </c>
      <c r="O487" s="657">
        <f>+IF(OR($Q487=Parametres!$G$2,$Q487=Parametres!$G$3),J487,D487)</f>
        <v>-196</v>
      </c>
      <c r="P487" s="657">
        <f>+IF(OR($Q487=Parametres!$G$2,$Q487=Parametres!$G$3),K487,E487)</f>
        <v>-2300</v>
      </c>
      <c r="Q487" s="656" t="str">
        <f t="shared" ref="Q487:S487" si="495">+F487</f>
        <v>10-Compte compteur</v>
      </c>
      <c r="R487" s="655" t="str">
        <f t="shared" si="495"/>
        <v>4405</v>
      </c>
      <c r="S487" s="656">
        <f t="shared" si="495"/>
        <v>0</v>
      </c>
      <c r="T487" s="658" t="str">
        <f>+VLOOKUP($L487,Data_Validation!$A:$D,1,0)</f>
        <v>4405@</v>
      </c>
      <c r="U487" s="658" t="str">
        <f>+VLOOKUP($L487,Data_Validation!$A:$D,3,0)</f>
        <v>Service</v>
      </c>
      <c r="V487" s="658" t="str">
        <f>+VLOOKUP($L487,Data_Validation!$A:$D,4,0)</f>
        <v>M/O Interne</v>
      </c>
      <c r="W487" s="658" t="str">
        <f>+VLOOKUP($L487,Data_Validation!$A:$E,5,0)</f>
        <v>NB</v>
      </c>
      <c r="X487" s="658">
        <f>+VLOOKUP($L487,Data_Validation!$A:$F,6,0)</f>
        <v>0</v>
      </c>
    </row>
    <row r="488" spans="1:24" ht="15" customHeight="1">
      <c r="A488" s="1055" t="s">
        <v>1035</v>
      </c>
      <c r="B488" s="1055" t="s">
        <v>1037</v>
      </c>
      <c r="C488" s="1056"/>
      <c r="D488" s="1056"/>
      <c r="E488" s="1056"/>
      <c r="F488" s="1055" t="s">
        <v>7</v>
      </c>
      <c r="G488" s="1055" t="s">
        <v>1036</v>
      </c>
      <c r="H488" s="1056"/>
      <c r="I488" s="1057">
        <v>-4088</v>
      </c>
      <c r="J488" s="1057">
        <v>-291</v>
      </c>
      <c r="K488" s="1057">
        <v>-4379</v>
      </c>
      <c r="L488" s="655" t="str">
        <f t="shared" si="458"/>
        <v>4451@</v>
      </c>
      <c r="M488" s="656" t="str">
        <f t="shared" si="260"/>
        <v>CARBURANT/HUILE/GRAISSE</v>
      </c>
      <c r="N488" s="657">
        <f>+IF(OR($Q488=Parametres!$G$2,$Q488=Parametres!$G$3),I488,C488)</f>
        <v>-4088</v>
      </c>
      <c r="O488" s="657">
        <f>+IF(OR($Q488=Parametres!$G$2,$Q488=Parametres!$G$3),J488,D488)</f>
        <v>-291</v>
      </c>
      <c r="P488" s="657">
        <f>+IF(OR($Q488=Parametres!$G$2,$Q488=Parametres!$G$3),K488,E488)</f>
        <v>-4379</v>
      </c>
      <c r="Q488" s="656" t="str">
        <f t="shared" ref="Q488:S488" si="496">+F488</f>
        <v>10-Compte compteur</v>
      </c>
      <c r="R488" s="655" t="str">
        <f t="shared" si="496"/>
        <v>4782</v>
      </c>
      <c r="S488" s="656">
        <f t="shared" si="496"/>
        <v>0</v>
      </c>
      <c r="T488" s="658" t="str">
        <f>+VLOOKUP($L488,Data_Validation!$A:$D,1,0)</f>
        <v>4451@</v>
      </c>
      <c r="U488" s="658" t="str">
        <f>+VLOOKUP($L488,Data_Validation!$A:$D,3,0)</f>
        <v>Pièces</v>
      </c>
      <c r="V488" s="658" t="str">
        <f>+VLOOKUP($L488,Data_Validation!$A:$D,4,0)</f>
        <v>Huiles et Graisse</v>
      </c>
      <c r="W488" s="658" t="str">
        <f>+VLOOKUP($L488,Data_Validation!$A:$E,5,0)</f>
        <v>NB</v>
      </c>
      <c r="X488" s="658">
        <f>+VLOOKUP($L488,Data_Validation!$A:$F,6,0)</f>
        <v>0</v>
      </c>
    </row>
    <row r="489" spans="1:24" ht="15" customHeight="1">
      <c r="A489" s="1055" t="s">
        <v>1038</v>
      </c>
      <c r="B489" s="1055" t="s">
        <v>1040</v>
      </c>
      <c r="C489" s="1056"/>
      <c r="D489" s="1056"/>
      <c r="E489" s="1056"/>
      <c r="F489" s="1055" t="s">
        <v>7</v>
      </c>
      <c r="G489" s="1055" t="s">
        <v>1039</v>
      </c>
      <c r="H489" s="1056"/>
      <c r="I489" s="1057">
        <v>-110</v>
      </c>
      <c r="J489" s="1057">
        <v>-8</v>
      </c>
      <c r="K489" s="1057">
        <v>-118</v>
      </c>
      <c r="L489" s="655" t="str">
        <f t="shared" si="458"/>
        <v>4491@</v>
      </c>
      <c r="M489" s="656" t="str">
        <f t="shared" si="260"/>
        <v>REPARATION SOUS-LOC. - GENERAL</v>
      </c>
      <c r="N489" s="657">
        <f>+IF(OR($Q489=Parametres!$G$2,$Q489=Parametres!$G$3),I489,C489)</f>
        <v>-110</v>
      </c>
      <c r="O489" s="657">
        <f>+IF(OR($Q489=Parametres!$G$2,$Q489=Parametres!$G$3),J489,D489)</f>
        <v>-8</v>
      </c>
      <c r="P489" s="657">
        <f>+IF(OR($Q489=Parametres!$G$2,$Q489=Parametres!$G$3),K489,E489)</f>
        <v>-118</v>
      </c>
      <c r="Q489" s="656" t="str">
        <f t="shared" ref="Q489:S489" si="497">+F489</f>
        <v>10-Compte compteur</v>
      </c>
      <c r="R489" s="655" t="str">
        <f t="shared" si="497"/>
        <v>4491</v>
      </c>
      <c r="S489" s="656">
        <f t="shared" si="497"/>
        <v>0</v>
      </c>
      <c r="T489" s="658" t="str">
        <f>+VLOOKUP($L489,Data_Validation!$A:$D,1,0)</f>
        <v>4491@</v>
      </c>
      <c r="U489" s="658" t="str">
        <f>+VLOOKUP($L489,Data_Validation!$A:$D,3,0)</f>
        <v>Service</v>
      </c>
      <c r="V489" s="658" t="str">
        <f>+VLOOKUP($L489,Data_Validation!$A:$D,4,0)</f>
        <v>Sous-traitement</v>
      </c>
      <c r="W489" s="658" t="str">
        <f>+VLOOKUP($L489,Data_Validation!$A:$E,5,0)</f>
        <v>NB</v>
      </c>
      <c r="X489" s="658">
        <f>+VLOOKUP($L489,Data_Validation!$A:$F,6,0)</f>
        <v>0</v>
      </c>
    </row>
    <row r="490" spans="1:24" ht="15" customHeight="1">
      <c r="A490" s="1055" t="s">
        <v>1043</v>
      </c>
      <c r="B490" s="1055" t="s">
        <v>1044</v>
      </c>
      <c r="C490" s="1056"/>
      <c r="D490" s="1056"/>
      <c r="E490" s="1056"/>
      <c r="F490" s="1055" t="s">
        <v>7</v>
      </c>
      <c r="G490" s="1055" t="s">
        <v>1042</v>
      </c>
      <c r="H490" s="1056"/>
      <c r="I490" s="1057">
        <v>-30</v>
      </c>
      <c r="J490" s="1057">
        <v>-4</v>
      </c>
      <c r="K490" s="1057">
        <v>-34</v>
      </c>
      <c r="L490" s="655" t="str">
        <f t="shared" si="458"/>
        <v>4493@</v>
      </c>
      <c r="M490" s="656" t="str">
        <f t="shared" si="260"/>
        <v># DE VTE - SOUS-TRAITANCE GARANTIE</v>
      </c>
      <c r="N490" s="657">
        <f>+IF(OR($Q490=Parametres!$G$2,$Q490=Parametres!$G$3),I490,C490)</f>
        <v>-30</v>
      </c>
      <c r="O490" s="657">
        <f>+IF(OR($Q490=Parametres!$G$2,$Q490=Parametres!$G$3),J490,D490)</f>
        <v>-4</v>
      </c>
      <c r="P490" s="657">
        <f>+IF(OR($Q490=Parametres!$G$2,$Q490=Parametres!$G$3),K490,E490)</f>
        <v>-34</v>
      </c>
      <c r="Q490" s="656" t="str">
        <f t="shared" ref="Q490:S490" si="498">+F490</f>
        <v>10-Compte compteur</v>
      </c>
      <c r="R490" s="655" t="str">
        <f t="shared" si="498"/>
        <v>4493</v>
      </c>
      <c r="S490" s="656">
        <f t="shared" si="498"/>
        <v>0</v>
      </c>
      <c r="T490" s="658" t="str">
        <f>+VLOOKUP($L490,Data_Validation!$A:$D,1,0)</f>
        <v>4493@</v>
      </c>
      <c r="U490" s="658" t="str">
        <f>+VLOOKUP($L490,Data_Validation!$A:$D,3,0)</f>
        <v>Service</v>
      </c>
      <c r="V490" s="658" t="str">
        <f>+VLOOKUP($L490,Data_Validation!$A:$D,4,0)</f>
        <v>Sous-traitement</v>
      </c>
      <c r="W490" s="658" t="str">
        <f>+VLOOKUP($L490,Data_Validation!$A:$E,5,0)</f>
        <v>NB</v>
      </c>
      <c r="X490" s="658">
        <f>+VLOOKUP($L490,Data_Validation!$A:$F,6,0)</f>
        <v>0</v>
      </c>
    </row>
    <row r="491" spans="1:24" ht="15.75" customHeight="1">
      <c r="A491" s="1055" t="s">
        <v>1047</v>
      </c>
      <c r="B491" s="1055" t="s">
        <v>1048</v>
      </c>
      <c r="C491" s="1056"/>
      <c r="D491" s="1056"/>
      <c r="E491" s="1056"/>
      <c r="F491" s="1055" t="s">
        <v>7</v>
      </c>
      <c r="G491" s="1055" t="s">
        <v>1046</v>
      </c>
      <c r="H491" s="1056"/>
      <c r="I491" s="1057">
        <v>-1020</v>
      </c>
      <c r="J491" s="1057">
        <v>-51</v>
      </c>
      <c r="K491" s="1057">
        <v>-1071</v>
      </c>
      <c r="L491" s="655" t="str">
        <f t="shared" si="458"/>
        <v>4495@</v>
      </c>
      <c r="M491" s="656" t="str">
        <f t="shared" si="260"/>
        <v># DE VTE - S-TRAITANCE MEC.INTERNE VW</v>
      </c>
      <c r="N491" s="657">
        <f>+IF(OR($Q491=Parametres!$G$2,$Q491=Parametres!$G$3),I491,C491)</f>
        <v>-1020</v>
      </c>
      <c r="O491" s="657">
        <f>+IF(OR($Q491=Parametres!$G$2,$Q491=Parametres!$G$3),J491,D491)</f>
        <v>-51</v>
      </c>
      <c r="P491" s="657">
        <f>+IF(OR($Q491=Parametres!$G$2,$Q491=Parametres!$G$3),K491,E491)</f>
        <v>-1071</v>
      </c>
      <c r="Q491" s="656" t="str">
        <f t="shared" ref="Q491:S491" si="499">+F491</f>
        <v>10-Compte compteur</v>
      </c>
      <c r="R491" s="655" t="str">
        <f t="shared" si="499"/>
        <v>4495</v>
      </c>
      <c r="S491" s="656">
        <f t="shared" si="499"/>
        <v>0</v>
      </c>
      <c r="T491" s="658" t="str">
        <f>+VLOOKUP($L491,Data_Validation!$A:$D,1,0)</f>
        <v>4495@</v>
      </c>
      <c r="U491" s="658" t="str">
        <f>+VLOOKUP($L491,Data_Validation!$A:$D,3,0)</f>
        <v>Service</v>
      </c>
      <c r="V491" s="658" t="str">
        <f>+VLOOKUP($L491,Data_Validation!$A:$D,4,0)</f>
        <v>Sous-traitement</v>
      </c>
      <c r="W491" s="658" t="str">
        <f>+VLOOKUP($L491,Data_Validation!$A:$E,5,0)</f>
        <v>NB</v>
      </c>
      <c r="X491" s="658">
        <f>+VLOOKUP($L491,Data_Validation!$A:$F,6,0)</f>
        <v>0</v>
      </c>
    </row>
    <row r="492" spans="1:24" ht="15" customHeight="1">
      <c r="A492" s="1055" t="s">
        <v>1050</v>
      </c>
      <c r="B492" s="1055" t="s">
        <v>1051</v>
      </c>
      <c r="C492" s="1056"/>
      <c r="D492" s="1056"/>
      <c r="E492" s="1056"/>
      <c r="F492" s="1055" t="s">
        <v>7</v>
      </c>
      <c r="G492" s="1055" t="s">
        <v>3337</v>
      </c>
      <c r="H492" s="1056"/>
      <c r="I492" s="1057">
        <v>-100</v>
      </c>
      <c r="J492" s="1057">
        <v>0</v>
      </c>
      <c r="K492" s="1057">
        <v>-100</v>
      </c>
      <c r="L492" s="655" t="str">
        <f t="shared" si="458"/>
        <v>4503@</v>
      </c>
      <c r="M492" s="656" t="str">
        <f t="shared" si="260"/>
        <v># DE VTE - M.O. CARROS.GARANTIE</v>
      </c>
      <c r="N492" s="657">
        <f>+IF(OR($Q492=Parametres!$G$2,$Q492=Parametres!$G$3),I492,C492)</f>
        <v>-100</v>
      </c>
      <c r="O492" s="657">
        <f>+IF(OR($Q492=Parametres!$G$2,$Q492=Parametres!$G$3),J492,D492)</f>
        <v>0</v>
      </c>
      <c r="P492" s="657">
        <f>+IF(OR($Q492=Parametres!$G$2,$Q492=Parametres!$G$3),K492,E492)</f>
        <v>-100</v>
      </c>
      <c r="Q492" s="656" t="str">
        <f t="shared" ref="Q492:S492" si="500">+F492</f>
        <v>10-Compte compteur</v>
      </c>
      <c r="R492" s="655" t="str">
        <f t="shared" si="500"/>
        <v>4503</v>
      </c>
      <c r="S492" s="656">
        <f t="shared" si="500"/>
        <v>0</v>
      </c>
      <c r="T492" s="658" t="str">
        <f>+VLOOKUP($L492,Data_Validation!$A:$D,1,0)</f>
        <v>4503@</v>
      </c>
      <c r="U492" s="658" t="str">
        <f>+VLOOKUP($L492,Data_Validation!$A:$D,3,0)</f>
        <v>Carrosserie</v>
      </c>
      <c r="V492" s="658" t="str">
        <f>+VLOOKUP($L492,Data_Validation!$A:$D,4,0)</f>
        <v>M/O Sous-traitement</v>
      </c>
      <c r="W492" s="658" t="str">
        <f>+VLOOKUP($L492,Data_Validation!$A:$E,5,0)</f>
        <v>NB</v>
      </c>
      <c r="X492" s="658">
        <f>+VLOOKUP($L492,Data_Validation!$A:$F,6,0)</f>
        <v>0</v>
      </c>
    </row>
    <row r="493" spans="1:24" ht="15" customHeight="1">
      <c r="A493" s="1055" t="s">
        <v>1054</v>
      </c>
      <c r="B493" s="1055" t="s">
        <v>1055</v>
      </c>
      <c r="C493" s="1056"/>
      <c r="D493" s="1056"/>
      <c r="E493" s="1056"/>
      <c r="F493" s="1055" t="s">
        <v>7</v>
      </c>
      <c r="G493" s="1055" t="s">
        <v>1053</v>
      </c>
      <c r="H493" s="1056"/>
      <c r="I493" s="1057">
        <v>-239</v>
      </c>
      <c r="J493" s="1057">
        <v>-16</v>
      </c>
      <c r="K493" s="1057">
        <v>-255</v>
      </c>
      <c r="L493" s="655" t="str">
        <f t="shared" si="458"/>
        <v>4591@</v>
      </c>
      <c r="M493" s="656" t="str">
        <f t="shared" si="260"/>
        <v>REPARATION SOUS-LOC.-PEINT/DEB</v>
      </c>
      <c r="N493" s="657">
        <f>+IF(OR($Q493=Parametres!$G$2,$Q493=Parametres!$G$3),I493,C493)</f>
        <v>-239</v>
      </c>
      <c r="O493" s="657">
        <f>+IF(OR($Q493=Parametres!$G$2,$Q493=Parametres!$G$3),J493,D493)</f>
        <v>-16</v>
      </c>
      <c r="P493" s="657">
        <f>+IF(OR($Q493=Parametres!$G$2,$Q493=Parametres!$G$3),K493,E493)</f>
        <v>-255</v>
      </c>
      <c r="Q493" s="656" t="str">
        <f t="shared" ref="Q493:S493" si="501">+F493</f>
        <v>10-Compte compteur</v>
      </c>
      <c r="R493" s="655" t="str">
        <f t="shared" si="501"/>
        <v>4591</v>
      </c>
      <c r="S493" s="656">
        <f t="shared" si="501"/>
        <v>0</v>
      </c>
      <c r="T493" s="658" t="str">
        <f>+VLOOKUP($L493,Data_Validation!$A:$D,1,0)</f>
        <v>4591@</v>
      </c>
      <c r="U493" s="658" t="str">
        <f>+VLOOKUP($L493,Data_Validation!$A:$D,3,0)</f>
        <v>Carrosserie</v>
      </c>
      <c r="V493" s="658" t="str">
        <f>+VLOOKUP($L493,Data_Validation!$A:$D,4,0)</f>
        <v>M/O Sous-traitement</v>
      </c>
      <c r="W493" s="658" t="str">
        <f>+VLOOKUP($L493,Data_Validation!$A:$E,5,0)</f>
        <v>NB</v>
      </c>
      <c r="X493" s="658">
        <f>+VLOOKUP($L493,Data_Validation!$A:$F,6,0)</f>
        <v>0</v>
      </c>
    </row>
    <row r="494" spans="1:24" ht="15" customHeight="1">
      <c r="A494" s="1055" t="s">
        <v>1058</v>
      </c>
      <c r="B494" s="1055" t="s">
        <v>1059</v>
      </c>
      <c r="C494" s="1056"/>
      <c r="D494" s="1056"/>
      <c r="E494" s="1056"/>
      <c r="F494" s="1055" t="s">
        <v>7</v>
      </c>
      <c r="G494" s="1055" t="s">
        <v>1057</v>
      </c>
      <c r="H494" s="1056"/>
      <c r="I494" s="1057">
        <v>-277</v>
      </c>
      <c r="J494" s="1057">
        <v>-17</v>
      </c>
      <c r="K494" s="1057">
        <v>-294</v>
      </c>
      <c r="L494" s="655" t="str">
        <f t="shared" si="458"/>
        <v>4593@</v>
      </c>
      <c r="M494" s="656" t="str">
        <f t="shared" si="260"/>
        <v># DE VTE - S-TRAITANCE GAR.CARR.</v>
      </c>
      <c r="N494" s="657">
        <f>+IF(OR($Q494=Parametres!$G$2,$Q494=Parametres!$G$3),I494,C494)</f>
        <v>-277</v>
      </c>
      <c r="O494" s="657">
        <f>+IF(OR($Q494=Parametres!$G$2,$Q494=Parametres!$G$3),J494,D494)</f>
        <v>-17</v>
      </c>
      <c r="P494" s="657">
        <f>+IF(OR($Q494=Parametres!$G$2,$Q494=Parametres!$G$3),K494,E494)</f>
        <v>-294</v>
      </c>
      <c r="Q494" s="656" t="str">
        <f t="shared" ref="Q494:S494" si="502">+F494</f>
        <v>10-Compte compteur</v>
      </c>
      <c r="R494" s="655" t="str">
        <f t="shared" si="502"/>
        <v>4593</v>
      </c>
      <c r="S494" s="656">
        <f t="shared" si="502"/>
        <v>0</v>
      </c>
      <c r="T494" s="658" t="str">
        <f>+VLOOKUP($L494,Data_Validation!$A:$D,1,0)</f>
        <v>4593@</v>
      </c>
      <c r="U494" s="658" t="str">
        <f>+VLOOKUP($L494,Data_Validation!$A:$D,3,0)</f>
        <v>Carrosserie</v>
      </c>
      <c r="V494" s="658" t="str">
        <f>+VLOOKUP($L494,Data_Validation!$A:$D,4,0)</f>
        <v>M/O Sous-traitement</v>
      </c>
      <c r="W494" s="658" t="str">
        <f>+VLOOKUP($L494,Data_Validation!$A:$E,5,0)</f>
        <v>NB</v>
      </c>
      <c r="X494" s="658">
        <f>+VLOOKUP($L494,Data_Validation!$A:$F,6,0)</f>
        <v>0</v>
      </c>
    </row>
    <row r="495" spans="1:24" ht="15.75" customHeight="1">
      <c r="A495" s="1055" t="s">
        <v>1062</v>
      </c>
      <c r="B495" s="1055" t="s">
        <v>1063</v>
      </c>
      <c r="C495" s="1056"/>
      <c r="D495" s="1056"/>
      <c r="E495" s="1056"/>
      <c r="F495" s="1055" t="s">
        <v>7</v>
      </c>
      <c r="G495" s="1055" t="s">
        <v>1061</v>
      </c>
      <c r="H495" s="1056"/>
      <c r="I495" s="1057">
        <v>-147</v>
      </c>
      <c r="J495" s="1057">
        <v>-8</v>
      </c>
      <c r="K495" s="1057">
        <v>-155</v>
      </c>
      <c r="L495" s="655" t="str">
        <f t="shared" si="458"/>
        <v>4595@</v>
      </c>
      <c r="M495" s="656" t="str">
        <f t="shared" si="260"/>
        <v># DE VTE - S-TRAIT.INTERNE CARR.</v>
      </c>
      <c r="N495" s="657">
        <f>+IF(OR($Q495=Parametres!$G$2,$Q495=Parametres!$G$3),I495,C495)</f>
        <v>-147</v>
      </c>
      <c r="O495" s="657">
        <f>+IF(OR($Q495=Parametres!$G$2,$Q495=Parametres!$G$3),J495,D495)</f>
        <v>-8</v>
      </c>
      <c r="P495" s="657">
        <f>+IF(OR($Q495=Parametres!$G$2,$Q495=Parametres!$G$3),K495,E495)</f>
        <v>-155</v>
      </c>
      <c r="Q495" s="656" t="str">
        <f t="shared" ref="Q495:S495" si="503">+F495</f>
        <v>10-Compte compteur</v>
      </c>
      <c r="R495" s="655" t="str">
        <f t="shared" si="503"/>
        <v>4595</v>
      </c>
      <c r="S495" s="656">
        <f t="shared" si="503"/>
        <v>0</v>
      </c>
      <c r="T495" s="658" t="str">
        <f>+VLOOKUP($L495,Data_Validation!$A:$D,1,0)</f>
        <v>4595@</v>
      </c>
      <c r="U495" s="658" t="str">
        <f>+VLOOKUP($L495,Data_Validation!$A:$D,3,0)</f>
        <v>Carrosserie</v>
      </c>
      <c r="V495" s="658" t="str">
        <f>+VLOOKUP($L495,Data_Validation!$A:$D,4,0)</f>
        <v>M/O Sous-traitement</v>
      </c>
      <c r="W495" s="658" t="str">
        <f>+VLOOKUP($L495,Data_Validation!$A:$E,5,0)</f>
        <v>NB</v>
      </c>
      <c r="X495" s="658">
        <f>+VLOOKUP($L495,Data_Validation!$A:$F,6,0)</f>
        <v>0</v>
      </c>
    </row>
    <row r="496" spans="1:24" ht="15" customHeight="1">
      <c r="A496" s="1055" t="s">
        <v>3678</v>
      </c>
      <c r="B496" s="1055" t="s">
        <v>1067</v>
      </c>
      <c r="C496" s="1056"/>
      <c r="D496" s="1056"/>
      <c r="E496" s="1056"/>
      <c r="F496" s="1055" t="s">
        <v>7</v>
      </c>
      <c r="G496" s="1055" t="s">
        <v>1065</v>
      </c>
      <c r="H496" s="1056"/>
      <c r="I496" s="1057">
        <v>-5061</v>
      </c>
      <c r="J496" s="1057">
        <v>-333</v>
      </c>
      <c r="K496" s="1057">
        <v>-5394</v>
      </c>
      <c r="L496" s="655" t="str">
        <f t="shared" si="458"/>
        <v>4701@</v>
      </c>
      <c r="M496" s="656" t="str">
        <f t="shared" si="260"/>
        <v>VW P&amp;A - BR - CLIENT - MCI</v>
      </c>
      <c r="N496" s="657">
        <f>+IF(OR($Q496=Parametres!$G$2,$Q496=Parametres!$G$3),I496,C496)</f>
        <v>-5061</v>
      </c>
      <c r="O496" s="657">
        <f>+IF(OR($Q496=Parametres!$G$2,$Q496=Parametres!$G$3),J496,D496)</f>
        <v>-333</v>
      </c>
      <c r="P496" s="657">
        <f>+IF(OR($Q496=Parametres!$G$2,$Q496=Parametres!$G$3),K496,E496)</f>
        <v>-5394</v>
      </c>
      <c r="Q496" s="656" t="str">
        <f t="shared" ref="Q496:S496" si="504">+F496</f>
        <v>10-Compte compteur</v>
      </c>
      <c r="R496" s="655" t="str">
        <f t="shared" si="504"/>
        <v>4701</v>
      </c>
      <c r="S496" s="656">
        <f t="shared" si="504"/>
        <v>0</v>
      </c>
      <c r="T496" s="658" t="str">
        <f>+VLOOKUP($L496,Data_Validation!$A:$D,1,0)</f>
        <v>4701@</v>
      </c>
      <c r="U496" s="658" t="str">
        <f>+VLOOKUP($L496,Data_Validation!$A:$D,3,0)</f>
        <v>Pièces</v>
      </c>
      <c r="V496" s="658" t="str">
        <f>+VLOOKUP($L496,Data_Validation!$A:$D,4,0)</f>
        <v>Pièces Ro Clients</v>
      </c>
      <c r="W496" s="658" t="str">
        <f>+VLOOKUP($L496,Data_Validation!$A:$E,5,0)</f>
        <v>NB</v>
      </c>
      <c r="X496" s="658">
        <f>+VLOOKUP($L496,Data_Validation!$A:$F,6,0)</f>
        <v>0</v>
      </c>
    </row>
    <row r="497" spans="1:24" ht="15" customHeight="1">
      <c r="A497" s="1055" t="s">
        <v>3679</v>
      </c>
      <c r="B497" s="1055" t="s">
        <v>1073</v>
      </c>
      <c r="C497" s="1056"/>
      <c r="D497" s="1056"/>
      <c r="E497" s="1056"/>
      <c r="F497" s="1055" t="s">
        <v>7</v>
      </c>
      <c r="G497" s="1055" t="s">
        <v>1071</v>
      </c>
      <c r="H497" s="1056"/>
      <c r="I497" s="1057">
        <v>-1417</v>
      </c>
      <c r="J497" s="1057">
        <v>-99</v>
      </c>
      <c r="K497" s="1057">
        <v>-1516</v>
      </c>
      <c r="L497" s="655" t="str">
        <f t="shared" si="458"/>
        <v>4703@</v>
      </c>
      <c r="M497" s="656" t="str">
        <f t="shared" si="260"/>
        <v>VW P&amp;A - BR - GARANTIE - MCI</v>
      </c>
      <c r="N497" s="657">
        <f>+IF(OR($Q497=Parametres!$G$2,$Q497=Parametres!$G$3),I497,C497)</f>
        <v>-1417</v>
      </c>
      <c r="O497" s="657">
        <f>+IF(OR($Q497=Parametres!$G$2,$Q497=Parametres!$G$3),J497,D497)</f>
        <v>-99</v>
      </c>
      <c r="P497" s="657">
        <f>+IF(OR($Q497=Parametres!$G$2,$Q497=Parametres!$G$3),K497,E497)</f>
        <v>-1516</v>
      </c>
      <c r="Q497" s="656" t="str">
        <f t="shared" ref="Q497:S497" si="505">+F497</f>
        <v>10-Compte compteur</v>
      </c>
      <c r="R497" s="655" t="str">
        <f t="shared" si="505"/>
        <v>4703</v>
      </c>
      <c r="S497" s="656">
        <f t="shared" si="505"/>
        <v>0</v>
      </c>
      <c r="T497" s="658" t="str">
        <f>+VLOOKUP($L497,Data_Validation!$A:$D,1,0)</f>
        <v>4703@</v>
      </c>
      <c r="U497" s="658" t="str">
        <f>+VLOOKUP($L497,Data_Validation!$A:$D,3,0)</f>
        <v>Pièces</v>
      </c>
      <c r="V497" s="658" t="str">
        <f>+VLOOKUP($L497,Data_Validation!$A:$D,4,0)</f>
        <v>P/A Garantie</v>
      </c>
      <c r="W497" s="658" t="str">
        <f>+VLOOKUP($L497,Data_Validation!$A:$E,5,0)</f>
        <v>NB</v>
      </c>
      <c r="X497" s="658">
        <f>+VLOOKUP($L497,Data_Validation!$A:$F,6,0)</f>
        <v>0</v>
      </c>
    </row>
    <row r="498" spans="1:24" ht="15" customHeight="1">
      <c r="A498" s="1055" t="s">
        <v>3680</v>
      </c>
      <c r="B498" s="1055" t="s">
        <v>1077</v>
      </c>
      <c r="C498" s="1056"/>
      <c r="D498" s="1056"/>
      <c r="E498" s="1056"/>
      <c r="F498" s="1055" t="s">
        <v>7</v>
      </c>
      <c r="G498" s="1055" t="s">
        <v>1075</v>
      </c>
      <c r="H498" s="1056"/>
      <c r="I498" s="1057">
        <v>-2298</v>
      </c>
      <c r="J498" s="1057">
        <v>-218</v>
      </c>
      <c r="K498" s="1057">
        <v>-2516</v>
      </c>
      <c r="L498" s="655" t="str">
        <f t="shared" si="458"/>
        <v>4705@</v>
      </c>
      <c r="M498" s="656" t="str">
        <f t="shared" si="260"/>
        <v>VW P&amp;A - BR - INTERNE - MCI</v>
      </c>
      <c r="N498" s="657">
        <f>+IF(OR($Q498=Parametres!$G$2,$Q498=Parametres!$G$3),I498,C498)</f>
        <v>-2298</v>
      </c>
      <c r="O498" s="657">
        <f>+IF(OR($Q498=Parametres!$G$2,$Q498=Parametres!$G$3),J498,D498)</f>
        <v>-218</v>
      </c>
      <c r="P498" s="657">
        <f>+IF(OR($Q498=Parametres!$G$2,$Q498=Parametres!$G$3),K498,E498)</f>
        <v>-2516</v>
      </c>
      <c r="Q498" s="656" t="str">
        <f t="shared" ref="Q498:S498" si="506">+F498</f>
        <v>10-Compte compteur</v>
      </c>
      <c r="R498" s="655" t="str">
        <f t="shared" si="506"/>
        <v>4705</v>
      </c>
      <c r="S498" s="656">
        <f t="shared" si="506"/>
        <v>0</v>
      </c>
      <c r="T498" s="658" t="str">
        <f>+VLOOKUP($L498,Data_Validation!$A:$D,1,0)</f>
        <v>4705@</v>
      </c>
      <c r="U498" s="658" t="str">
        <f>+VLOOKUP($L498,Data_Validation!$A:$D,3,0)</f>
        <v>Pièces</v>
      </c>
      <c r="V498" s="658" t="str">
        <f>+VLOOKUP($L498,Data_Validation!$A:$D,4,0)</f>
        <v>Ventes Internes</v>
      </c>
      <c r="W498" s="658" t="str">
        <f>+VLOOKUP($L498,Data_Validation!$A:$E,5,0)</f>
        <v>NB</v>
      </c>
      <c r="X498" s="658">
        <f>+VLOOKUP($L498,Data_Validation!$A:$F,6,0)</f>
        <v>0</v>
      </c>
    </row>
    <row r="499" spans="1:24" ht="15" customHeight="1">
      <c r="A499" s="1055" t="s">
        <v>1081</v>
      </c>
      <c r="B499" s="1055" t="s">
        <v>1082</v>
      </c>
      <c r="C499" s="1056"/>
      <c r="D499" s="1056"/>
      <c r="E499" s="1056"/>
      <c r="F499" s="1055" t="s">
        <v>7</v>
      </c>
      <c r="G499" s="1055" t="s">
        <v>1080</v>
      </c>
      <c r="H499" s="1056"/>
      <c r="I499" s="1057">
        <v>-1724</v>
      </c>
      <c r="J499" s="1057">
        <v>-135</v>
      </c>
      <c r="K499" s="1057">
        <v>-1859</v>
      </c>
      <c r="L499" s="655" t="str">
        <f t="shared" si="458"/>
        <v>4711@</v>
      </c>
      <c r="M499" s="656" t="str">
        <f t="shared" si="260"/>
        <v># DE VTE - P&amp;A B.T. CLIENT AUDI</v>
      </c>
      <c r="N499" s="657">
        <f>+IF(OR($Q499=Parametres!$G$2,$Q499=Parametres!$G$3),I499,C499)</f>
        <v>-1724</v>
      </c>
      <c r="O499" s="657">
        <f>+IF(OR($Q499=Parametres!$G$2,$Q499=Parametres!$G$3),J499,D499)</f>
        <v>-135</v>
      </c>
      <c r="P499" s="657">
        <f>+IF(OR($Q499=Parametres!$G$2,$Q499=Parametres!$G$3),K499,E499)</f>
        <v>-1859</v>
      </c>
      <c r="Q499" s="656" t="str">
        <f t="shared" ref="Q499:S499" si="507">+F499</f>
        <v>10-Compte compteur</v>
      </c>
      <c r="R499" s="655" t="str">
        <f t="shared" si="507"/>
        <v>84711</v>
      </c>
      <c r="S499" s="656">
        <f t="shared" si="507"/>
        <v>0</v>
      </c>
      <c r="T499" s="658" t="str">
        <f>+VLOOKUP($L499,Data_Validation!$A:$D,1,0)</f>
        <v>4711@</v>
      </c>
      <c r="U499" s="658" t="str">
        <f>+VLOOKUP($L499,Data_Validation!$A:$D,3,0)</f>
        <v>Pièces</v>
      </c>
      <c r="V499" s="658" t="str">
        <f>+VLOOKUP($L499,Data_Validation!$A:$D,4,0)</f>
        <v>Pièces Ro Clients</v>
      </c>
      <c r="W499" s="658" t="str">
        <f>+VLOOKUP($L499,Data_Validation!$A:$E,5,0)</f>
        <v>NB</v>
      </c>
      <c r="X499" s="658">
        <f>+VLOOKUP($L499,Data_Validation!$A:$F,6,0)</f>
        <v>0</v>
      </c>
    </row>
    <row r="500" spans="1:24" ht="15.75" customHeight="1">
      <c r="A500" s="1055" t="s">
        <v>1084</v>
      </c>
      <c r="B500" s="1055" t="s">
        <v>1085</v>
      </c>
      <c r="C500" s="1056"/>
      <c r="D500" s="1056"/>
      <c r="E500" s="1056"/>
      <c r="F500" s="1055" t="s">
        <v>7</v>
      </c>
      <c r="G500" s="1055" t="s">
        <v>1086</v>
      </c>
      <c r="H500" s="1056"/>
      <c r="I500" s="1057">
        <v>-2</v>
      </c>
      <c r="J500" s="1057">
        <v>0</v>
      </c>
      <c r="K500" s="1057">
        <v>-2</v>
      </c>
      <c r="L500" s="655" t="str">
        <f t="shared" si="458"/>
        <v>4715@</v>
      </c>
      <c r="M500" s="656" t="str">
        <f t="shared" si="260"/>
        <v># DE VTE - P&amp;A B.T. INTERNE AUDI</v>
      </c>
      <c r="N500" s="657">
        <f>+IF(OR($Q500=Parametres!$G$2,$Q500=Parametres!$G$3),I500,C500)</f>
        <v>-2</v>
      </c>
      <c r="O500" s="657">
        <f>+IF(OR($Q500=Parametres!$G$2,$Q500=Parametres!$G$3),J500,D500)</f>
        <v>0</v>
      </c>
      <c r="P500" s="657">
        <f>+IF(OR($Q500=Parametres!$G$2,$Q500=Parametres!$G$3),K500,E500)</f>
        <v>-2</v>
      </c>
      <c r="Q500" s="656" t="str">
        <f t="shared" ref="Q500:S500" si="508">+F500</f>
        <v>10-Compte compteur</v>
      </c>
      <c r="R500" s="655" t="str">
        <f t="shared" si="508"/>
        <v>84715</v>
      </c>
      <c r="S500" s="656">
        <f t="shared" si="508"/>
        <v>0</v>
      </c>
      <c r="T500" s="658" t="str">
        <f>+VLOOKUP($L500,Data_Validation!$A:$D,1,0)</f>
        <v>4715@</v>
      </c>
      <c r="U500" s="658" t="str">
        <f>+VLOOKUP($L500,Data_Validation!$A:$D,3,0)</f>
        <v>Pièces</v>
      </c>
      <c r="V500" s="658" t="str">
        <f>+VLOOKUP($L500,Data_Validation!$A:$D,4,0)</f>
        <v>Ventes Internes</v>
      </c>
      <c r="W500" s="658" t="str">
        <f>+VLOOKUP($L500,Data_Validation!$A:$E,5,0)</f>
        <v>NB</v>
      </c>
      <c r="X500" s="658">
        <f>+VLOOKUP($L500,Data_Validation!$A:$F,6,0)</f>
        <v>0</v>
      </c>
    </row>
    <row r="501" spans="1:24" ht="15" customHeight="1">
      <c r="A501" s="1055" t="s">
        <v>1089</v>
      </c>
      <c r="B501" s="1055" t="s">
        <v>1090</v>
      </c>
      <c r="C501" s="1056"/>
      <c r="D501" s="1056"/>
      <c r="E501" s="1056"/>
      <c r="F501" s="1055" t="s">
        <v>7</v>
      </c>
      <c r="G501" s="1055" t="s">
        <v>1088</v>
      </c>
      <c r="H501" s="1056"/>
      <c r="I501" s="1057">
        <v>-100</v>
      </c>
      <c r="J501" s="1057">
        <v>-8</v>
      </c>
      <c r="K501" s="1057">
        <v>-108</v>
      </c>
      <c r="L501" s="655" t="str">
        <f t="shared" si="458"/>
        <v>4731@</v>
      </c>
      <c r="M501" s="656" t="str">
        <f t="shared" si="260"/>
        <v>PIECES-BON REPAR. PEINT/DEBOS</v>
      </c>
      <c r="N501" s="657">
        <f>+IF(OR($Q501=Parametres!$G$2,$Q501=Parametres!$G$3),I501,C501)</f>
        <v>-100</v>
      </c>
      <c r="O501" s="657">
        <f>+IF(OR($Q501=Parametres!$G$2,$Q501=Parametres!$G$3),J501,D501)</f>
        <v>-8</v>
      </c>
      <c r="P501" s="657">
        <f>+IF(OR($Q501=Parametres!$G$2,$Q501=Parametres!$G$3),K501,E501)</f>
        <v>-108</v>
      </c>
      <c r="Q501" s="656" t="str">
        <f t="shared" ref="Q501:S501" si="509">+F501</f>
        <v>10-Compte compteur</v>
      </c>
      <c r="R501" s="655" t="str">
        <f t="shared" si="509"/>
        <v>4731</v>
      </c>
      <c r="S501" s="656">
        <f t="shared" si="509"/>
        <v>0</v>
      </c>
      <c r="T501" s="658" t="str">
        <f>+VLOOKUP($L501,Data_Validation!$A:$D,1,0)</f>
        <v>4731@</v>
      </c>
      <c r="U501" s="658" t="str">
        <f>+VLOOKUP($L501,Data_Validation!$A:$D,3,0)</f>
        <v>Pièces</v>
      </c>
      <c r="V501" s="658" t="str">
        <f>+VLOOKUP($L501,Data_Validation!$A:$D,4,0)</f>
        <v>Pièces Ro Carrosserie</v>
      </c>
      <c r="W501" s="658" t="str">
        <f>+VLOOKUP($L501,Data_Validation!$A:$E,5,0)</f>
        <v>NB</v>
      </c>
      <c r="X501" s="658">
        <f>+VLOOKUP($L501,Data_Validation!$A:$F,6,0)</f>
        <v>0</v>
      </c>
    </row>
    <row r="502" spans="1:24" ht="15" customHeight="1">
      <c r="A502" s="1055" t="s">
        <v>1093</v>
      </c>
      <c r="B502" s="1055" t="s">
        <v>1094</v>
      </c>
      <c r="C502" s="1056"/>
      <c r="D502" s="1056"/>
      <c r="E502" s="1056"/>
      <c r="F502" s="1055" t="s">
        <v>7</v>
      </c>
      <c r="G502" s="1055" t="s">
        <v>1092</v>
      </c>
      <c r="H502" s="1056"/>
      <c r="I502" s="1057">
        <v>-227</v>
      </c>
      <c r="J502" s="1057">
        <v>-15</v>
      </c>
      <c r="K502" s="1057">
        <v>-242</v>
      </c>
      <c r="L502" s="655" t="str">
        <f t="shared" si="458"/>
        <v>4733@</v>
      </c>
      <c r="M502" s="656" t="str">
        <f t="shared" si="260"/>
        <v># DE VTE - P&amp;A B.T. GARANTIE CARR.</v>
      </c>
      <c r="N502" s="657">
        <f>+IF(OR($Q502=Parametres!$G$2,$Q502=Parametres!$G$3),I502,C502)</f>
        <v>-227</v>
      </c>
      <c r="O502" s="657">
        <f>+IF(OR($Q502=Parametres!$G$2,$Q502=Parametres!$G$3),J502,D502)</f>
        <v>-15</v>
      </c>
      <c r="P502" s="657">
        <f>+IF(OR($Q502=Parametres!$G$2,$Q502=Parametres!$G$3),K502,E502)</f>
        <v>-242</v>
      </c>
      <c r="Q502" s="656" t="str">
        <f t="shared" ref="Q502:S502" si="510">+F502</f>
        <v>10-Compte compteur</v>
      </c>
      <c r="R502" s="655" t="str">
        <f t="shared" si="510"/>
        <v>4733</v>
      </c>
      <c r="S502" s="656">
        <f t="shared" si="510"/>
        <v>0</v>
      </c>
      <c r="T502" s="658" t="str">
        <f>+VLOOKUP($L502,Data_Validation!$A:$D,1,0)</f>
        <v>4733@</v>
      </c>
      <c r="U502" s="658" t="str">
        <f>+VLOOKUP($L502,Data_Validation!$A:$D,3,0)</f>
        <v>Pièces</v>
      </c>
      <c r="V502" s="658" t="str">
        <f>+VLOOKUP($L502,Data_Validation!$A:$D,4,0)</f>
        <v>Pièces Ro Carrosserie</v>
      </c>
      <c r="W502" s="658" t="str">
        <f>+VLOOKUP($L502,Data_Validation!$A:$E,5,0)</f>
        <v>NB</v>
      </c>
      <c r="X502" s="658">
        <f>+VLOOKUP($L502,Data_Validation!$A:$F,6,0)</f>
        <v>0</v>
      </c>
    </row>
    <row r="503" spans="1:24" ht="15" customHeight="1">
      <c r="A503" s="1055" t="s">
        <v>1097</v>
      </c>
      <c r="B503" s="1055" t="s">
        <v>1098</v>
      </c>
      <c r="C503" s="1056"/>
      <c r="D503" s="1056"/>
      <c r="E503" s="1056"/>
      <c r="F503" s="1055" t="s">
        <v>7</v>
      </c>
      <c r="G503" s="1055" t="s">
        <v>1096</v>
      </c>
      <c r="H503" s="1056"/>
      <c r="I503" s="1057">
        <v>-53</v>
      </c>
      <c r="J503" s="1057">
        <v>-2</v>
      </c>
      <c r="K503" s="1057">
        <v>-55</v>
      </c>
      <c r="L503" s="655" t="str">
        <f t="shared" si="458"/>
        <v>4735@</v>
      </c>
      <c r="M503" s="656" t="str">
        <f t="shared" si="260"/>
        <v># DE VTE - P&amp;A B.T. INTERNE CARROS.</v>
      </c>
      <c r="N503" s="657">
        <f>+IF(OR($Q503=Parametres!$G$2,$Q503=Parametres!$G$3),I503,C503)</f>
        <v>-53</v>
      </c>
      <c r="O503" s="657">
        <f>+IF(OR($Q503=Parametres!$G$2,$Q503=Parametres!$G$3),J503,D503)</f>
        <v>-2</v>
      </c>
      <c r="P503" s="657">
        <f>+IF(OR($Q503=Parametres!$G$2,$Q503=Parametres!$G$3),K503,E503)</f>
        <v>-55</v>
      </c>
      <c r="Q503" s="656" t="str">
        <f t="shared" ref="Q503:S503" si="511">+F503</f>
        <v>10-Compte compteur</v>
      </c>
      <c r="R503" s="655" t="str">
        <f t="shared" si="511"/>
        <v>4735</v>
      </c>
      <c r="S503" s="656">
        <f t="shared" si="511"/>
        <v>0</v>
      </c>
      <c r="T503" s="658" t="str">
        <f>+VLOOKUP($L503,Data_Validation!$A:$D,1,0)</f>
        <v>4735@</v>
      </c>
      <c r="U503" s="658" t="str">
        <f>+VLOOKUP($L503,Data_Validation!$A:$D,3,0)</f>
        <v>Pièces</v>
      </c>
      <c r="V503" s="658" t="str">
        <f>+VLOOKUP($L503,Data_Validation!$A:$D,4,0)</f>
        <v>Pièces Ro Carrosserie</v>
      </c>
      <c r="W503" s="658" t="str">
        <f>+VLOOKUP($L503,Data_Validation!$A:$E,5,0)</f>
        <v>NB</v>
      </c>
      <c r="X503" s="658">
        <f>+VLOOKUP($L503,Data_Validation!$A:$F,6,0)</f>
        <v>0</v>
      </c>
    </row>
    <row r="504" spans="1:24" ht="15" customHeight="1">
      <c r="A504" s="1055" t="s">
        <v>1101</v>
      </c>
      <c r="B504" s="1055" t="s">
        <v>1102</v>
      </c>
      <c r="C504" s="1056"/>
      <c r="D504" s="1056"/>
      <c r="E504" s="1056"/>
      <c r="F504" s="1055" t="s">
        <v>7</v>
      </c>
      <c r="G504" s="1055" t="s">
        <v>1100</v>
      </c>
      <c r="H504" s="1056"/>
      <c r="I504" s="1057">
        <v>-1831</v>
      </c>
      <c r="J504" s="1057">
        <v>-153</v>
      </c>
      <c r="K504" s="1057">
        <v>-1984</v>
      </c>
      <c r="L504" s="655" t="str">
        <f t="shared" si="458"/>
        <v>4761@</v>
      </c>
      <c r="M504" s="656" t="str">
        <f t="shared" si="260"/>
        <v>PIECES-COMPTOIR-DETAIL</v>
      </c>
      <c r="N504" s="657">
        <f>+IF(OR($Q504=Parametres!$G$2,$Q504=Parametres!$G$3),I504,C504)</f>
        <v>-1831</v>
      </c>
      <c r="O504" s="657">
        <f>+IF(OR($Q504=Parametres!$G$2,$Q504=Parametres!$G$3),J504,D504)</f>
        <v>-153</v>
      </c>
      <c r="P504" s="657">
        <f>+IF(OR($Q504=Parametres!$G$2,$Q504=Parametres!$G$3),K504,E504)</f>
        <v>-1984</v>
      </c>
      <c r="Q504" s="656" t="str">
        <f t="shared" ref="Q504:S504" si="512">+F504</f>
        <v>10-Compte compteur</v>
      </c>
      <c r="R504" s="655" t="str">
        <f t="shared" si="512"/>
        <v>4761</v>
      </c>
      <c r="S504" s="656">
        <f t="shared" si="512"/>
        <v>0</v>
      </c>
      <c r="T504" s="658" t="str">
        <f>+VLOOKUP($L504,Data_Validation!$A:$D,1,0)</f>
        <v>4761@</v>
      </c>
      <c r="U504" s="658" t="str">
        <f>+VLOOKUP($L504,Data_Validation!$A:$D,3,0)</f>
        <v>Pièces</v>
      </c>
      <c r="V504" s="658" t="str">
        <f>+VLOOKUP($L504,Data_Validation!$A:$D,4,0)</f>
        <v>Ventes Détails</v>
      </c>
      <c r="W504" s="658" t="str">
        <f>+VLOOKUP($L504,Data_Validation!$A:$E,5,0)</f>
        <v>NB</v>
      </c>
      <c r="X504" s="658">
        <f>+VLOOKUP($L504,Data_Validation!$A:$F,6,0)</f>
        <v>0</v>
      </c>
    </row>
    <row r="505" spans="1:24" ht="15.75" customHeight="1">
      <c r="A505" s="1055" t="s">
        <v>1105</v>
      </c>
      <c r="B505" s="1055" t="s">
        <v>1106</v>
      </c>
      <c r="C505" s="1056"/>
      <c r="D505" s="1056"/>
      <c r="E505" s="1056"/>
      <c r="F505" s="1055" t="s">
        <v>7</v>
      </c>
      <c r="G505" s="1055" t="s">
        <v>1104</v>
      </c>
      <c r="H505" s="1056"/>
      <c r="I505" s="1057">
        <v>-3151</v>
      </c>
      <c r="J505" s="1057">
        <v>-267</v>
      </c>
      <c r="K505" s="1057">
        <v>-3418</v>
      </c>
      <c r="L505" s="655" t="str">
        <f t="shared" si="458"/>
        <v>4763@</v>
      </c>
      <c r="M505" s="656" t="str">
        <f t="shared" si="260"/>
        <v>PIECES-COMPTOIR-COMM. GROS</v>
      </c>
      <c r="N505" s="657">
        <f>+IF(OR($Q505=Parametres!$G$2,$Q505=Parametres!$G$3),I505,C505)</f>
        <v>-3151</v>
      </c>
      <c r="O505" s="657">
        <f>+IF(OR($Q505=Parametres!$G$2,$Q505=Parametres!$G$3),J505,D505)</f>
        <v>-267</v>
      </c>
      <c r="P505" s="657">
        <f>+IF(OR($Q505=Parametres!$G$2,$Q505=Parametres!$G$3),K505,E505)</f>
        <v>-3418</v>
      </c>
      <c r="Q505" s="656" t="str">
        <f t="shared" ref="Q505:S505" si="513">+F505</f>
        <v>10-Compte compteur</v>
      </c>
      <c r="R505" s="655" t="str">
        <f t="shared" si="513"/>
        <v>4763</v>
      </c>
      <c r="S505" s="656">
        <f t="shared" si="513"/>
        <v>0</v>
      </c>
      <c r="T505" s="658" t="str">
        <f>+VLOOKUP($L505,Data_Validation!$A:$D,1,0)</f>
        <v>4763@</v>
      </c>
      <c r="U505" s="658" t="str">
        <f>+VLOOKUP($L505,Data_Validation!$A:$D,3,0)</f>
        <v>Pièces</v>
      </c>
      <c r="V505" s="658" t="str">
        <f>+VLOOKUP($L505,Data_Validation!$A:$D,4,0)</f>
        <v>Ventes de Gros</v>
      </c>
      <c r="W505" s="658" t="str">
        <f>+VLOOKUP($L505,Data_Validation!$A:$E,5,0)</f>
        <v>NB</v>
      </c>
      <c r="X505" s="658">
        <f>+VLOOKUP($L505,Data_Validation!$A:$F,6,0)</f>
        <v>0</v>
      </c>
    </row>
    <row r="506" spans="1:24" ht="15" customHeight="1">
      <c r="A506" s="1055" t="s">
        <v>1107</v>
      </c>
      <c r="B506" s="1055" t="s">
        <v>1109</v>
      </c>
      <c r="C506" s="1056"/>
      <c r="D506" s="1056"/>
      <c r="E506" s="1056"/>
      <c r="F506" s="1055" t="s">
        <v>7</v>
      </c>
      <c r="G506" s="1055" t="s">
        <v>1108</v>
      </c>
      <c r="H506" s="1056"/>
      <c r="I506" s="1057">
        <v>-521</v>
      </c>
      <c r="J506" s="1057">
        <v>-46</v>
      </c>
      <c r="K506" s="1057">
        <v>-567</v>
      </c>
      <c r="L506" s="655" t="str">
        <f t="shared" si="458"/>
        <v>4781@</v>
      </c>
      <c r="M506" s="656" t="str">
        <f t="shared" si="260"/>
        <v>VENTES PNEUS</v>
      </c>
      <c r="N506" s="657">
        <f>+IF(OR($Q506=Parametres!$G$2,$Q506=Parametres!$G$3),I506,C506)</f>
        <v>-521</v>
      </c>
      <c r="O506" s="657">
        <f>+IF(OR($Q506=Parametres!$G$2,$Q506=Parametres!$G$3),J506,D506)</f>
        <v>-46</v>
      </c>
      <c r="P506" s="657">
        <f>+IF(OR($Q506=Parametres!$G$2,$Q506=Parametres!$G$3),K506,E506)</f>
        <v>-567</v>
      </c>
      <c r="Q506" s="656" t="str">
        <f t="shared" ref="Q506:S506" si="514">+F506</f>
        <v>10-Compte compteur</v>
      </c>
      <c r="R506" s="655" t="str">
        <f t="shared" si="514"/>
        <v>4781</v>
      </c>
      <c r="S506" s="656">
        <f t="shared" si="514"/>
        <v>0</v>
      </c>
      <c r="T506" s="658" t="str">
        <f>+VLOOKUP($L506,Data_Validation!$A:$D,1,0)</f>
        <v>4781@</v>
      </c>
      <c r="U506" s="658" t="str">
        <f>+VLOOKUP($L506,Data_Validation!$A:$D,3,0)</f>
        <v>Pièces</v>
      </c>
      <c r="V506" s="658" t="str">
        <f>+VLOOKUP($L506,Data_Validation!$A:$D,4,0)</f>
        <v>Ventes Pneus</v>
      </c>
      <c r="W506" s="658" t="str">
        <f>+VLOOKUP($L506,Data_Validation!$A:$E,5,0)</f>
        <v>NB</v>
      </c>
      <c r="X506" s="658">
        <f>+VLOOKUP($L506,Data_Validation!$A:$F,6,0)</f>
        <v>0</v>
      </c>
    </row>
    <row r="507" spans="1:24" ht="15" customHeight="1">
      <c r="A507" s="1055" t="s">
        <v>1294</v>
      </c>
      <c r="B507" s="1055" t="s">
        <v>1295</v>
      </c>
      <c r="C507" s="1056"/>
      <c r="D507" s="1056"/>
      <c r="E507" s="1056"/>
      <c r="F507" s="1055" t="s">
        <v>7</v>
      </c>
      <c r="G507" s="1055" t="s">
        <v>1293</v>
      </c>
      <c r="H507" s="1056"/>
      <c r="I507" s="1057">
        <v>-50</v>
      </c>
      <c r="J507" s="1057">
        <v>0</v>
      </c>
      <c r="K507" s="1057">
        <v>-50</v>
      </c>
      <c r="L507" s="655" t="str">
        <f t="shared" si="458"/>
        <v>9161@</v>
      </c>
      <c r="M507" s="656" t="str">
        <f t="shared" si="260"/>
        <v>REV FINANCE ET ASS NEUF</v>
      </c>
      <c r="N507" s="657">
        <f>+IF(OR($Q507=Parametres!$G$2,$Q507=Parametres!$G$3),I507,C507)</f>
        <v>-50</v>
      </c>
      <c r="O507" s="657">
        <f>+IF(OR($Q507=Parametres!$G$2,$Q507=Parametres!$G$3),J507,D507)</f>
        <v>0</v>
      </c>
      <c r="P507" s="657">
        <f>+IF(OR($Q507=Parametres!$G$2,$Q507=Parametres!$G$3),K507,E507)</f>
        <v>-50</v>
      </c>
      <c r="Q507" s="656" t="str">
        <f t="shared" ref="Q507:S507" si="515">+F507</f>
        <v>10-Compte compteur</v>
      </c>
      <c r="R507" s="655" t="str">
        <f t="shared" si="515"/>
        <v>9161</v>
      </c>
      <c r="S507" s="656">
        <f t="shared" si="515"/>
        <v>0</v>
      </c>
      <c r="T507" s="658" t="str">
        <f>+VLOOKUP($L507,Data_Validation!$A:$D,1,0)</f>
        <v>9161@</v>
      </c>
      <c r="U507" s="658" t="str">
        <f>+VLOOKUP($L507,Data_Validation!$A:$D,3,0)</f>
        <v>Véhicules neufs</v>
      </c>
      <c r="V507" s="658">
        <f>+VLOOKUP($L507,Data_Validation!$A:$D,4,0)</f>
        <v>0</v>
      </c>
      <c r="W507" s="658" t="str">
        <f>+VLOOKUP($L507,Data_Validation!$A:$E,5,0)</f>
        <v>NB</v>
      </c>
      <c r="X507" s="658">
        <f>+VLOOKUP($L507,Data_Validation!$A:$F,6,0)</f>
        <v>0</v>
      </c>
    </row>
    <row r="508" spans="1:24" ht="15" customHeight="1">
      <c r="A508" s="1055" t="s">
        <v>1296</v>
      </c>
      <c r="B508" s="1055" t="s">
        <v>1298</v>
      </c>
      <c r="C508" s="1056"/>
      <c r="D508" s="1056"/>
      <c r="E508" s="1056"/>
      <c r="F508" s="1055" t="s">
        <v>7</v>
      </c>
      <c r="G508" s="1055" t="s">
        <v>1297</v>
      </c>
      <c r="H508" s="1056"/>
      <c r="I508" s="1057">
        <v>-233</v>
      </c>
      <c r="J508" s="1057">
        <v>-11</v>
      </c>
      <c r="K508" s="1057">
        <v>-244</v>
      </c>
      <c r="L508" s="655" t="str">
        <f t="shared" si="458"/>
        <v>9163@</v>
      </c>
      <c r="M508" s="656" t="str">
        <f t="shared" si="260"/>
        <v>RESERVE FIN ET ASS VEH OCCASION</v>
      </c>
      <c r="N508" s="657">
        <f>+IF(OR($Q508=Parametres!$G$2,$Q508=Parametres!$G$3),I508,C508)</f>
        <v>-233</v>
      </c>
      <c r="O508" s="657">
        <f>+IF(OR($Q508=Parametres!$G$2,$Q508=Parametres!$G$3),J508,D508)</f>
        <v>-11</v>
      </c>
      <c r="P508" s="657">
        <f>+IF(OR($Q508=Parametres!$G$2,$Q508=Parametres!$G$3),K508,E508)</f>
        <v>-244</v>
      </c>
      <c r="Q508" s="656" t="str">
        <f t="shared" ref="Q508:S508" si="516">+F508</f>
        <v>10-Compte compteur</v>
      </c>
      <c r="R508" s="655" t="str">
        <f t="shared" si="516"/>
        <v>9163</v>
      </c>
      <c r="S508" s="656">
        <f t="shared" si="516"/>
        <v>0</v>
      </c>
      <c r="T508" s="658" t="str">
        <f>+VLOOKUP($L508,Data_Validation!$A:$D,1,0)</f>
        <v>9163@</v>
      </c>
      <c r="U508" s="658" t="str">
        <f>+VLOOKUP($L508,Data_Validation!$A:$D,3,0)</f>
        <v>Véhicules usagés</v>
      </c>
      <c r="V508" s="658">
        <f>+VLOOKUP($L508,Data_Validation!$A:$D,4,0)</f>
        <v>0</v>
      </c>
      <c r="W508" s="658" t="str">
        <f>+VLOOKUP($L508,Data_Validation!$A:$E,5,0)</f>
        <v>NB</v>
      </c>
      <c r="X508" s="658">
        <f>+VLOOKUP($L508,Data_Validation!$A:$F,6,0)</f>
        <v>0</v>
      </c>
    </row>
    <row r="509" spans="1:24" ht="15.75" customHeight="1">
      <c r="A509" s="1055" t="s">
        <v>1309</v>
      </c>
      <c r="B509" s="1055" t="s">
        <v>1310</v>
      </c>
      <c r="C509" s="1056"/>
      <c r="D509" s="1056"/>
      <c r="E509" s="1056"/>
      <c r="F509" s="1055" t="s">
        <v>7</v>
      </c>
      <c r="G509" s="1055" t="s">
        <v>1297</v>
      </c>
      <c r="H509" s="1056"/>
      <c r="I509" s="1057">
        <v>-335</v>
      </c>
      <c r="J509" s="1057">
        <v>-25</v>
      </c>
      <c r="K509" s="1057">
        <v>-360</v>
      </c>
      <c r="L509" s="655" t="str">
        <f t="shared" si="458"/>
        <v>9172@</v>
      </c>
      <c r="M509" s="656" t="str">
        <f t="shared" si="260"/>
        <v># DE PROFIT PROTECTIONS - USAGES</v>
      </c>
      <c r="N509" s="657">
        <f>+IF(OR($Q509=Parametres!$G$2,$Q509=Parametres!$G$3),I509,C509)</f>
        <v>-335</v>
      </c>
      <c r="O509" s="657">
        <f>+IF(OR($Q509=Parametres!$G$2,$Q509=Parametres!$G$3),J509,D509)</f>
        <v>-25</v>
      </c>
      <c r="P509" s="657">
        <f>+IF(OR($Q509=Parametres!$G$2,$Q509=Parametres!$G$3),K509,E509)</f>
        <v>-360</v>
      </c>
      <c r="Q509" s="656" t="str">
        <f t="shared" ref="Q509:S509" si="517">+F509</f>
        <v>10-Compte compteur</v>
      </c>
      <c r="R509" s="655" t="str">
        <f t="shared" si="517"/>
        <v>9163</v>
      </c>
      <c r="S509" s="656">
        <f t="shared" si="517"/>
        <v>0</v>
      </c>
      <c r="T509" s="658" t="str">
        <f>+VLOOKUP($L509,Data_Validation!$A:$D,1,0)</f>
        <v>9172@</v>
      </c>
      <c r="U509" s="658" t="str">
        <f>+VLOOKUP($L509,Data_Validation!$A:$D,3,0)</f>
        <v>Véhicules usagés</v>
      </c>
      <c r="V509" s="658">
        <f>+VLOOKUP($L509,Data_Validation!$A:$D,4,0)</f>
        <v>0</v>
      </c>
      <c r="W509" s="658" t="str">
        <f>+VLOOKUP($L509,Data_Validation!$A:$E,5,0)</f>
        <v>NB</v>
      </c>
      <c r="X509" s="658">
        <f>+VLOOKUP($L509,Data_Validation!$A:$F,6,0)</f>
        <v>0</v>
      </c>
    </row>
    <row r="510" spans="1:24" ht="15" customHeight="1">
      <c r="A510" s="716"/>
      <c r="B510" s="716"/>
      <c r="C510" s="717"/>
      <c r="D510" s="717"/>
      <c r="E510" s="717"/>
      <c r="F510" s="716"/>
      <c r="G510" s="716"/>
      <c r="H510" s="716"/>
      <c r="I510" s="718"/>
      <c r="J510" s="718"/>
      <c r="K510" s="718"/>
      <c r="L510" s="655" t="str">
        <f t="shared" si="458"/>
        <v>0</v>
      </c>
      <c r="M510" s="656">
        <f t="shared" si="260"/>
        <v>0</v>
      </c>
      <c r="N510" s="657">
        <f>+IF(OR($Q510=Parametres!$G$2,$Q510=Parametres!$G$3),I510,C510)</f>
        <v>0</v>
      </c>
      <c r="O510" s="657">
        <f>+IF(OR($Q510=Parametres!$G$2,$Q510=Parametres!$G$3),J510,D510)</f>
        <v>0</v>
      </c>
      <c r="P510" s="657">
        <f>+IF(OR($Q510=Parametres!$G$2,$Q510=Parametres!$G$3),K510,E510)</f>
        <v>0</v>
      </c>
      <c r="Q510" s="656">
        <f t="shared" ref="Q510:S510" si="518">+F510</f>
        <v>0</v>
      </c>
      <c r="R510" s="655">
        <f t="shared" si="518"/>
        <v>0</v>
      </c>
      <c r="S510" s="656">
        <f t="shared" si="518"/>
        <v>0</v>
      </c>
      <c r="T510" s="658" t="e">
        <f>+VLOOKUP($L510,Data_Validation!$A:$D,1,0)</f>
        <v>#N/A</v>
      </c>
      <c r="U510" s="658" t="e">
        <f>+VLOOKUP($L510,Data_Validation!$A:$D,3,0)</f>
        <v>#N/A</v>
      </c>
      <c r="V510" s="658" t="e">
        <f>+VLOOKUP($L510,Data_Validation!$A:$D,4,0)</f>
        <v>#N/A</v>
      </c>
      <c r="W510" s="658" t="e">
        <f>+VLOOKUP($L510,Data_Validation!$A:$E,5,0)</f>
        <v>#N/A</v>
      </c>
      <c r="X510" s="658" t="e">
        <f>+VLOOKUP($L510,Data_Validation!$A:$F,6,0)</f>
        <v>#N/A</v>
      </c>
    </row>
    <row r="511" spans="1:24" ht="15" customHeight="1">
      <c r="A511" s="716"/>
      <c r="B511" s="716"/>
      <c r="C511" s="717"/>
      <c r="D511" s="717"/>
      <c r="E511" s="717"/>
      <c r="F511" s="716"/>
      <c r="G511" s="716"/>
      <c r="H511" s="716"/>
      <c r="I511" s="718"/>
      <c r="J511" s="718"/>
      <c r="K511" s="718"/>
      <c r="L511" s="655" t="str">
        <f t="shared" si="458"/>
        <v>0</v>
      </c>
      <c r="M511" s="656">
        <f t="shared" si="260"/>
        <v>0</v>
      </c>
      <c r="N511" s="657">
        <f>+IF(OR($Q511=Parametres!$G$2,$Q511=Parametres!$G$3),I511,C511)</f>
        <v>0</v>
      </c>
      <c r="O511" s="657">
        <f>+IF(OR($Q511=Parametres!$G$2,$Q511=Parametres!$G$3),J511,D511)</f>
        <v>0</v>
      </c>
      <c r="P511" s="657">
        <f>+IF(OR($Q511=Parametres!$G$2,$Q511=Parametres!$G$3),K511,E511)</f>
        <v>0</v>
      </c>
      <c r="Q511" s="656">
        <f t="shared" ref="Q511:S511" si="519">+F511</f>
        <v>0</v>
      </c>
      <c r="R511" s="655">
        <f t="shared" si="519"/>
        <v>0</v>
      </c>
      <c r="S511" s="656">
        <f t="shared" si="519"/>
        <v>0</v>
      </c>
      <c r="T511" s="658" t="e">
        <f>+VLOOKUP($L511,Data_Validation!$A:$D,1,0)</f>
        <v>#N/A</v>
      </c>
      <c r="U511" s="658" t="e">
        <f>+VLOOKUP($L511,Data_Validation!$A:$D,3,0)</f>
        <v>#N/A</v>
      </c>
      <c r="V511" s="658" t="e">
        <f>+VLOOKUP($L511,Data_Validation!$A:$D,4,0)</f>
        <v>#N/A</v>
      </c>
      <c r="W511" s="658" t="e">
        <f>+VLOOKUP($L511,Data_Validation!$A:$E,5,0)</f>
        <v>#N/A</v>
      </c>
      <c r="X511" s="658" t="e">
        <f>+VLOOKUP($L511,Data_Validation!$A:$F,6,0)</f>
        <v>#N/A</v>
      </c>
    </row>
    <row r="512" spans="1:24" ht="15" customHeight="1">
      <c r="A512" s="716"/>
      <c r="B512" s="716"/>
      <c r="C512" s="717"/>
      <c r="D512" s="717"/>
      <c r="E512" s="717"/>
      <c r="F512" s="716"/>
      <c r="G512" s="716"/>
      <c r="H512" s="716"/>
      <c r="I512" s="718"/>
      <c r="J512" s="718"/>
      <c r="K512" s="718"/>
      <c r="L512" s="655" t="str">
        <f t="shared" si="458"/>
        <v>0</v>
      </c>
      <c r="M512" s="656">
        <f t="shared" ref="M512:M766" si="520">+A512</f>
        <v>0</v>
      </c>
      <c r="N512" s="657">
        <f>+IF(OR($Q512=Parametres!$G$2,$Q512=Parametres!$G$3),I512,C512)</f>
        <v>0</v>
      </c>
      <c r="O512" s="657">
        <f>+IF(OR($Q512=Parametres!$G$2,$Q512=Parametres!$G$3),J512,D512)</f>
        <v>0</v>
      </c>
      <c r="P512" s="657">
        <f>+IF(OR($Q512=Parametres!$G$2,$Q512=Parametres!$G$3),K512,E512)</f>
        <v>0</v>
      </c>
      <c r="Q512" s="656">
        <f t="shared" ref="Q512:S512" si="521">+F512</f>
        <v>0</v>
      </c>
      <c r="R512" s="655">
        <f t="shared" si="521"/>
        <v>0</v>
      </c>
      <c r="S512" s="656">
        <f t="shared" si="521"/>
        <v>0</v>
      </c>
      <c r="T512" s="658" t="e">
        <f>+VLOOKUP($L512,Data_Validation!$A:$D,1,0)</f>
        <v>#N/A</v>
      </c>
      <c r="U512" s="658" t="e">
        <f>+VLOOKUP($L512,Data_Validation!$A:$D,3,0)</f>
        <v>#N/A</v>
      </c>
      <c r="V512" s="658" t="e">
        <f>+VLOOKUP($L512,Data_Validation!$A:$D,4,0)</f>
        <v>#N/A</v>
      </c>
      <c r="W512" s="658" t="e">
        <f>+VLOOKUP($L512,Data_Validation!$A:$E,5,0)</f>
        <v>#N/A</v>
      </c>
      <c r="X512" s="658" t="e">
        <f>+VLOOKUP($L512,Data_Validation!$A:$F,6,0)</f>
        <v>#N/A</v>
      </c>
    </row>
    <row r="513" spans="1:24" ht="15.75" customHeight="1">
      <c r="A513" s="716"/>
      <c r="B513" s="716"/>
      <c r="C513" s="717"/>
      <c r="D513" s="717"/>
      <c r="E513" s="717"/>
      <c r="F513" s="716"/>
      <c r="G513" s="716"/>
      <c r="H513" s="716"/>
      <c r="I513" s="718"/>
      <c r="J513" s="718"/>
      <c r="K513" s="718"/>
      <c r="L513" s="655" t="str">
        <f t="shared" si="458"/>
        <v>0</v>
      </c>
      <c r="M513" s="656">
        <f t="shared" si="520"/>
        <v>0</v>
      </c>
      <c r="N513" s="657">
        <f>+IF(OR($Q513=Parametres!$G$2,$Q513=Parametres!$G$3),I513,C513)</f>
        <v>0</v>
      </c>
      <c r="O513" s="657">
        <f>+IF(OR($Q513=Parametres!$G$2,$Q513=Parametres!$G$3),J513,D513)</f>
        <v>0</v>
      </c>
      <c r="P513" s="657">
        <f>+IF(OR($Q513=Parametres!$G$2,$Q513=Parametres!$G$3),K513,E513)</f>
        <v>0</v>
      </c>
      <c r="Q513" s="656">
        <f t="shared" ref="Q513:S513" si="522">+F513</f>
        <v>0</v>
      </c>
      <c r="R513" s="655">
        <f t="shared" si="522"/>
        <v>0</v>
      </c>
      <c r="S513" s="656">
        <f t="shared" si="522"/>
        <v>0</v>
      </c>
      <c r="T513" s="658" t="e">
        <f>+VLOOKUP($L513,Data_Validation!$A:$D,1,0)</f>
        <v>#N/A</v>
      </c>
      <c r="U513" s="658" t="e">
        <f>+VLOOKUP($L513,Data_Validation!$A:$D,3,0)</f>
        <v>#N/A</v>
      </c>
      <c r="V513" s="658" t="e">
        <f>+VLOOKUP($L513,Data_Validation!$A:$D,4,0)</f>
        <v>#N/A</v>
      </c>
      <c r="W513" s="658" t="e">
        <f>+VLOOKUP($L513,Data_Validation!$A:$E,5,0)</f>
        <v>#N/A</v>
      </c>
      <c r="X513" s="658" t="e">
        <f>+VLOOKUP($L513,Data_Validation!$A:$F,6,0)</f>
        <v>#N/A</v>
      </c>
    </row>
    <row r="514" spans="1:24" ht="15" customHeight="1">
      <c r="A514" s="716"/>
      <c r="B514" s="716"/>
      <c r="C514" s="717"/>
      <c r="D514" s="717"/>
      <c r="E514" s="717"/>
      <c r="F514" s="716"/>
      <c r="G514" s="716"/>
      <c r="H514" s="716"/>
      <c r="I514" s="718"/>
      <c r="J514" s="718"/>
      <c r="K514" s="718"/>
      <c r="L514" s="655" t="str">
        <f t="shared" si="458"/>
        <v>0</v>
      </c>
      <c r="M514" s="656">
        <f t="shared" si="520"/>
        <v>0</v>
      </c>
      <c r="N514" s="657">
        <f>+IF(OR($Q514=Parametres!$G$2,$Q514=Parametres!$G$3),I514,C514)</f>
        <v>0</v>
      </c>
      <c r="O514" s="657">
        <f>+IF(OR($Q514=Parametres!$G$2,$Q514=Parametres!$G$3),J514,D514)</f>
        <v>0</v>
      </c>
      <c r="P514" s="657">
        <f>+IF(OR($Q514=Parametres!$G$2,$Q514=Parametres!$G$3),K514,E514)</f>
        <v>0</v>
      </c>
      <c r="Q514" s="656">
        <f t="shared" ref="Q514:S514" si="523">+F514</f>
        <v>0</v>
      </c>
      <c r="R514" s="655">
        <f t="shared" si="523"/>
        <v>0</v>
      </c>
      <c r="S514" s="656">
        <f t="shared" si="523"/>
        <v>0</v>
      </c>
      <c r="T514" s="658" t="e">
        <f>+VLOOKUP($L514,Data_Validation!$A:$D,1,0)</f>
        <v>#N/A</v>
      </c>
      <c r="U514" s="658" t="e">
        <f>+VLOOKUP($L514,Data_Validation!$A:$D,3,0)</f>
        <v>#N/A</v>
      </c>
      <c r="V514" s="658" t="e">
        <f>+VLOOKUP($L514,Data_Validation!$A:$D,4,0)</f>
        <v>#N/A</v>
      </c>
      <c r="W514" s="658" t="e">
        <f>+VLOOKUP($L514,Data_Validation!$A:$E,5,0)</f>
        <v>#N/A</v>
      </c>
      <c r="X514" s="658" t="e">
        <f>+VLOOKUP($L514,Data_Validation!$A:$F,6,0)</f>
        <v>#N/A</v>
      </c>
    </row>
    <row r="515" spans="1:24" ht="15" customHeight="1">
      <c r="A515" s="716"/>
      <c r="B515" s="716"/>
      <c r="C515" s="717"/>
      <c r="D515" s="717"/>
      <c r="E515" s="717"/>
      <c r="F515" s="716"/>
      <c r="G515" s="716"/>
      <c r="H515" s="716"/>
      <c r="I515" s="718"/>
      <c r="J515" s="718"/>
      <c r="K515" s="718"/>
      <c r="L515" s="655" t="str">
        <f t="shared" ref="L515:L578" si="524">TEXT(B515,0)</f>
        <v>0</v>
      </c>
      <c r="M515" s="656">
        <f t="shared" si="520"/>
        <v>0</v>
      </c>
      <c r="N515" s="657">
        <f>+IF(OR($Q515=Parametres!$G$2,$Q515=Parametres!$G$3),I515,C515)</f>
        <v>0</v>
      </c>
      <c r="O515" s="657">
        <f>+IF(OR($Q515=Parametres!$G$2,$Q515=Parametres!$G$3),J515,D515)</f>
        <v>0</v>
      </c>
      <c r="P515" s="657">
        <f>+IF(OR($Q515=Parametres!$G$2,$Q515=Parametres!$G$3),K515,E515)</f>
        <v>0</v>
      </c>
      <c r="Q515" s="656">
        <f t="shared" ref="Q515:S515" si="525">+F515</f>
        <v>0</v>
      </c>
      <c r="R515" s="655">
        <f t="shared" si="525"/>
        <v>0</v>
      </c>
      <c r="S515" s="656">
        <f t="shared" si="525"/>
        <v>0</v>
      </c>
      <c r="T515" s="658" t="e">
        <f>+VLOOKUP($L515,Data_Validation!$A:$D,1,0)</f>
        <v>#N/A</v>
      </c>
      <c r="U515" s="658" t="e">
        <f>+VLOOKUP($L515,Data_Validation!$A:$D,3,0)</f>
        <v>#N/A</v>
      </c>
      <c r="V515" s="658" t="e">
        <f>+VLOOKUP($L515,Data_Validation!$A:$D,4,0)</f>
        <v>#N/A</v>
      </c>
      <c r="W515" s="658" t="e">
        <f>+VLOOKUP($L515,Data_Validation!$A:$E,5,0)</f>
        <v>#N/A</v>
      </c>
      <c r="X515" s="658" t="e">
        <f>+VLOOKUP($L515,Data_Validation!$A:$F,6,0)</f>
        <v>#N/A</v>
      </c>
    </row>
    <row r="516" spans="1:24" ht="15" customHeight="1">
      <c r="A516" s="716"/>
      <c r="B516" s="716"/>
      <c r="C516" s="717"/>
      <c r="D516" s="717"/>
      <c r="E516" s="717"/>
      <c r="F516" s="716"/>
      <c r="G516" s="716"/>
      <c r="H516" s="716"/>
      <c r="I516" s="718"/>
      <c r="J516" s="718"/>
      <c r="K516" s="718"/>
      <c r="L516" s="655" t="str">
        <f t="shared" si="524"/>
        <v>0</v>
      </c>
      <c r="M516" s="656">
        <f t="shared" si="520"/>
        <v>0</v>
      </c>
      <c r="N516" s="657">
        <f>+IF(OR($Q516=Parametres!$G$2,$Q516=Parametres!$G$3),I516,C516)</f>
        <v>0</v>
      </c>
      <c r="O516" s="657">
        <f>+IF(OR($Q516=Parametres!$G$2,$Q516=Parametres!$G$3),J516,D516)</f>
        <v>0</v>
      </c>
      <c r="P516" s="657">
        <f>+IF(OR($Q516=Parametres!$G$2,$Q516=Parametres!$G$3),K516,E516)</f>
        <v>0</v>
      </c>
      <c r="Q516" s="656">
        <f t="shared" ref="Q516:S516" si="526">+F516</f>
        <v>0</v>
      </c>
      <c r="R516" s="655">
        <f t="shared" si="526"/>
        <v>0</v>
      </c>
      <c r="S516" s="656">
        <f t="shared" si="526"/>
        <v>0</v>
      </c>
      <c r="T516" s="658" t="e">
        <f>+VLOOKUP($L516,Data_Validation!$A:$D,1,0)</f>
        <v>#N/A</v>
      </c>
      <c r="U516" s="658" t="e">
        <f>+VLOOKUP($L516,Data_Validation!$A:$D,3,0)</f>
        <v>#N/A</v>
      </c>
      <c r="V516" s="658" t="e">
        <f>+VLOOKUP($L516,Data_Validation!$A:$D,4,0)</f>
        <v>#N/A</v>
      </c>
      <c r="W516" s="658" t="e">
        <f>+VLOOKUP($L516,Data_Validation!$A:$E,5,0)</f>
        <v>#N/A</v>
      </c>
      <c r="X516" s="658" t="e">
        <f>+VLOOKUP($L516,Data_Validation!$A:$F,6,0)</f>
        <v>#N/A</v>
      </c>
    </row>
    <row r="517" spans="1:24" ht="15.75" customHeight="1">
      <c r="A517" s="716"/>
      <c r="B517" s="716"/>
      <c r="C517" s="717"/>
      <c r="D517" s="717"/>
      <c r="E517" s="717"/>
      <c r="F517" s="716"/>
      <c r="G517" s="716"/>
      <c r="H517" s="716"/>
      <c r="I517" s="718"/>
      <c r="J517" s="718"/>
      <c r="K517" s="718"/>
      <c r="L517" s="655" t="str">
        <f t="shared" si="524"/>
        <v>0</v>
      </c>
      <c r="M517" s="656">
        <f t="shared" si="520"/>
        <v>0</v>
      </c>
      <c r="N517" s="657">
        <f>+IF(OR($Q517=Parametres!$G$2,$Q517=Parametres!$G$3),I517,C517)</f>
        <v>0</v>
      </c>
      <c r="O517" s="657">
        <f>+IF(OR($Q517=Parametres!$G$2,$Q517=Parametres!$G$3),J517,D517)</f>
        <v>0</v>
      </c>
      <c r="P517" s="657">
        <f>+IF(OR($Q517=Parametres!$G$2,$Q517=Parametres!$G$3),K517,E517)</f>
        <v>0</v>
      </c>
      <c r="Q517" s="656">
        <f t="shared" ref="Q517:S517" si="527">+F517</f>
        <v>0</v>
      </c>
      <c r="R517" s="655">
        <f t="shared" si="527"/>
        <v>0</v>
      </c>
      <c r="S517" s="656">
        <f t="shared" si="527"/>
        <v>0</v>
      </c>
      <c r="T517" s="658" t="e">
        <f>+VLOOKUP($L517,Data_Validation!$A:$D,1,0)</f>
        <v>#N/A</v>
      </c>
      <c r="U517" s="658" t="e">
        <f>+VLOOKUP($L517,Data_Validation!$A:$D,3,0)</f>
        <v>#N/A</v>
      </c>
      <c r="V517" s="658" t="e">
        <f>+VLOOKUP($L517,Data_Validation!$A:$D,4,0)</f>
        <v>#N/A</v>
      </c>
      <c r="W517" s="658" t="e">
        <f>+VLOOKUP($L517,Data_Validation!$A:$E,5,0)</f>
        <v>#N/A</v>
      </c>
      <c r="X517" s="658" t="e">
        <f>+VLOOKUP($L517,Data_Validation!$A:$F,6,0)</f>
        <v>#N/A</v>
      </c>
    </row>
    <row r="518" spans="1:24" ht="15" customHeight="1">
      <c r="A518" s="716"/>
      <c r="B518" s="716"/>
      <c r="C518" s="717"/>
      <c r="D518" s="717"/>
      <c r="E518" s="717"/>
      <c r="F518" s="716"/>
      <c r="G518" s="716"/>
      <c r="H518" s="716"/>
      <c r="I518" s="718"/>
      <c r="J518" s="718"/>
      <c r="K518" s="718"/>
      <c r="L518" s="655" t="str">
        <f t="shared" si="524"/>
        <v>0</v>
      </c>
      <c r="M518" s="656">
        <f t="shared" si="520"/>
        <v>0</v>
      </c>
      <c r="N518" s="657">
        <f>+IF(OR($Q518=Parametres!$G$2,$Q518=Parametres!$G$3),I518,C518)</f>
        <v>0</v>
      </c>
      <c r="O518" s="657">
        <f>+IF(OR($Q518=Parametres!$G$2,$Q518=Parametres!$G$3),J518,D518)</f>
        <v>0</v>
      </c>
      <c r="P518" s="657">
        <f>+IF(OR($Q518=Parametres!$G$2,$Q518=Parametres!$G$3),K518,E518)</f>
        <v>0</v>
      </c>
      <c r="Q518" s="656">
        <f t="shared" ref="Q518:S518" si="528">+F518</f>
        <v>0</v>
      </c>
      <c r="R518" s="655">
        <f t="shared" si="528"/>
        <v>0</v>
      </c>
      <c r="S518" s="656">
        <f t="shared" si="528"/>
        <v>0</v>
      </c>
      <c r="T518" s="658" t="e">
        <f>+VLOOKUP($L518,Data_Validation!$A:$D,1,0)</f>
        <v>#N/A</v>
      </c>
      <c r="U518" s="658" t="e">
        <f>+VLOOKUP($L518,Data_Validation!$A:$D,3,0)</f>
        <v>#N/A</v>
      </c>
      <c r="V518" s="658" t="e">
        <f>+VLOOKUP($L518,Data_Validation!$A:$D,4,0)</f>
        <v>#N/A</v>
      </c>
      <c r="W518" s="658" t="e">
        <f>+VLOOKUP($L518,Data_Validation!$A:$E,5,0)</f>
        <v>#N/A</v>
      </c>
      <c r="X518" s="658" t="e">
        <f>+VLOOKUP($L518,Data_Validation!$A:$F,6,0)</f>
        <v>#N/A</v>
      </c>
    </row>
    <row r="519" spans="1:24" ht="15" customHeight="1">
      <c r="A519" s="716"/>
      <c r="B519" s="716"/>
      <c r="C519" s="717"/>
      <c r="D519" s="717"/>
      <c r="E519" s="717"/>
      <c r="F519" s="716"/>
      <c r="G519" s="716"/>
      <c r="H519" s="716"/>
      <c r="I519" s="718"/>
      <c r="J519" s="718"/>
      <c r="K519" s="718"/>
      <c r="L519" s="655" t="str">
        <f t="shared" si="524"/>
        <v>0</v>
      </c>
      <c r="M519" s="656">
        <f t="shared" si="520"/>
        <v>0</v>
      </c>
      <c r="N519" s="657">
        <f>+IF(OR($Q519=Parametres!$G$2,$Q519=Parametres!$G$3),I519,C519)</f>
        <v>0</v>
      </c>
      <c r="O519" s="657">
        <f>+IF(OR($Q519=Parametres!$G$2,$Q519=Parametres!$G$3),J519,D519)</f>
        <v>0</v>
      </c>
      <c r="P519" s="657">
        <f>+IF(OR($Q519=Parametres!$G$2,$Q519=Parametres!$G$3),K519,E519)</f>
        <v>0</v>
      </c>
      <c r="Q519" s="656">
        <f t="shared" ref="Q519:S519" si="529">+F519</f>
        <v>0</v>
      </c>
      <c r="R519" s="655">
        <f t="shared" si="529"/>
        <v>0</v>
      </c>
      <c r="S519" s="656">
        <f t="shared" si="529"/>
        <v>0</v>
      </c>
      <c r="T519" s="658" t="e">
        <f>+VLOOKUP($L519,Data_Validation!$A:$D,1,0)</f>
        <v>#N/A</v>
      </c>
      <c r="U519" s="658" t="e">
        <f>+VLOOKUP($L519,Data_Validation!$A:$D,3,0)</f>
        <v>#N/A</v>
      </c>
      <c r="V519" s="658" t="e">
        <f>+VLOOKUP($L519,Data_Validation!$A:$D,4,0)</f>
        <v>#N/A</v>
      </c>
      <c r="W519" s="658" t="e">
        <f>+VLOOKUP($L519,Data_Validation!$A:$E,5,0)</f>
        <v>#N/A</v>
      </c>
      <c r="X519" s="658" t="e">
        <f>+VLOOKUP($L519,Data_Validation!$A:$F,6,0)</f>
        <v>#N/A</v>
      </c>
    </row>
    <row r="520" spans="1:24" ht="15" customHeight="1">
      <c r="A520" s="716"/>
      <c r="B520" s="716"/>
      <c r="C520" s="717"/>
      <c r="D520" s="717"/>
      <c r="E520" s="717"/>
      <c r="F520" s="716"/>
      <c r="G520" s="716"/>
      <c r="H520" s="716"/>
      <c r="I520" s="718"/>
      <c r="J520" s="718"/>
      <c r="K520" s="718"/>
      <c r="L520" s="655" t="str">
        <f t="shared" si="524"/>
        <v>0</v>
      </c>
      <c r="M520" s="656">
        <f t="shared" si="520"/>
        <v>0</v>
      </c>
      <c r="N520" s="657">
        <f>+IF(OR($Q520=Parametres!$G$2,$Q520=Parametres!$G$3),I520,C520)</f>
        <v>0</v>
      </c>
      <c r="O520" s="657">
        <f>+IF(OR($Q520=Parametres!$G$2,$Q520=Parametres!$G$3),J520,D520)</f>
        <v>0</v>
      </c>
      <c r="P520" s="657">
        <f>+IF(OR($Q520=Parametres!$G$2,$Q520=Parametres!$G$3),K520,E520)</f>
        <v>0</v>
      </c>
      <c r="Q520" s="656">
        <f t="shared" ref="Q520:S520" si="530">+F520</f>
        <v>0</v>
      </c>
      <c r="R520" s="655">
        <f t="shared" si="530"/>
        <v>0</v>
      </c>
      <c r="S520" s="656">
        <f t="shared" si="530"/>
        <v>0</v>
      </c>
      <c r="T520" s="658" t="e">
        <f>+VLOOKUP($L520,Data_Validation!$A:$D,1,0)</f>
        <v>#N/A</v>
      </c>
      <c r="U520" s="658" t="e">
        <f>+VLOOKUP($L520,Data_Validation!$A:$D,3,0)</f>
        <v>#N/A</v>
      </c>
      <c r="V520" s="658" t="e">
        <f>+VLOOKUP($L520,Data_Validation!$A:$D,4,0)</f>
        <v>#N/A</v>
      </c>
      <c r="W520" s="658" t="e">
        <f>+VLOOKUP($L520,Data_Validation!$A:$E,5,0)</f>
        <v>#N/A</v>
      </c>
      <c r="X520" s="658" t="e">
        <f>+VLOOKUP($L520,Data_Validation!$A:$F,6,0)</f>
        <v>#N/A</v>
      </c>
    </row>
    <row r="521" spans="1:24" ht="15.75" customHeight="1">
      <c r="A521" s="716"/>
      <c r="B521" s="716"/>
      <c r="C521" s="717"/>
      <c r="D521" s="717"/>
      <c r="E521" s="717"/>
      <c r="F521" s="716"/>
      <c r="G521" s="716"/>
      <c r="H521" s="716"/>
      <c r="I521" s="718"/>
      <c r="J521" s="718"/>
      <c r="K521" s="718"/>
      <c r="L521" s="655" t="str">
        <f t="shared" si="524"/>
        <v>0</v>
      </c>
      <c r="M521" s="656">
        <f t="shared" si="520"/>
        <v>0</v>
      </c>
      <c r="N521" s="657">
        <f>+IF(OR($Q521=Parametres!$G$2,$Q521=Parametres!$G$3),I521,C521)</f>
        <v>0</v>
      </c>
      <c r="O521" s="657">
        <f>+IF(OR($Q521=Parametres!$G$2,$Q521=Parametres!$G$3),J521,D521)</f>
        <v>0</v>
      </c>
      <c r="P521" s="657">
        <f>+IF(OR($Q521=Parametres!$G$2,$Q521=Parametres!$G$3),K521,E521)</f>
        <v>0</v>
      </c>
      <c r="Q521" s="656">
        <f t="shared" ref="Q521:S521" si="531">+F521</f>
        <v>0</v>
      </c>
      <c r="R521" s="655">
        <f t="shared" si="531"/>
        <v>0</v>
      </c>
      <c r="S521" s="656">
        <f t="shared" si="531"/>
        <v>0</v>
      </c>
      <c r="T521" s="658" t="e">
        <f>+VLOOKUP($L521,Data_Validation!$A:$D,1,0)</f>
        <v>#N/A</v>
      </c>
      <c r="U521" s="658" t="e">
        <f>+VLOOKUP($L521,Data_Validation!$A:$D,3,0)</f>
        <v>#N/A</v>
      </c>
      <c r="V521" s="658" t="e">
        <f>+VLOOKUP($L521,Data_Validation!$A:$D,4,0)</f>
        <v>#N/A</v>
      </c>
      <c r="W521" s="658" t="e">
        <f>+VLOOKUP($L521,Data_Validation!$A:$E,5,0)</f>
        <v>#N/A</v>
      </c>
      <c r="X521" s="658" t="e">
        <f>+VLOOKUP($L521,Data_Validation!$A:$F,6,0)</f>
        <v>#N/A</v>
      </c>
    </row>
    <row r="522" spans="1:24" ht="15" customHeight="1">
      <c r="A522" s="716"/>
      <c r="B522" s="716"/>
      <c r="C522" s="717"/>
      <c r="D522" s="717"/>
      <c r="E522" s="717"/>
      <c r="F522" s="716"/>
      <c r="G522" s="716"/>
      <c r="H522" s="716"/>
      <c r="I522" s="718"/>
      <c r="J522" s="718"/>
      <c r="K522" s="718"/>
      <c r="L522" s="655" t="str">
        <f t="shared" si="524"/>
        <v>0</v>
      </c>
      <c r="M522" s="656">
        <f t="shared" si="520"/>
        <v>0</v>
      </c>
      <c r="N522" s="657">
        <f>+IF(OR($Q522=Parametres!$G$2,$Q522=Parametres!$G$3),I522,C522)</f>
        <v>0</v>
      </c>
      <c r="O522" s="657">
        <f>+IF(OR($Q522=Parametres!$G$2,$Q522=Parametres!$G$3),J522,D522)</f>
        <v>0</v>
      </c>
      <c r="P522" s="657">
        <f>+IF(OR($Q522=Parametres!$G$2,$Q522=Parametres!$G$3),K522,E522)</f>
        <v>0</v>
      </c>
      <c r="Q522" s="656">
        <f t="shared" ref="Q522:S522" si="532">+F522</f>
        <v>0</v>
      </c>
      <c r="R522" s="655">
        <f t="shared" si="532"/>
        <v>0</v>
      </c>
      <c r="S522" s="656">
        <f t="shared" si="532"/>
        <v>0</v>
      </c>
      <c r="T522" s="658" t="e">
        <f>+VLOOKUP($L522,Data_Validation!$A:$D,1,0)</f>
        <v>#N/A</v>
      </c>
      <c r="U522" s="658" t="e">
        <f>+VLOOKUP($L522,Data_Validation!$A:$D,3,0)</f>
        <v>#N/A</v>
      </c>
      <c r="V522" s="658" t="e">
        <f>+VLOOKUP($L522,Data_Validation!$A:$D,4,0)</f>
        <v>#N/A</v>
      </c>
      <c r="W522" s="658" t="e">
        <f>+VLOOKUP($L522,Data_Validation!$A:$E,5,0)</f>
        <v>#N/A</v>
      </c>
      <c r="X522" s="658" t="e">
        <f>+VLOOKUP($L522,Data_Validation!$A:$F,6,0)</f>
        <v>#N/A</v>
      </c>
    </row>
    <row r="523" spans="1:24" ht="15" customHeight="1">
      <c r="A523" s="716"/>
      <c r="B523" s="716"/>
      <c r="C523" s="717"/>
      <c r="D523" s="717"/>
      <c r="E523" s="717"/>
      <c r="F523" s="716"/>
      <c r="G523" s="716"/>
      <c r="H523" s="716"/>
      <c r="I523" s="718"/>
      <c r="J523" s="718"/>
      <c r="K523" s="718"/>
      <c r="L523" s="655" t="str">
        <f t="shared" si="524"/>
        <v>0</v>
      </c>
      <c r="M523" s="656">
        <f t="shared" si="520"/>
        <v>0</v>
      </c>
      <c r="N523" s="657">
        <f>+IF(OR($Q523=Parametres!$G$2,$Q523=Parametres!$G$3),I523,C523)</f>
        <v>0</v>
      </c>
      <c r="O523" s="657">
        <f>+IF(OR($Q523=Parametres!$G$2,$Q523=Parametres!$G$3),J523,D523)</f>
        <v>0</v>
      </c>
      <c r="P523" s="657">
        <f>+IF(OR($Q523=Parametres!$G$2,$Q523=Parametres!$G$3),K523,E523)</f>
        <v>0</v>
      </c>
      <c r="Q523" s="656">
        <f t="shared" ref="Q523:S523" si="533">+F523</f>
        <v>0</v>
      </c>
      <c r="R523" s="655">
        <f t="shared" si="533"/>
        <v>0</v>
      </c>
      <c r="S523" s="656">
        <f t="shared" si="533"/>
        <v>0</v>
      </c>
      <c r="T523" s="658" t="e">
        <f>+VLOOKUP($L523,Data_Validation!$A:$D,1,0)</f>
        <v>#N/A</v>
      </c>
      <c r="U523" s="658" t="e">
        <f>+VLOOKUP($L523,Data_Validation!$A:$D,3,0)</f>
        <v>#N/A</v>
      </c>
      <c r="V523" s="658" t="e">
        <f>+VLOOKUP($L523,Data_Validation!$A:$D,4,0)</f>
        <v>#N/A</v>
      </c>
      <c r="W523" s="658" t="e">
        <f>+VLOOKUP($L523,Data_Validation!$A:$E,5,0)</f>
        <v>#N/A</v>
      </c>
      <c r="X523" s="658" t="e">
        <f>+VLOOKUP($L523,Data_Validation!$A:$F,6,0)</f>
        <v>#N/A</v>
      </c>
    </row>
    <row r="524" spans="1:24" ht="15" customHeight="1">
      <c r="A524" s="716"/>
      <c r="B524" s="716"/>
      <c r="C524" s="717"/>
      <c r="D524" s="717"/>
      <c r="E524" s="717"/>
      <c r="F524" s="716"/>
      <c r="G524" s="716"/>
      <c r="H524" s="716"/>
      <c r="I524" s="718"/>
      <c r="J524" s="718"/>
      <c r="K524" s="718"/>
      <c r="L524" s="655" t="str">
        <f t="shared" si="524"/>
        <v>0</v>
      </c>
      <c r="M524" s="656">
        <f t="shared" si="520"/>
        <v>0</v>
      </c>
      <c r="N524" s="657">
        <f>+IF(OR($Q524=Parametres!$G$2,$Q524=Parametres!$G$3),I524,C524)</f>
        <v>0</v>
      </c>
      <c r="O524" s="657">
        <f>+IF(OR($Q524=Parametres!$G$2,$Q524=Parametres!$G$3),J524,D524)</f>
        <v>0</v>
      </c>
      <c r="P524" s="657">
        <f>+IF(OR($Q524=Parametres!$G$2,$Q524=Parametres!$G$3),K524,E524)</f>
        <v>0</v>
      </c>
      <c r="Q524" s="656">
        <f t="shared" ref="Q524:S524" si="534">+F524</f>
        <v>0</v>
      </c>
      <c r="R524" s="655">
        <f t="shared" si="534"/>
        <v>0</v>
      </c>
      <c r="S524" s="656">
        <f t="shared" si="534"/>
        <v>0</v>
      </c>
      <c r="T524" s="658" t="e">
        <f>+VLOOKUP($L524,Data_Validation!$A:$D,1,0)</f>
        <v>#N/A</v>
      </c>
      <c r="U524" s="658" t="e">
        <f>+VLOOKUP($L524,Data_Validation!$A:$D,3,0)</f>
        <v>#N/A</v>
      </c>
      <c r="V524" s="658" t="e">
        <f>+VLOOKUP($L524,Data_Validation!$A:$D,4,0)</f>
        <v>#N/A</v>
      </c>
      <c r="W524" s="658" t="e">
        <f>+VLOOKUP($L524,Data_Validation!$A:$E,5,0)</f>
        <v>#N/A</v>
      </c>
      <c r="X524" s="658" t="e">
        <f>+VLOOKUP($L524,Data_Validation!$A:$F,6,0)</f>
        <v>#N/A</v>
      </c>
    </row>
    <row r="525" spans="1:24" ht="15" customHeight="1">
      <c r="A525" s="716"/>
      <c r="B525" s="716"/>
      <c r="C525" s="717"/>
      <c r="D525" s="717"/>
      <c r="E525" s="717"/>
      <c r="F525" s="716"/>
      <c r="G525" s="716"/>
      <c r="H525" s="716"/>
      <c r="I525" s="718"/>
      <c r="J525" s="718"/>
      <c r="K525" s="718"/>
      <c r="L525" s="655" t="str">
        <f t="shared" si="524"/>
        <v>0</v>
      </c>
      <c r="M525" s="656">
        <f t="shared" si="520"/>
        <v>0</v>
      </c>
      <c r="N525" s="657">
        <f>+IF(OR($Q525=Parametres!$G$2,$Q525=Parametres!$G$3),I525,C525)</f>
        <v>0</v>
      </c>
      <c r="O525" s="657">
        <f>+IF(OR($Q525=Parametres!$G$2,$Q525=Parametres!$G$3),J525,D525)</f>
        <v>0</v>
      </c>
      <c r="P525" s="657">
        <f>+IF(OR($Q525=Parametres!$G$2,$Q525=Parametres!$G$3),K525,E525)</f>
        <v>0</v>
      </c>
      <c r="Q525" s="656">
        <f t="shared" ref="Q525:S525" si="535">+F525</f>
        <v>0</v>
      </c>
      <c r="R525" s="655">
        <f t="shared" si="535"/>
        <v>0</v>
      </c>
      <c r="S525" s="656">
        <f t="shared" si="535"/>
        <v>0</v>
      </c>
      <c r="T525" s="658" t="e">
        <f>+VLOOKUP($L525,Data_Validation!$A:$D,1,0)</f>
        <v>#N/A</v>
      </c>
      <c r="U525" s="658" t="e">
        <f>+VLOOKUP($L525,Data_Validation!$A:$D,3,0)</f>
        <v>#N/A</v>
      </c>
      <c r="V525" s="658" t="e">
        <f>+VLOOKUP($L525,Data_Validation!$A:$D,4,0)</f>
        <v>#N/A</v>
      </c>
      <c r="W525" s="658" t="e">
        <f>+VLOOKUP($L525,Data_Validation!$A:$E,5,0)</f>
        <v>#N/A</v>
      </c>
      <c r="X525" s="658" t="e">
        <f>+VLOOKUP($L525,Data_Validation!$A:$F,6,0)</f>
        <v>#N/A</v>
      </c>
    </row>
    <row r="526" spans="1:24" ht="15.75" customHeight="1">
      <c r="A526" s="716"/>
      <c r="B526" s="716"/>
      <c r="C526" s="717"/>
      <c r="D526" s="717"/>
      <c r="E526" s="717"/>
      <c r="F526" s="716"/>
      <c r="G526" s="716"/>
      <c r="H526" s="716"/>
      <c r="I526" s="718"/>
      <c r="J526" s="718"/>
      <c r="K526" s="718"/>
      <c r="L526" s="655" t="str">
        <f t="shared" si="524"/>
        <v>0</v>
      </c>
      <c r="M526" s="656">
        <f t="shared" si="520"/>
        <v>0</v>
      </c>
      <c r="N526" s="657">
        <f>+IF(OR($Q526=Parametres!$G$2,$Q526=Parametres!$G$3),I526,C526)</f>
        <v>0</v>
      </c>
      <c r="O526" s="657">
        <f>+IF(OR($Q526=Parametres!$G$2,$Q526=Parametres!$G$3),J526,D526)</f>
        <v>0</v>
      </c>
      <c r="P526" s="657">
        <f>+IF(OR($Q526=Parametres!$G$2,$Q526=Parametres!$G$3),K526,E526)</f>
        <v>0</v>
      </c>
      <c r="Q526" s="656">
        <f t="shared" ref="Q526:S526" si="536">+F526</f>
        <v>0</v>
      </c>
      <c r="R526" s="655">
        <f t="shared" si="536"/>
        <v>0</v>
      </c>
      <c r="S526" s="656">
        <f t="shared" si="536"/>
        <v>0</v>
      </c>
      <c r="T526" s="658" t="e">
        <f>+VLOOKUP($L526,Data_Validation!$A:$D,1,0)</f>
        <v>#N/A</v>
      </c>
      <c r="U526" s="658" t="e">
        <f>+VLOOKUP($L526,Data_Validation!$A:$D,3,0)</f>
        <v>#N/A</v>
      </c>
      <c r="V526" s="658" t="e">
        <f>+VLOOKUP($L526,Data_Validation!$A:$D,4,0)</f>
        <v>#N/A</v>
      </c>
      <c r="W526" s="658" t="e">
        <f>+VLOOKUP($L526,Data_Validation!$A:$E,5,0)</f>
        <v>#N/A</v>
      </c>
      <c r="X526" s="658" t="e">
        <f>+VLOOKUP($L526,Data_Validation!$A:$F,6,0)</f>
        <v>#N/A</v>
      </c>
    </row>
    <row r="527" spans="1:24" ht="15" customHeight="1">
      <c r="A527" s="716"/>
      <c r="B527" s="716"/>
      <c r="C527" s="717"/>
      <c r="D527" s="717"/>
      <c r="E527" s="717"/>
      <c r="F527" s="716"/>
      <c r="G527" s="716"/>
      <c r="H527" s="716"/>
      <c r="I527" s="718"/>
      <c r="J527" s="718"/>
      <c r="K527" s="718"/>
      <c r="L527" s="655" t="str">
        <f t="shared" si="524"/>
        <v>0</v>
      </c>
      <c r="M527" s="656">
        <f t="shared" si="520"/>
        <v>0</v>
      </c>
      <c r="N527" s="657">
        <f>+IF(OR($Q527=Parametres!$G$2,$Q527=Parametres!$G$3),I527,C527)</f>
        <v>0</v>
      </c>
      <c r="O527" s="657">
        <f>+IF(OR($Q527=Parametres!$G$2,$Q527=Parametres!$G$3),J527,D527)</f>
        <v>0</v>
      </c>
      <c r="P527" s="657">
        <f>+IF(OR($Q527=Parametres!$G$2,$Q527=Parametres!$G$3),K527,E527)</f>
        <v>0</v>
      </c>
      <c r="Q527" s="656">
        <f t="shared" ref="Q527:S527" si="537">+F527</f>
        <v>0</v>
      </c>
      <c r="R527" s="655">
        <f t="shared" si="537"/>
        <v>0</v>
      </c>
      <c r="S527" s="656">
        <f t="shared" si="537"/>
        <v>0</v>
      </c>
      <c r="T527" s="658" t="e">
        <f>+VLOOKUP($L527,Data_Validation!$A:$D,1,0)</f>
        <v>#N/A</v>
      </c>
      <c r="U527" s="658" t="e">
        <f>+VLOOKUP($L527,Data_Validation!$A:$D,3,0)</f>
        <v>#N/A</v>
      </c>
      <c r="V527" s="658" t="e">
        <f>+VLOOKUP($L527,Data_Validation!$A:$D,4,0)</f>
        <v>#N/A</v>
      </c>
      <c r="W527" s="658" t="e">
        <f>+VLOOKUP($L527,Data_Validation!$A:$E,5,0)</f>
        <v>#N/A</v>
      </c>
      <c r="X527" s="658" t="e">
        <f>+VLOOKUP($L527,Data_Validation!$A:$F,6,0)</f>
        <v>#N/A</v>
      </c>
    </row>
    <row r="528" spans="1:24" ht="15" customHeight="1">
      <c r="A528" s="716"/>
      <c r="B528" s="716"/>
      <c r="C528" s="717"/>
      <c r="D528" s="717"/>
      <c r="E528" s="717"/>
      <c r="F528" s="716"/>
      <c r="G528" s="716"/>
      <c r="H528" s="716"/>
      <c r="I528" s="718"/>
      <c r="J528" s="718"/>
      <c r="K528" s="718"/>
      <c r="L528" s="655" t="str">
        <f t="shared" si="524"/>
        <v>0</v>
      </c>
      <c r="M528" s="656">
        <f t="shared" si="520"/>
        <v>0</v>
      </c>
      <c r="N528" s="657">
        <f>+IF(OR($Q528=Parametres!$G$2,$Q528=Parametres!$G$3),I528,C528)</f>
        <v>0</v>
      </c>
      <c r="O528" s="657">
        <f>+IF(OR($Q528=Parametres!$G$2,$Q528=Parametres!$G$3),J528,D528)</f>
        <v>0</v>
      </c>
      <c r="P528" s="657">
        <f>+IF(OR($Q528=Parametres!$G$2,$Q528=Parametres!$G$3),K528,E528)</f>
        <v>0</v>
      </c>
      <c r="Q528" s="656">
        <f t="shared" ref="Q528:S528" si="538">+F528</f>
        <v>0</v>
      </c>
      <c r="R528" s="655">
        <f t="shared" si="538"/>
        <v>0</v>
      </c>
      <c r="S528" s="656">
        <f t="shared" si="538"/>
        <v>0</v>
      </c>
      <c r="T528" s="658" t="e">
        <f>+VLOOKUP($L528,Data_Validation!$A:$D,1,0)</f>
        <v>#N/A</v>
      </c>
      <c r="U528" s="658" t="e">
        <f>+VLOOKUP($L528,Data_Validation!$A:$D,3,0)</f>
        <v>#N/A</v>
      </c>
      <c r="V528" s="658" t="e">
        <f>+VLOOKUP($L528,Data_Validation!$A:$D,4,0)</f>
        <v>#N/A</v>
      </c>
      <c r="W528" s="658" t="e">
        <f>+VLOOKUP($L528,Data_Validation!$A:$E,5,0)</f>
        <v>#N/A</v>
      </c>
      <c r="X528" s="658" t="e">
        <f>+VLOOKUP($L528,Data_Validation!$A:$F,6,0)</f>
        <v>#N/A</v>
      </c>
    </row>
    <row r="529" spans="1:24" ht="15" customHeight="1">
      <c r="A529" s="716"/>
      <c r="B529" s="716"/>
      <c r="C529" s="717"/>
      <c r="D529" s="717"/>
      <c r="E529" s="717"/>
      <c r="F529" s="716"/>
      <c r="G529" s="716"/>
      <c r="H529" s="716"/>
      <c r="I529" s="718"/>
      <c r="J529" s="718"/>
      <c r="K529" s="718"/>
      <c r="L529" s="655" t="str">
        <f t="shared" si="524"/>
        <v>0</v>
      </c>
      <c r="M529" s="656">
        <f t="shared" si="520"/>
        <v>0</v>
      </c>
      <c r="N529" s="657">
        <f>+IF(OR($Q529=Parametres!$G$2,$Q529=Parametres!$G$3),I529,C529)</f>
        <v>0</v>
      </c>
      <c r="O529" s="657">
        <f>+IF(OR($Q529=Parametres!$G$2,$Q529=Parametres!$G$3),J529,D529)</f>
        <v>0</v>
      </c>
      <c r="P529" s="657">
        <f>+IF(OR($Q529=Parametres!$G$2,$Q529=Parametres!$G$3),K529,E529)</f>
        <v>0</v>
      </c>
      <c r="Q529" s="656">
        <f t="shared" ref="Q529:S529" si="539">+F529</f>
        <v>0</v>
      </c>
      <c r="R529" s="655">
        <f t="shared" si="539"/>
        <v>0</v>
      </c>
      <c r="S529" s="656">
        <f t="shared" si="539"/>
        <v>0</v>
      </c>
      <c r="T529" s="658" t="e">
        <f>+VLOOKUP($L529,Data_Validation!$A:$D,1,0)</f>
        <v>#N/A</v>
      </c>
      <c r="U529" s="658" t="e">
        <f>+VLOOKUP($L529,Data_Validation!$A:$D,3,0)</f>
        <v>#N/A</v>
      </c>
      <c r="V529" s="658" t="e">
        <f>+VLOOKUP($L529,Data_Validation!$A:$D,4,0)</f>
        <v>#N/A</v>
      </c>
      <c r="W529" s="658" t="e">
        <f>+VLOOKUP($L529,Data_Validation!$A:$E,5,0)</f>
        <v>#N/A</v>
      </c>
      <c r="X529" s="658" t="e">
        <f>+VLOOKUP($L529,Data_Validation!$A:$F,6,0)</f>
        <v>#N/A</v>
      </c>
    </row>
    <row r="530" spans="1:24" ht="15" customHeight="1">
      <c r="A530" s="716"/>
      <c r="B530" s="716"/>
      <c r="C530" s="717"/>
      <c r="D530" s="717"/>
      <c r="E530" s="717"/>
      <c r="F530" s="716"/>
      <c r="G530" s="716"/>
      <c r="H530" s="716"/>
      <c r="I530" s="718"/>
      <c r="J530" s="718"/>
      <c r="K530" s="718"/>
      <c r="L530" s="655" t="str">
        <f t="shared" si="524"/>
        <v>0</v>
      </c>
      <c r="M530" s="656">
        <f t="shared" si="520"/>
        <v>0</v>
      </c>
      <c r="N530" s="657">
        <f>+IF(OR($Q530=Parametres!$G$2,$Q530=Parametres!$G$3),I530,C530)</f>
        <v>0</v>
      </c>
      <c r="O530" s="715">
        <f>+IF(OR($Q530=Parametres!$G$2,$Q530=Parametres!$G$3),J530,D530)</f>
        <v>0</v>
      </c>
      <c r="P530" s="657">
        <f>+IF(OR($Q530=Parametres!$G$2,$Q530=Parametres!$G$3),K530,E530)</f>
        <v>0</v>
      </c>
      <c r="Q530" s="656">
        <f t="shared" ref="Q530:S530" si="540">+F530</f>
        <v>0</v>
      </c>
      <c r="R530" s="655">
        <f t="shared" si="540"/>
        <v>0</v>
      </c>
      <c r="S530" s="656">
        <f t="shared" si="540"/>
        <v>0</v>
      </c>
      <c r="T530" s="658" t="e">
        <f>+VLOOKUP($L530,Data_Validation!$A:$D,1,0)</f>
        <v>#N/A</v>
      </c>
      <c r="U530" s="658" t="e">
        <f>+VLOOKUP($L530,Data_Validation!$A:$D,3,0)</f>
        <v>#N/A</v>
      </c>
      <c r="V530" s="658" t="e">
        <f>+VLOOKUP($L530,Data_Validation!$A:$D,4,0)</f>
        <v>#N/A</v>
      </c>
      <c r="W530" s="658" t="e">
        <f>+VLOOKUP($L530,Data_Validation!$A:$E,5,0)</f>
        <v>#N/A</v>
      </c>
      <c r="X530" s="658" t="e">
        <f>+VLOOKUP($L530,Data_Validation!$A:$F,6,0)</f>
        <v>#N/A</v>
      </c>
    </row>
    <row r="531" spans="1:24" ht="15" customHeight="1">
      <c r="A531" s="716"/>
      <c r="B531" s="716"/>
      <c r="C531" s="717"/>
      <c r="D531" s="717"/>
      <c r="E531" s="717"/>
      <c r="F531" s="716"/>
      <c r="G531" s="716"/>
      <c r="H531" s="716"/>
      <c r="I531" s="718"/>
      <c r="J531" s="718"/>
      <c r="K531" s="718"/>
      <c r="L531" s="655" t="str">
        <f t="shared" si="524"/>
        <v>0</v>
      </c>
      <c r="M531" s="656">
        <f t="shared" si="520"/>
        <v>0</v>
      </c>
      <c r="N531" s="657">
        <f>+IF(OR($Q531=Parametres!$G$2,$Q531=Parametres!$G$3),I531,C531)</f>
        <v>0</v>
      </c>
      <c r="O531" s="657">
        <f>+IF(OR($Q531=Parametres!$G$2,$Q531=Parametres!$G$3),J531,D531)</f>
        <v>0</v>
      </c>
      <c r="P531" s="657">
        <f>+IF(OR($Q531=Parametres!$G$2,$Q531=Parametres!$G$3),K531,E531)</f>
        <v>0</v>
      </c>
      <c r="Q531" s="656">
        <f t="shared" ref="Q531:S531" si="541">+F531</f>
        <v>0</v>
      </c>
      <c r="R531" s="655">
        <f t="shared" si="541"/>
        <v>0</v>
      </c>
      <c r="S531" s="656">
        <f t="shared" si="541"/>
        <v>0</v>
      </c>
      <c r="T531" s="658" t="e">
        <f>+VLOOKUP($L531,Data_Validation!$A:$D,1,0)</f>
        <v>#N/A</v>
      </c>
      <c r="U531" s="658" t="e">
        <f>+VLOOKUP($L531,Data_Validation!$A:$D,3,0)</f>
        <v>#N/A</v>
      </c>
      <c r="V531" s="658" t="e">
        <f>+VLOOKUP($L531,Data_Validation!$A:$D,4,0)</f>
        <v>#N/A</v>
      </c>
      <c r="W531" s="658" t="e">
        <f>+VLOOKUP($L531,Data_Validation!$A:$E,5,0)</f>
        <v>#N/A</v>
      </c>
      <c r="X531" s="658" t="e">
        <f>+VLOOKUP($L531,Data_Validation!$A:$F,6,0)</f>
        <v>#N/A</v>
      </c>
    </row>
    <row r="532" spans="1:24" ht="15" customHeight="1">
      <c r="A532" s="716"/>
      <c r="B532" s="716"/>
      <c r="C532" s="717"/>
      <c r="D532" s="717"/>
      <c r="E532" s="717"/>
      <c r="F532" s="716"/>
      <c r="G532" s="716"/>
      <c r="H532" s="716"/>
      <c r="I532" s="718"/>
      <c r="J532" s="718"/>
      <c r="K532" s="718"/>
      <c r="L532" s="655" t="str">
        <f t="shared" si="524"/>
        <v>0</v>
      </c>
      <c r="M532" s="656">
        <f t="shared" si="520"/>
        <v>0</v>
      </c>
      <c r="N532" s="657">
        <f>+IF(OR($Q532=Parametres!$G$2,$Q532=Parametres!$G$3),I532,C532)</f>
        <v>0</v>
      </c>
      <c r="O532" s="657">
        <f>+IF(OR($Q532=Parametres!$G$2,$Q532=Parametres!$G$3),J532,D532)</f>
        <v>0</v>
      </c>
      <c r="P532" s="657">
        <f>+IF(OR($Q532=Parametres!$G$2,$Q532=Parametres!$G$3),K532,E532)</f>
        <v>0</v>
      </c>
      <c r="Q532" s="656">
        <f t="shared" ref="Q532:S532" si="542">+F532</f>
        <v>0</v>
      </c>
      <c r="R532" s="655">
        <f t="shared" si="542"/>
        <v>0</v>
      </c>
      <c r="S532" s="656">
        <f t="shared" si="542"/>
        <v>0</v>
      </c>
      <c r="T532" s="658" t="e">
        <f>+VLOOKUP($L532,Data_Validation!$A:$D,1,0)</f>
        <v>#N/A</v>
      </c>
      <c r="U532" s="658" t="e">
        <f>+VLOOKUP($L532,Data_Validation!$A:$D,3,0)</f>
        <v>#N/A</v>
      </c>
      <c r="V532" s="658" t="e">
        <f>+VLOOKUP($L532,Data_Validation!$A:$D,4,0)</f>
        <v>#N/A</v>
      </c>
      <c r="W532" s="658" t="e">
        <f>+VLOOKUP($L532,Data_Validation!$A:$E,5,0)</f>
        <v>#N/A</v>
      </c>
      <c r="X532" s="658" t="e">
        <f>+VLOOKUP($L532,Data_Validation!$A:$F,6,0)</f>
        <v>#N/A</v>
      </c>
    </row>
    <row r="533" spans="1:24" ht="15.75" customHeight="1">
      <c r="A533" s="716"/>
      <c r="B533" s="716"/>
      <c r="C533" s="717"/>
      <c r="D533" s="717"/>
      <c r="E533" s="717"/>
      <c r="F533" s="716"/>
      <c r="G533" s="716"/>
      <c r="H533" s="716"/>
      <c r="I533" s="718"/>
      <c r="J533" s="718"/>
      <c r="K533" s="718"/>
      <c r="L533" s="655" t="str">
        <f t="shared" si="524"/>
        <v>0</v>
      </c>
      <c r="M533" s="656">
        <f t="shared" si="520"/>
        <v>0</v>
      </c>
      <c r="N533" s="657">
        <f>+IF(OR($Q533=Parametres!$G$2,$Q533=Parametres!$G$3),I533,C533)</f>
        <v>0</v>
      </c>
      <c r="O533" s="657">
        <f>+IF(OR($Q533=Parametres!$G$2,$Q533=Parametres!$G$3),J533,D533)</f>
        <v>0</v>
      </c>
      <c r="P533" s="657">
        <f>+IF(OR($Q533=Parametres!$G$2,$Q533=Parametres!$G$3),K533,E533)</f>
        <v>0</v>
      </c>
      <c r="Q533" s="656">
        <f t="shared" ref="Q533:S533" si="543">+F533</f>
        <v>0</v>
      </c>
      <c r="R533" s="655">
        <f t="shared" si="543"/>
        <v>0</v>
      </c>
      <c r="S533" s="656">
        <f t="shared" si="543"/>
        <v>0</v>
      </c>
      <c r="T533" s="658" t="e">
        <f>+VLOOKUP($L533,Data_Validation!$A:$D,1,0)</f>
        <v>#N/A</v>
      </c>
      <c r="U533" s="658" t="e">
        <f>+VLOOKUP($L533,Data_Validation!$A:$D,3,0)</f>
        <v>#N/A</v>
      </c>
      <c r="V533" s="658" t="e">
        <f>+VLOOKUP($L533,Data_Validation!$A:$D,4,0)</f>
        <v>#N/A</v>
      </c>
      <c r="W533" s="658" t="e">
        <f>+VLOOKUP($L533,Data_Validation!$A:$E,5,0)</f>
        <v>#N/A</v>
      </c>
      <c r="X533" s="658" t="e">
        <f>+VLOOKUP($L533,Data_Validation!$A:$F,6,0)</f>
        <v>#N/A</v>
      </c>
    </row>
    <row r="534" spans="1:24" ht="15" customHeight="1">
      <c r="A534" s="716"/>
      <c r="B534" s="716"/>
      <c r="C534" s="717"/>
      <c r="D534" s="717"/>
      <c r="E534" s="717"/>
      <c r="F534" s="716"/>
      <c r="G534" s="716"/>
      <c r="H534" s="716"/>
      <c r="I534" s="718"/>
      <c r="J534" s="718"/>
      <c r="K534" s="718"/>
      <c r="L534" s="655" t="str">
        <f t="shared" si="524"/>
        <v>0</v>
      </c>
      <c r="M534" s="656">
        <f t="shared" si="520"/>
        <v>0</v>
      </c>
      <c r="N534" s="657">
        <f>+IF(OR($Q534=Parametres!$G$2,$Q534=Parametres!$G$3),I534,C534)</f>
        <v>0</v>
      </c>
      <c r="O534" s="657">
        <f>+IF(OR($Q534=Parametres!$G$2,$Q534=Parametres!$G$3),J534,D534)</f>
        <v>0</v>
      </c>
      <c r="P534" s="657">
        <f>+IF(OR($Q534=Parametres!$G$2,$Q534=Parametres!$G$3),K534,E534)</f>
        <v>0</v>
      </c>
      <c r="Q534" s="656">
        <f t="shared" ref="Q534:S534" si="544">+F534</f>
        <v>0</v>
      </c>
      <c r="R534" s="655">
        <f t="shared" si="544"/>
        <v>0</v>
      </c>
      <c r="S534" s="656">
        <f t="shared" si="544"/>
        <v>0</v>
      </c>
      <c r="T534" s="658" t="e">
        <f>+VLOOKUP($L534,Data_Validation!$A:$D,1,0)</f>
        <v>#N/A</v>
      </c>
      <c r="U534" s="658" t="e">
        <f>+VLOOKUP($L534,Data_Validation!$A:$D,3,0)</f>
        <v>#N/A</v>
      </c>
      <c r="V534" s="658" t="e">
        <f>+VLOOKUP($L534,Data_Validation!$A:$D,4,0)</f>
        <v>#N/A</v>
      </c>
      <c r="W534" s="658" t="e">
        <f>+VLOOKUP($L534,Data_Validation!$A:$E,5,0)</f>
        <v>#N/A</v>
      </c>
      <c r="X534" s="658" t="e">
        <f>+VLOOKUP($L534,Data_Validation!$A:$F,6,0)</f>
        <v>#N/A</v>
      </c>
    </row>
    <row r="535" spans="1:24" ht="15" customHeight="1">
      <c r="A535" s="716"/>
      <c r="B535" s="716"/>
      <c r="C535" s="717"/>
      <c r="D535" s="717"/>
      <c r="E535" s="717"/>
      <c r="F535" s="716"/>
      <c r="G535" s="716"/>
      <c r="H535" s="716"/>
      <c r="I535" s="718"/>
      <c r="J535" s="718"/>
      <c r="K535" s="718"/>
      <c r="L535" s="655" t="str">
        <f t="shared" si="524"/>
        <v>0</v>
      </c>
      <c r="M535" s="656">
        <f t="shared" si="520"/>
        <v>0</v>
      </c>
      <c r="N535" s="657">
        <f>+IF(OR($Q535=Parametres!$G$2,$Q535=Parametres!$G$3),I535,C535)</f>
        <v>0</v>
      </c>
      <c r="O535" s="657">
        <f>+IF(OR($Q535=Parametres!$G$2,$Q535=Parametres!$G$3),J535,D535)</f>
        <v>0</v>
      </c>
      <c r="P535" s="657">
        <f>+IF(OR($Q535=Parametres!$G$2,$Q535=Parametres!$G$3),K535,E535)</f>
        <v>0</v>
      </c>
      <c r="Q535" s="656">
        <f t="shared" ref="Q535:S535" si="545">+F535</f>
        <v>0</v>
      </c>
      <c r="R535" s="655">
        <f t="shared" si="545"/>
        <v>0</v>
      </c>
      <c r="S535" s="656">
        <f t="shared" si="545"/>
        <v>0</v>
      </c>
      <c r="T535" s="658" t="e">
        <f>+VLOOKUP($L535,Data_Validation!$A:$D,1,0)</f>
        <v>#N/A</v>
      </c>
      <c r="U535" s="658" t="e">
        <f>+VLOOKUP($L535,Data_Validation!$A:$D,3,0)</f>
        <v>#N/A</v>
      </c>
      <c r="V535" s="658" t="e">
        <f>+VLOOKUP($L535,Data_Validation!$A:$D,4,0)</f>
        <v>#N/A</v>
      </c>
      <c r="W535" s="658" t="e">
        <f>+VLOOKUP($L535,Data_Validation!$A:$E,5,0)</f>
        <v>#N/A</v>
      </c>
      <c r="X535" s="658" t="e">
        <f>+VLOOKUP($L535,Data_Validation!$A:$F,6,0)</f>
        <v>#N/A</v>
      </c>
    </row>
    <row r="536" spans="1:24" ht="15" customHeight="1">
      <c r="A536" s="716"/>
      <c r="B536" s="716"/>
      <c r="C536" s="717"/>
      <c r="D536" s="717"/>
      <c r="E536" s="717"/>
      <c r="F536" s="716"/>
      <c r="G536" s="716"/>
      <c r="H536" s="716"/>
      <c r="I536" s="718"/>
      <c r="J536" s="718"/>
      <c r="K536" s="718"/>
      <c r="L536" s="655" t="str">
        <f t="shared" si="524"/>
        <v>0</v>
      </c>
      <c r="M536" s="656">
        <f t="shared" si="520"/>
        <v>0</v>
      </c>
      <c r="N536" s="657">
        <f>+IF(OR($Q536=Parametres!$G$2,$Q536=Parametres!$G$3),I536,C536)</f>
        <v>0</v>
      </c>
      <c r="O536" s="657">
        <f>+IF(OR($Q536=Parametres!$G$2,$Q536=Parametres!$G$3),J536,D536)</f>
        <v>0</v>
      </c>
      <c r="P536" s="657">
        <f>+IF(OR($Q536=Parametres!$G$2,$Q536=Parametres!$G$3),K536,E536)</f>
        <v>0</v>
      </c>
      <c r="Q536" s="656">
        <f t="shared" ref="Q536:S536" si="546">+F536</f>
        <v>0</v>
      </c>
      <c r="R536" s="655">
        <f t="shared" si="546"/>
        <v>0</v>
      </c>
      <c r="S536" s="656">
        <f t="shared" si="546"/>
        <v>0</v>
      </c>
      <c r="T536" s="658" t="e">
        <f>+VLOOKUP($L536,Data_Validation!$A:$D,1,0)</f>
        <v>#N/A</v>
      </c>
      <c r="U536" s="658" t="e">
        <f>+VLOOKUP($L536,Data_Validation!$A:$D,3,0)</f>
        <v>#N/A</v>
      </c>
      <c r="V536" s="658" t="e">
        <f>+VLOOKUP($L536,Data_Validation!$A:$D,4,0)</f>
        <v>#N/A</v>
      </c>
      <c r="W536" s="658" t="e">
        <f>+VLOOKUP($L536,Data_Validation!$A:$E,5,0)</f>
        <v>#N/A</v>
      </c>
      <c r="X536" s="658" t="e">
        <f>+VLOOKUP($L536,Data_Validation!$A:$F,6,0)</f>
        <v>#N/A</v>
      </c>
    </row>
    <row r="537" spans="1:24" ht="15.75" customHeight="1">
      <c r="A537" s="716"/>
      <c r="B537" s="716"/>
      <c r="C537" s="717"/>
      <c r="D537" s="717"/>
      <c r="E537" s="717"/>
      <c r="F537" s="716"/>
      <c r="G537" s="716"/>
      <c r="H537" s="716"/>
      <c r="I537" s="718"/>
      <c r="J537" s="718"/>
      <c r="K537" s="718"/>
      <c r="L537" s="655" t="str">
        <f t="shared" si="524"/>
        <v>0</v>
      </c>
      <c r="M537" s="656">
        <f t="shared" si="520"/>
        <v>0</v>
      </c>
      <c r="N537" s="657">
        <f>+IF(OR($Q537=Parametres!$G$2,$Q537=Parametres!$G$3),I537,C537)</f>
        <v>0</v>
      </c>
      <c r="O537" s="657">
        <f>+IF(OR($Q537=Parametres!$G$2,$Q537=Parametres!$G$3),J537,D537)</f>
        <v>0</v>
      </c>
      <c r="P537" s="657">
        <f>+IF(OR($Q537=Parametres!$G$2,$Q537=Parametres!$G$3),K537,E537)</f>
        <v>0</v>
      </c>
      <c r="Q537" s="656">
        <f t="shared" ref="Q537:S537" si="547">+F537</f>
        <v>0</v>
      </c>
      <c r="R537" s="655">
        <f t="shared" si="547"/>
        <v>0</v>
      </c>
      <c r="S537" s="656">
        <f t="shared" si="547"/>
        <v>0</v>
      </c>
      <c r="T537" s="658" t="e">
        <f>+VLOOKUP($L537,Data_Validation!$A:$D,1,0)</f>
        <v>#N/A</v>
      </c>
      <c r="U537" s="658" t="e">
        <f>+VLOOKUP($L537,Data_Validation!$A:$D,3,0)</f>
        <v>#N/A</v>
      </c>
      <c r="V537" s="658" t="e">
        <f>+VLOOKUP($L537,Data_Validation!$A:$D,4,0)</f>
        <v>#N/A</v>
      </c>
      <c r="W537" s="658" t="e">
        <f>+VLOOKUP($L537,Data_Validation!$A:$E,5,0)</f>
        <v>#N/A</v>
      </c>
      <c r="X537" s="658" t="e">
        <f>+VLOOKUP($L537,Data_Validation!$A:$F,6,0)</f>
        <v>#N/A</v>
      </c>
    </row>
    <row r="538" spans="1:24" ht="15" customHeight="1">
      <c r="A538" s="716"/>
      <c r="B538" s="716"/>
      <c r="C538" s="717"/>
      <c r="D538" s="717"/>
      <c r="E538" s="717"/>
      <c r="F538" s="716"/>
      <c r="G538" s="716"/>
      <c r="H538" s="716"/>
      <c r="I538" s="718"/>
      <c r="J538" s="718"/>
      <c r="K538" s="718"/>
      <c r="L538" s="655" t="str">
        <f t="shared" si="524"/>
        <v>0</v>
      </c>
      <c r="M538" s="656">
        <f t="shared" si="520"/>
        <v>0</v>
      </c>
      <c r="N538" s="657">
        <f>+IF(OR($Q538=Parametres!$G$2,$Q538=Parametres!$G$3),I538,C538)</f>
        <v>0</v>
      </c>
      <c r="O538" s="657">
        <f>+IF(OR($Q538=Parametres!$G$2,$Q538=Parametres!$G$3),J538,D538)</f>
        <v>0</v>
      </c>
      <c r="P538" s="657">
        <f>+IF(OR($Q538=Parametres!$G$2,$Q538=Parametres!$G$3),K538,E538)</f>
        <v>0</v>
      </c>
      <c r="Q538" s="656">
        <f t="shared" ref="Q538:S538" si="548">+F538</f>
        <v>0</v>
      </c>
      <c r="R538" s="655">
        <f t="shared" si="548"/>
        <v>0</v>
      </c>
      <c r="S538" s="656">
        <f t="shared" si="548"/>
        <v>0</v>
      </c>
      <c r="T538" s="658" t="e">
        <f>+VLOOKUP($L538,Data_Validation!$A:$D,1,0)</f>
        <v>#N/A</v>
      </c>
      <c r="U538" s="658" t="e">
        <f>+VLOOKUP($L538,Data_Validation!$A:$D,3,0)</f>
        <v>#N/A</v>
      </c>
      <c r="V538" s="658" t="e">
        <f>+VLOOKUP($L538,Data_Validation!$A:$D,4,0)</f>
        <v>#N/A</v>
      </c>
      <c r="W538" s="658" t="e">
        <f>+VLOOKUP($L538,Data_Validation!$A:$E,5,0)</f>
        <v>#N/A</v>
      </c>
      <c r="X538" s="658" t="e">
        <f>+VLOOKUP($L538,Data_Validation!$A:$F,6,0)</f>
        <v>#N/A</v>
      </c>
    </row>
    <row r="539" spans="1:24" ht="15" customHeight="1">
      <c r="A539" s="716"/>
      <c r="B539" s="716"/>
      <c r="C539" s="717"/>
      <c r="D539" s="717"/>
      <c r="E539" s="717"/>
      <c r="F539" s="716"/>
      <c r="G539" s="716"/>
      <c r="H539" s="716"/>
      <c r="I539" s="718"/>
      <c r="J539" s="718"/>
      <c r="K539" s="718"/>
      <c r="L539" s="655" t="str">
        <f t="shared" si="524"/>
        <v>0</v>
      </c>
      <c r="M539" s="656">
        <f t="shared" si="520"/>
        <v>0</v>
      </c>
      <c r="N539" s="657">
        <f>+IF(OR($Q539=Parametres!$G$2,$Q539=Parametres!$G$3),I539,C539)</f>
        <v>0</v>
      </c>
      <c r="O539" s="657">
        <f>+IF(OR($Q539=Parametres!$G$2,$Q539=Parametres!$G$3),J539,D539)</f>
        <v>0</v>
      </c>
      <c r="P539" s="657">
        <f>+IF(OR($Q539=Parametres!$G$2,$Q539=Parametres!$G$3),K539,E539)</f>
        <v>0</v>
      </c>
      <c r="Q539" s="656">
        <f t="shared" ref="Q539:S539" si="549">+F539</f>
        <v>0</v>
      </c>
      <c r="R539" s="655">
        <f t="shared" si="549"/>
        <v>0</v>
      </c>
      <c r="S539" s="656">
        <f t="shared" si="549"/>
        <v>0</v>
      </c>
      <c r="T539" s="658" t="e">
        <f>+VLOOKUP($L539,Data_Validation!$A:$D,1,0)</f>
        <v>#N/A</v>
      </c>
      <c r="U539" s="658" t="e">
        <f>+VLOOKUP($L539,Data_Validation!$A:$D,3,0)</f>
        <v>#N/A</v>
      </c>
      <c r="V539" s="658" t="e">
        <f>+VLOOKUP($L539,Data_Validation!$A:$D,4,0)</f>
        <v>#N/A</v>
      </c>
      <c r="W539" s="658" t="e">
        <f>+VLOOKUP($L539,Data_Validation!$A:$E,5,0)</f>
        <v>#N/A</v>
      </c>
      <c r="X539" s="658" t="e">
        <f>+VLOOKUP($L539,Data_Validation!$A:$F,6,0)</f>
        <v>#N/A</v>
      </c>
    </row>
    <row r="540" spans="1:24" ht="15" customHeight="1">
      <c r="A540" s="716"/>
      <c r="B540" s="716"/>
      <c r="C540" s="717"/>
      <c r="D540" s="717"/>
      <c r="E540" s="717"/>
      <c r="F540" s="716"/>
      <c r="G540" s="716"/>
      <c r="H540" s="716"/>
      <c r="I540" s="718"/>
      <c r="J540" s="718"/>
      <c r="K540" s="718"/>
      <c r="L540" s="655" t="str">
        <f t="shared" si="524"/>
        <v>0</v>
      </c>
      <c r="M540" s="656">
        <f t="shared" si="520"/>
        <v>0</v>
      </c>
      <c r="N540" s="657">
        <f>+IF(OR($Q540=Parametres!$G$2,$Q540=Parametres!$G$3),I540,C540)</f>
        <v>0</v>
      </c>
      <c r="O540" s="657">
        <f>+IF(OR($Q540=Parametres!$G$2,$Q540=Parametres!$G$3),J540,D540)</f>
        <v>0</v>
      </c>
      <c r="P540" s="657">
        <f>+IF(OR($Q540=Parametres!$G$2,$Q540=Parametres!$G$3),K540,E540)</f>
        <v>0</v>
      </c>
      <c r="Q540" s="656">
        <f t="shared" ref="Q540:S540" si="550">+F540</f>
        <v>0</v>
      </c>
      <c r="R540" s="655">
        <f t="shared" si="550"/>
        <v>0</v>
      </c>
      <c r="S540" s="656">
        <f t="shared" si="550"/>
        <v>0</v>
      </c>
      <c r="T540" s="658" t="e">
        <f>+VLOOKUP($L540,Data_Validation!$A:$D,1,0)</f>
        <v>#N/A</v>
      </c>
      <c r="U540" s="658" t="e">
        <f>+VLOOKUP($L540,Data_Validation!$A:$D,3,0)</f>
        <v>#N/A</v>
      </c>
      <c r="V540" s="658" t="e">
        <f>+VLOOKUP($L540,Data_Validation!$A:$D,4,0)</f>
        <v>#N/A</v>
      </c>
      <c r="W540" s="658" t="e">
        <f>+VLOOKUP($L540,Data_Validation!$A:$E,5,0)</f>
        <v>#N/A</v>
      </c>
      <c r="X540" s="658" t="e">
        <f>+VLOOKUP($L540,Data_Validation!$A:$F,6,0)</f>
        <v>#N/A</v>
      </c>
    </row>
    <row r="541" spans="1:24" ht="15" customHeight="1">
      <c r="A541" s="716"/>
      <c r="B541" s="716"/>
      <c r="C541" s="717"/>
      <c r="D541" s="717"/>
      <c r="E541" s="717"/>
      <c r="F541" s="716"/>
      <c r="G541" s="716"/>
      <c r="H541" s="716"/>
      <c r="I541" s="718"/>
      <c r="J541" s="718"/>
      <c r="K541" s="718"/>
      <c r="L541" s="655" t="str">
        <f t="shared" si="524"/>
        <v>0</v>
      </c>
      <c r="M541" s="656">
        <f t="shared" si="520"/>
        <v>0</v>
      </c>
      <c r="N541" s="657">
        <f>+IF(OR($Q541=Parametres!$G$2,$Q541=Parametres!$G$3),I541,C541)</f>
        <v>0</v>
      </c>
      <c r="O541" s="657">
        <f>+IF(OR($Q541=Parametres!$G$2,$Q541=Parametres!$G$3),J541,D541)</f>
        <v>0</v>
      </c>
      <c r="P541" s="657">
        <f>+IF(OR($Q541=Parametres!$G$2,$Q541=Parametres!$G$3),K541,E541)</f>
        <v>0</v>
      </c>
      <c r="Q541" s="656">
        <f t="shared" ref="Q541:S541" si="551">+F541</f>
        <v>0</v>
      </c>
      <c r="R541" s="655">
        <f t="shared" si="551"/>
        <v>0</v>
      </c>
      <c r="S541" s="656">
        <f t="shared" si="551"/>
        <v>0</v>
      </c>
      <c r="T541" s="658" t="e">
        <f>+VLOOKUP($L541,Data_Validation!$A:$D,1,0)</f>
        <v>#N/A</v>
      </c>
      <c r="U541" s="658" t="e">
        <f>+VLOOKUP($L541,Data_Validation!$A:$D,3,0)</f>
        <v>#N/A</v>
      </c>
      <c r="V541" s="658" t="e">
        <f>+VLOOKUP($L541,Data_Validation!$A:$D,4,0)</f>
        <v>#N/A</v>
      </c>
      <c r="W541" s="658" t="e">
        <f>+VLOOKUP($L541,Data_Validation!$A:$E,5,0)</f>
        <v>#N/A</v>
      </c>
      <c r="X541" s="658" t="e">
        <f>+VLOOKUP($L541,Data_Validation!$A:$F,6,0)</f>
        <v>#N/A</v>
      </c>
    </row>
    <row r="542" spans="1:24" ht="15.75" customHeight="1">
      <c r="A542" s="716"/>
      <c r="B542" s="716"/>
      <c r="C542" s="717"/>
      <c r="D542" s="717"/>
      <c r="E542" s="717"/>
      <c r="F542" s="716"/>
      <c r="G542" s="716"/>
      <c r="H542" s="716"/>
      <c r="I542" s="718"/>
      <c r="J542" s="718"/>
      <c r="K542" s="718"/>
      <c r="L542" s="655" t="str">
        <f t="shared" si="524"/>
        <v>0</v>
      </c>
      <c r="M542" s="656">
        <f t="shared" si="520"/>
        <v>0</v>
      </c>
      <c r="N542" s="657">
        <f>+IF(OR($Q542=Parametres!$G$2,$Q542=Parametres!$G$3),I542,C542)</f>
        <v>0</v>
      </c>
      <c r="O542" s="657">
        <f>+IF(OR($Q542=Parametres!$G$2,$Q542=Parametres!$G$3),J542,D542)</f>
        <v>0</v>
      </c>
      <c r="P542" s="657">
        <f>+IF(OR($Q542=Parametres!$G$2,$Q542=Parametres!$G$3),K542,E542)</f>
        <v>0</v>
      </c>
      <c r="Q542" s="656">
        <f t="shared" ref="Q542:S542" si="552">+F542</f>
        <v>0</v>
      </c>
      <c r="R542" s="655">
        <f t="shared" si="552"/>
        <v>0</v>
      </c>
      <c r="S542" s="656">
        <f t="shared" si="552"/>
        <v>0</v>
      </c>
      <c r="T542" s="658" t="e">
        <f>+VLOOKUP($L542,Data_Validation!$A:$D,1,0)</f>
        <v>#N/A</v>
      </c>
      <c r="U542" s="658" t="e">
        <f>+VLOOKUP($L542,Data_Validation!$A:$D,3,0)</f>
        <v>#N/A</v>
      </c>
      <c r="V542" s="658" t="e">
        <f>+VLOOKUP($L542,Data_Validation!$A:$D,4,0)</f>
        <v>#N/A</v>
      </c>
      <c r="W542" s="658" t="e">
        <f>+VLOOKUP($L542,Data_Validation!$A:$E,5,0)</f>
        <v>#N/A</v>
      </c>
      <c r="X542" s="658" t="e">
        <f>+VLOOKUP($L542,Data_Validation!$A:$F,6,0)</f>
        <v>#N/A</v>
      </c>
    </row>
    <row r="543" spans="1:24" ht="15" customHeight="1">
      <c r="A543" s="716"/>
      <c r="B543" s="716"/>
      <c r="C543" s="717"/>
      <c r="D543" s="717"/>
      <c r="E543" s="717"/>
      <c r="F543" s="716"/>
      <c r="G543" s="716"/>
      <c r="H543" s="716"/>
      <c r="I543" s="718"/>
      <c r="J543" s="718"/>
      <c r="K543" s="718"/>
      <c r="L543" s="655" t="str">
        <f t="shared" si="524"/>
        <v>0</v>
      </c>
      <c r="M543" s="656">
        <f t="shared" si="520"/>
        <v>0</v>
      </c>
      <c r="N543" s="657">
        <f>+IF(OR($Q543=Parametres!$G$2,$Q543=Parametres!$G$3),I543,C543)</f>
        <v>0</v>
      </c>
      <c r="O543" s="657">
        <f>+IF(OR($Q543=Parametres!$G$2,$Q543=Parametres!$G$3),J543,D543)</f>
        <v>0</v>
      </c>
      <c r="P543" s="657">
        <f>+IF(OR($Q543=Parametres!$G$2,$Q543=Parametres!$G$3),K543,E543)</f>
        <v>0</v>
      </c>
      <c r="Q543" s="656">
        <f t="shared" ref="Q543:S543" si="553">+F543</f>
        <v>0</v>
      </c>
      <c r="R543" s="655">
        <f t="shared" si="553"/>
        <v>0</v>
      </c>
      <c r="S543" s="656">
        <f t="shared" si="553"/>
        <v>0</v>
      </c>
      <c r="T543" s="658" t="e">
        <f>+VLOOKUP($L543,Data_Validation!$A:$D,1,0)</f>
        <v>#N/A</v>
      </c>
      <c r="U543" s="658" t="e">
        <f>+VLOOKUP($L543,Data_Validation!$A:$D,3,0)</f>
        <v>#N/A</v>
      </c>
      <c r="V543" s="658" t="e">
        <f>+VLOOKUP($L543,Data_Validation!$A:$D,4,0)</f>
        <v>#N/A</v>
      </c>
      <c r="W543" s="658" t="e">
        <f>+VLOOKUP($L543,Data_Validation!$A:$E,5,0)</f>
        <v>#N/A</v>
      </c>
      <c r="X543" s="658" t="e">
        <f>+VLOOKUP($L543,Data_Validation!$A:$F,6,0)</f>
        <v>#N/A</v>
      </c>
    </row>
    <row r="544" spans="1:24" ht="15" customHeight="1">
      <c r="A544" s="716"/>
      <c r="B544" s="716"/>
      <c r="C544" s="717"/>
      <c r="D544" s="717"/>
      <c r="E544" s="717"/>
      <c r="F544" s="716"/>
      <c r="G544" s="716"/>
      <c r="H544" s="716"/>
      <c r="I544" s="718"/>
      <c r="J544" s="718"/>
      <c r="K544" s="718"/>
      <c r="L544" s="655" t="str">
        <f t="shared" si="524"/>
        <v>0</v>
      </c>
      <c r="M544" s="656">
        <f t="shared" si="520"/>
        <v>0</v>
      </c>
      <c r="N544" s="657">
        <f>+IF(OR($Q544=Parametres!$G$2,$Q544=Parametres!$G$3),I544,C544)</f>
        <v>0</v>
      </c>
      <c r="O544" s="657">
        <f>+IF(OR($Q544=Parametres!$G$2,$Q544=Parametres!$G$3),J544,D544)</f>
        <v>0</v>
      </c>
      <c r="P544" s="657">
        <f>+IF(OR($Q544=Parametres!$G$2,$Q544=Parametres!$G$3),K544,E544)</f>
        <v>0</v>
      </c>
      <c r="Q544" s="656">
        <f t="shared" ref="Q544:S544" si="554">+F544</f>
        <v>0</v>
      </c>
      <c r="R544" s="655">
        <f t="shared" si="554"/>
        <v>0</v>
      </c>
      <c r="S544" s="656">
        <f t="shared" si="554"/>
        <v>0</v>
      </c>
      <c r="T544" s="658" t="e">
        <f>+VLOOKUP($L544,Data_Validation!$A:$D,1,0)</f>
        <v>#N/A</v>
      </c>
      <c r="U544" s="658" t="e">
        <f>+VLOOKUP($L544,Data_Validation!$A:$D,3,0)</f>
        <v>#N/A</v>
      </c>
      <c r="V544" s="658" t="e">
        <f>+VLOOKUP($L544,Data_Validation!$A:$D,4,0)</f>
        <v>#N/A</v>
      </c>
      <c r="W544" s="658" t="e">
        <f>+VLOOKUP($L544,Data_Validation!$A:$E,5,0)</f>
        <v>#N/A</v>
      </c>
      <c r="X544" s="658" t="e">
        <f>+VLOOKUP($L544,Data_Validation!$A:$F,6,0)</f>
        <v>#N/A</v>
      </c>
    </row>
    <row r="545" spans="1:24" ht="15" customHeight="1">
      <c r="A545" s="716"/>
      <c r="B545" s="716"/>
      <c r="C545" s="717"/>
      <c r="D545" s="717"/>
      <c r="E545" s="717"/>
      <c r="F545" s="716"/>
      <c r="G545" s="716"/>
      <c r="H545" s="716"/>
      <c r="I545" s="718"/>
      <c r="J545" s="718"/>
      <c r="K545" s="718"/>
      <c r="L545" s="655" t="str">
        <f t="shared" si="524"/>
        <v>0</v>
      </c>
      <c r="M545" s="656">
        <f t="shared" si="520"/>
        <v>0</v>
      </c>
      <c r="N545" s="657">
        <f>+IF(OR($Q545=Parametres!$G$2,$Q545=Parametres!$G$3),I545,C545)</f>
        <v>0</v>
      </c>
      <c r="O545" s="657">
        <f>+IF(OR($Q545=Parametres!$G$2,$Q545=Parametres!$G$3),J545,D545)</f>
        <v>0</v>
      </c>
      <c r="P545" s="657">
        <f>+IF(OR($Q545=Parametres!$G$2,$Q545=Parametres!$G$3),K545,E545)</f>
        <v>0</v>
      </c>
      <c r="Q545" s="656">
        <f t="shared" ref="Q545:S545" si="555">+F545</f>
        <v>0</v>
      </c>
      <c r="R545" s="655">
        <f t="shared" si="555"/>
        <v>0</v>
      </c>
      <c r="S545" s="656">
        <f t="shared" si="555"/>
        <v>0</v>
      </c>
      <c r="T545" s="658" t="e">
        <f>+VLOOKUP($L545,Data_Validation!$A:$D,1,0)</f>
        <v>#N/A</v>
      </c>
      <c r="U545" s="658" t="e">
        <f>+VLOOKUP($L545,Data_Validation!$A:$D,3,0)</f>
        <v>#N/A</v>
      </c>
      <c r="V545" s="658" t="e">
        <f>+VLOOKUP($L545,Data_Validation!$A:$D,4,0)</f>
        <v>#N/A</v>
      </c>
      <c r="W545" s="658" t="e">
        <f>+VLOOKUP($L545,Data_Validation!$A:$E,5,0)</f>
        <v>#N/A</v>
      </c>
      <c r="X545" s="658" t="e">
        <f>+VLOOKUP($L545,Data_Validation!$A:$F,6,0)</f>
        <v>#N/A</v>
      </c>
    </row>
    <row r="546" spans="1:24" ht="15" customHeight="1">
      <c r="A546" s="716"/>
      <c r="B546" s="716"/>
      <c r="C546" s="717"/>
      <c r="D546" s="717"/>
      <c r="E546" s="717"/>
      <c r="F546" s="716"/>
      <c r="G546" s="716"/>
      <c r="H546" s="716"/>
      <c r="I546" s="718"/>
      <c r="J546" s="718"/>
      <c r="K546" s="718"/>
      <c r="L546" s="655" t="str">
        <f t="shared" si="524"/>
        <v>0</v>
      </c>
      <c r="M546" s="656">
        <f t="shared" si="520"/>
        <v>0</v>
      </c>
      <c r="N546" s="657">
        <f>+IF(OR($Q546=Parametres!$G$2,$Q546=Parametres!$G$3),I546,C546)</f>
        <v>0</v>
      </c>
      <c r="O546" s="657">
        <f>+IF(OR($Q546=Parametres!$G$2,$Q546=Parametres!$G$3),J546,D546)</f>
        <v>0</v>
      </c>
      <c r="P546" s="657">
        <f>+IF(OR($Q546=Parametres!$G$2,$Q546=Parametres!$G$3),K546,E546)</f>
        <v>0</v>
      </c>
      <c r="Q546" s="656">
        <f t="shared" ref="Q546:S546" si="556">+F546</f>
        <v>0</v>
      </c>
      <c r="R546" s="655">
        <f t="shared" si="556"/>
        <v>0</v>
      </c>
      <c r="S546" s="656">
        <f t="shared" si="556"/>
        <v>0</v>
      </c>
      <c r="T546" s="658" t="e">
        <f>+VLOOKUP($L546,Data_Validation!$A:$D,1,0)</f>
        <v>#N/A</v>
      </c>
      <c r="U546" s="658" t="e">
        <f>+VLOOKUP($L546,Data_Validation!$A:$D,3,0)</f>
        <v>#N/A</v>
      </c>
      <c r="V546" s="658" t="e">
        <f>+VLOOKUP($L546,Data_Validation!$A:$D,4,0)</f>
        <v>#N/A</v>
      </c>
      <c r="W546" s="658" t="e">
        <f>+VLOOKUP($L546,Data_Validation!$A:$E,5,0)</f>
        <v>#N/A</v>
      </c>
      <c r="X546" s="658" t="e">
        <f>+VLOOKUP($L546,Data_Validation!$A:$F,6,0)</f>
        <v>#N/A</v>
      </c>
    </row>
    <row r="547" spans="1:24" ht="15.75" customHeight="1">
      <c r="A547" s="716"/>
      <c r="B547" s="716"/>
      <c r="C547" s="717"/>
      <c r="D547" s="717"/>
      <c r="E547" s="717"/>
      <c r="F547" s="716"/>
      <c r="G547" s="716"/>
      <c r="H547" s="716"/>
      <c r="I547" s="718"/>
      <c r="J547" s="718"/>
      <c r="K547" s="718"/>
      <c r="L547" s="655" t="str">
        <f t="shared" si="524"/>
        <v>0</v>
      </c>
      <c r="M547" s="656">
        <f t="shared" si="520"/>
        <v>0</v>
      </c>
      <c r="N547" s="657">
        <f>+IF(OR($Q547=Parametres!$G$2,$Q547=Parametres!$G$3),I547,C547)</f>
        <v>0</v>
      </c>
      <c r="O547" s="657">
        <f>+IF(OR($Q547=Parametres!$G$2,$Q547=Parametres!$G$3),J547,D547)</f>
        <v>0</v>
      </c>
      <c r="P547" s="657">
        <f>+IF(OR($Q547=Parametres!$G$2,$Q547=Parametres!$G$3),K547,E547)</f>
        <v>0</v>
      </c>
      <c r="Q547" s="656">
        <f t="shared" ref="Q547:S547" si="557">+F547</f>
        <v>0</v>
      </c>
      <c r="R547" s="655">
        <f t="shared" si="557"/>
        <v>0</v>
      </c>
      <c r="S547" s="656">
        <f t="shared" si="557"/>
        <v>0</v>
      </c>
      <c r="T547" s="658" t="e">
        <f>+VLOOKUP($L547,Data_Validation!$A:$D,1,0)</f>
        <v>#N/A</v>
      </c>
      <c r="U547" s="658" t="e">
        <f>+VLOOKUP($L547,Data_Validation!$A:$D,3,0)</f>
        <v>#N/A</v>
      </c>
      <c r="V547" s="658" t="e">
        <f>+VLOOKUP($L547,Data_Validation!$A:$D,4,0)</f>
        <v>#N/A</v>
      </c>
      <c r="W547" s="658" t="e">
        <f>+VLOOKUP($L547,Data_Validation!$A:$E,5,0)</f>
        <v>#N/A</v>
      </c>
      <c r="X547" s="658" t="e">
        <f>+VLOOKUP($L547,Data_Validation!$A:$F,6,0)</f>
        <v>#N/A</v>
      </c>
    </row>
    <row r="548" spans="1:24" ht="15" customHeight="1">
      <c r="A548" s="716"/>
      <c r="B548" s="716"/>
      <c r="C548" s="717"/>
      <c r="D548" s="717"/>
      <c r="E548" s="717"/>
      <c r="F548" s="716"/>
      <c r="G548" s="716"/>
      <c r="H548" s="716"/>
      <c r="I548" s="718"/>
      <c r="J548" s="718"/>
      <c r="K548" s="718"/>
      <c r="L548" s="655" t="str">
        <f t="shared" si="524"/>
        <v>0</v>
      </c>
      <c r="M548" s="656">
        <f t="shared" si="520"/>
        <v>0</v>
      </c>
      <c r="N548" s="657">
        <f>+IF(OR($Q548=Parametres!$G$2,$Q548=Parametres!$G$3),I548,C548)</f>
        <v>0</v>
      </c>
      <c r="O548" s="657">
        <f>+IF(OR($Q548=Parametres!$G$2,$Q548=Parametres!$G$3),J548,D548)</f>
        <v>0</v>
      </c>
      <c r="P548" s="657">
        <f>+IF(OR($Q548=Parametres!$G$2,$Q548=Parametres!$G$3),K548,E548)</f>
        <v>0</v>
      </c>
      <c r="Q548" s="656">
        <f t="shared" ref="Q548:S548" si="558">+F548</f>
        <v>0</v>
      </c>
      <c r="R548" s="655">
        <f t="shared" si="558"/>
        <v>0</v>
      </c>
      <c r="S548" s="656">
        <f t="shared" si="558"/>
        <v>0</v>
      </c>
      <c r="T548" s="658" t="e">
        <f>+VLOOKUP($L548,Data_Validation!$A:$D,1,0)</f>
        <v>#N/A</v>
      </c>
      <c r="U548" s="658" t="e">
        <f>+VLOOKUP($L548,Data_Validation!$A:$D,3,0)</f>
        <v>#N/A</v>
      </c>
      <c r="V548" s="658" t="e">
        <f>+VLOOKUP($L548,Data_Validation!$A:$D,4,0)</f>
        <v>#N/A</v>
      </c>
      <c r="W548" s="658" t="e">
        <f>+VLOOKUP($L548,Data_Validation!$A:$E,5,0)</f>
        <v>#N/A</v>
      </c>
      <c r="X548" s="658" t="e">
        <f>+VLOOKUP($L548,Data_Validation!$A:$F,6,0)</f>
        <v>#N/A</v>
      </c>
    </row>
    <row r="549" spans="1:24" ht="15" customHeight="1">
      <c r="A549" s="716"/>
      <c r="B549" s="716"/>
      <c r="C549" s="717"/>
      <c r="D549" s="717"/>
      <c r="E549" s="717"/>
      <c r="F549" s="716"/>
      <c r="G549" s="716"/>
      <c r="H549" s="716"/>
      <c r="I549" s="718"/>
      <c r="J549" s="718"/>
      <c r="K549" s="718"/>
      <c r="L549" s="655" t="str">
        <f t="shared" si="524"/>
        <v>0</v>
      </c>
      <c r="M549" s="656">
        <f t="shared" si="520"/>
        <v>0</v>
      </c>
      <c r="N549" s="657">
        <f>+IF(OR($Q549=Parametres!$G$2,$Q549=Parametres!$G$3),I549,C549)</f>
        <v>0</v>
      </c>
      <c r="O549" s="657">
        <f>+IF(OR($Q549=Parametres!$G$2,$Q549=Parametres!$G$3),J549,D549)</f>
        <v>0</v>
      </c>
      <c r="P549" s="657">
        <f>+IF(OR($Q549=Parametres!$G$2,$Q549=Parametres!$G$3),K549,E549)</f>
        <v>0</v>
      </c>
      <c r="Q549" s="656">
        <f t="shared" ref="Q549:S549" si="559">+F549</f>
        <v>0</v>
      </c>
      <c r="R549" s="655">
        <f t="shared" si="559"/>
        <v>0</v>
      </c>
      <c r="S549" s="656">
        <f t="shared" si="559"/>
        <v>0</v>
      </c>
      <c r="T549" s="658" t="e">
        <f>+VLOOKUP($L549,Data_Validation!$A:$D,1,0)</f>
        <v>#N/A</v>
      </c>
      <c r="U549" s="658" t="e">
        <f>+VLOOKUP($L549,Data_Validation!$A:$D,3,0)</f>
        <v>#N/A</v>
      </c>
      <c r="V549" s="658" t="e">
        <f>+VLOOKUP($L549,Data_Validation!$A:$D,4,0)</f>
        <v>#N/A</v>
      </c>
      <c r="W549" s="658" t="e">
        <f>+VLOOKUP($L549,Data_Validation!$A:$E,5,0)</f>
        <v>#N/A</v>
      </c>
      <c r="X549" s="658" t="e">
        <f>+VLOOKUP($L549,Data_Validation!$A:$F,6,0)</f>
        <v>#N/A</v>
      </c>
    </row>
    <row r="550" spans="1:24" ht="15" customHeight="1">
      <c r="A550" s="716"/>
      <c r="B550" s="716"/>
      <c r="C550" s="717"/>
      <c r="D550" s="717"/>
      <c r="E550" s="717"/>
      <c r="F550" s="716"/>
      <c r="G550" s="716"/>
      <c r="H550" s="716"/>
      <c r="I550" s="718"/>
      <c r="J550" s="718"/>
      <c r="K550" s="718"/>
      <c r="L550" s="655" t="str">
        <f t="shared" si="524"/>
        <v>0</v>
      </c>
      <c r="M550" s="656">
        <f t="shared" si="520"/>
        <v>0</v>
      </c>
      <c r="N550" s="657">
        <f>+IF(OR($Q550=Parametres!$G$2,$Q550=Parametres!$G$3),I550,C550)</f>
        <v>0</v>
      </c>
      <c r="O550" s="657">
        <f>+IF(OR($Q550=Parametres!$G$2,$Q550=Parametres!$G$3),J550,D550)</f>
        <v>0</v>
      </c>
      <c r="P550" s="657">
        <f>+IF(OR($Q550=Parametres!$G$2,$Q550=Parametres!$G$3),K550,E550)</f>
        <v>0</v>
      </c>
      <c r="Q550" s="656">
        <f t="shared" ref="Q550:S550" si="560">+F550</f>
        <v>0</v>
      </c>
      <c r="R550" s="655">
        <f t="shared" si="560"/>
        <v>0</v>
      </c>
      <c r="S550" s="656">
        <f t="shared" si="560"/>
        <v>0</v>
      </c>
      <c r="T550" s="658" t="e">
        <f>+VLOOKUP($L550,Data_Validation!$A:$D,1,0)</f>
        <v>#N/A</v>
      </c>
      <c r="U550" s="658" t="e">
        <f>+VLOOKUP($L550,Data_Validation!$A:$D,3,0)</f>
        <v>#N/A</v>
      </c>
      <c r="V550" s="658" t="e">
        <f>+VLOOKUP($L550,Data_Validation!$A:$D,4,0)</f>
        <v>#N/A</v>
      </c>
      <c r="W550" s="658" t="e">
        <f>+VLOOKUP($L550,Data_Validation!$A:$E,5,0)</f>
        <v>#N/A</v>
      </c>
      <c r="X550" s="658" t="e">
        <f>+VLOOKUP($L550,Data_Validation!$A:$F,6,0)</f>
        <v>#N/A</v>
      </c>
    </row>
    <row r="551" spans="1:24" ht="15.75" customHeight="1">
      <c r="A551" s="716"/>
      <c r="B551" s="716"/>
      <c r="C551" s="717"/>
      <c r="D551" s="717"/>
      <c r="E551" s="717"/>
      <c r="F551" s="716"/>
      <c r="G551" s="716"/>
      <c r="H551" s="716"/>
      <c r="I551" s="718"/>
      <c r="J551" s="718"/>
      <c r="K551" s="718"/>
      <c r="L551" s="655" t="str">
        <f t="shared" si="524"/>
        <v>0</v>
      </c>
      <c r="M551" s="656">
        <f t="shared" si="520"/>
        <v>0</v>
      </c>
      <c r="N551" s="657">
        <f>+IF(OR($Q551=Parametres!$G$2,$Q551=Parametres!$G$3),I551,C551)</f>
        <v>0</v>
      </c>
      <c r="O551" s="657">
        <f>+IF(OR($Q551=Parametres!$G$2,$Q551=Parametres!$G$3),J551,D551)</f>
        <v>0</v>
      </c>
      <c r="P551" s="657">
        <f>+IF(OR($Q551=Parametres!$G$2,$Q551=Parametres!$G$3),K551,E551)</f>
        <v>0</v>
      </c>
      <c r="Q551" s="656">
        <f t="shared" ref="Q551:S551" si="561">+F551</f>
        <v>0</v>
      </c>
      <c r="R551" s="655">
        <f t="shared" si="561"/>
        <v>0</v>
      </c>
      <c r="S551" s="656">
        <f t="shared" si="561"/>
        <v>0</v>
      </c>
      <c r="T551" s="658" t="e">
        <f>+VLOOKUP($L551,Data_Validation!$A:$D,1,0)</f>
        <v>#N/A</v>
      </c>
      <c r="U551" s="658" t="e">
        <f>+VLOOKUP($L551,Data_Validation!$A:$D,3,0)</f>
        <v>#N/A</v>
      </c>
      <c r="V551" s="658" t="e">
        <f>+VLOOKUP($L551,Data_Validation!$A:$D,4,0)</f>
        <v>#N/A</v>
      </c>
      <c r="W551" s="658" t="e">
        <f>+VLOOKUP($L551,Data_Validation!$A:$E,5,0)</f>
        <v>#N/A</v>
      </c>
      <c r="X551" s="658" t="e">
        <f>+VLOOKUP($L551,Data_Validation!$A:$F,6,0)</f>
        <v>#N/A</v>
      </c>
    </row>
    <row r="552" spans="1:24" ht="15" customHeight="1">
      <c r="A552" s="716"/>
      <c r="B552" s="716"/>
      <c r="C552" s="717"/>
      <c r="D552" s="717"/>
      <c r="E552" s="717"/>
      <c r="F552" s="716"/>
      <c r="G552" s="716"/>
      <c r="H552" s="716"/>
      <c r="I552" s="718"/>
      <c r="J552" s="718"/>
      <c r="K552" s="718"/>
      <c r="L552" s="655" t="str">
        <f t="shared" si="524"/>
        <v>0</v>
      </c>
      <c r="M552" s="656">
        <f t="shared" si="520"/>
        <v>0</v>
      </c>
      <c r="N552" s="657">
        <f>+IF(OR($Q552=Parametres!$G$2,$Q552=Parametres!$G$3),I552,C552)</f>
        <v>0</v>
      </c>
      <c r="O552" s="657">
        <f>+IF(OR($Q552=Parametres!$G$2,$Q552=Parametres!$G$3),J552,D552)</f>
        <v>0</v>
      </c>
      <c r="P552" s="657">
        <f>+IF(OR($Q552=Parametres!$G$2,$Q552=Parametres!$G$3),K552,E552)</f>
        <v>0</v>
      </c>
      <c r="Q552" s="656">
        <f t="shared" ref="Q552:S552" si="562">+F552</f>
        <v>0</v>
      </c>
      <c r="R552" s="655">
        <f t="shared" si="562"/>
        <v>0</v>
      </c>
      <c r="S552" s="656">
        <f t="shared" si="562"/>
        <v>0</v>
      </c>
      <c r="T552" s="658" t="e">
        <f>+VLOOKUP($L552,Data_Validation!$A:$D,1,0)</f>
        <v>#N/A</v>
      </c>
      <c r="U552" s="658" t="e">
        <f>+VLOOKUP($L552,Data_Validation!$A:$D,3,0)</f>
        <v>#N/A</v>
      </c>
      <c r="V552" s="658" t="e">
        <f>+VLOOKUP($L552,Data_Validation!$A:$D,4,0)</f>
        <v>#N/A</v>
      </c>
      <c r="W552" s="658" t="e">
        <f>+VLOOKUP($L552,Data_Validation!$A:$E,5,0)</f>
        <v>#N/A</v>
      </c>
      <c r="X552" s="658" t="e">
        <f>+VLOOKUP($L552,Data_Validation!$A:$F,6,0)</f>
        <v>#N/A</v>
      </c>
    </row>
    <row r="553" spans="1:24" ht="15" customHeight="1">
      <c r="A553" s="716"/>
      <c r="B553" s="716"/>
      <c r="C553" s="717"/>
      <c r="D553" s="717"/>
      <c r="E553" s="717"/>
      <c r="F553" s="716"/>
      <c r="G553" s="716"/>
      <c r="H553" s="716"/>
      <c r="I553" s="718"/>
      <c r="J553" s="718"/>
      <c r="K553" s="718"/>
      <c r="L553" s="655" t="str">
        <f t="shared" si="524"/>
        <v>0</v>
      </c>
      <c r="M553" s="656">
        <f t="shared" si="520"/>
        <v>0</v>
      </c>
      <c r="N553" s="657">
        <f>+IF(OR($Q553=Parametres!$G$2,$Q553=Parametres!$G$3),I553,C553)</f>
        <v>0</v>
      </c>
      <c r="O553" s="657">
        <f>+IF(OR($Q553=Parametres!$G$2,$Q553=Parametres!$G$3),J553,D553)</f>
        <v>0</v>
      </c>
      <c r="P553" s="657">
        <f>+IF(OR($Q553=Parametres!$G$2,$Q553=Parametres!$G$3),K553,E553)</f>
        <v>0</v>
      </c>
      <c r="Q553" s="656">
        <f t="shared" ref="Q553:S553" si="563">+F553</f>
        <v>0</v>
      </c>
      <c r="R553" s="655">
        <f t="shared" si="563"/>
        <v>0</v>
      </c>
      <c r="S553" s="656">
        <f t="shared" si="563"/>
        <v>0</v>
      </c>
      <c r="T553" s="658" t="e">
        <f>+VLOOKUP($L553,Data_Validation!$A:$D,1,0)</f>
        <v>#N/A</v>
      </c>
      <c r="U553" s="658" t="e">
        <f>+VLOOKUP($L553,Data_Validation!$A:$D,3,0)</f>
        <v>#N/A</v>
      </c>
      <c r="V553" s="658" t="e">
        <f>+VLOOKUP($L553,Data_Validation!$A:$D,4,0)</f>
        <v>#N/A</v>
      </c>
      <c r="W553" s="658" t="e">
        <f>+VLOOKUP($L553,Data_Validation!$A:$E,5,0)</f>
        <v>#N/A</v>
      </c>
      <c r="X553" s="658" t="e">
        <f>+VLOOKUP($L553,Data_Validation!$A:$F,6,0)</f>
        <v>#N/A</v>
      </c>
    </row>
    <row r="554" spans="1:24" ht="15" customHeight="1">
      <c r="A554" s="716"/>
      <c r="B554" s="716"/>
      <c r="C554" s="717"/>
      <c r="D554" s="717"/>
      <c r="E554" s="717"/>
      <c r="F554" s="716"/>
      <c r="G554" s="716"/>
      <c r="H554" s="716"/>
      <c r="I554" s="718"/>
      <c r="J554" s="718"/>
      <c r="K554" s="718"/>
      <c r="L554" s="655" t="str">
        <f t="shared" si="524"/>
        <v>0</v>
      </c>
      <c r="M554" s="656">
        <f t="shared" si="520"/>
        <v>0</v>
      </c>
      <c r="N554" s="657">
        <f>+IF(OR($Q554=Parametres!$G$2,$Q554=Parametres!$G$3),I554,C554)</f>
        <v>0</v>
      </c>
      <c r="O554" s="657">
        <f>+IF(OR($Q554=Parametres!$G$2,$Q554=Parametres!$G$3),J554,D554)</f>
        <v>0</v>
      </c>
      <c r="P554" s="657">
        <f>+IF(OR($Q554=Parametres!$G$2,$Q554=Parametres!$G$3),K554,E554)</f>
        <v>0</v>
      </c>
      <c r="Q554" s="656">
        <f t="shared" ref="Q554:S554" si="564">+F554</f>
        <v>0</v>
      </c>
      <c r="R554" s="655">
        <f t="shared" si="564"/>
        <v>0</v>
      </c>
      <c r="S554" s="656">
        <f t="shared" si="564"/>
        <v>0</v>
      </c>
      <c r="T554" s="658" t="e">
        <f>+VLOOKUP($L554,Data_Validation!$A:$D,1,0)</f>
        <v>#N/A</v>
      </c>
      <c r="U554" s="658" t="e">
        <f>+VLOOKUP($L554,Data_Validation!$A:$D,3,0)</f>
        <v>#N/A</v>
      </c>
      <c r="V554" s="658" t="e">
        <f>+VLOOKUP($L554,Data_Validation!$A:$D,4,0)</f>
        <v>#N/A</v>
      </c>
      <c r="W554" s="658" t="e">
        <f>+VLOOKUP($L554,Data_Validation!$A:$E,5,0)</f>
        <v>#N/A</v>
      </c>
      <c r="X554" s="658" t="e">
        <f>+VLOOKUP($L554,Data_Validation!$A:$F,6,0)</f>
        <v>#N/A</v>
      </c>
    </row>
    <row r="555" spans="1:24" ht="15.75" customHeight="1">
      <c r="A555" s="716"/>
      <c r="B555" s="716"/>
      <c r="C555" s="717"/>
      <c r="D555" s="717"/>
      <c r="E555" s="717"/>
      <c r="F555" s="716"/>
      <c r="G555" s="716"/>
      <c r="H555" s="716"/>
      <c r="I555" s="718"/>
      <c r="J555" s="718"/>
      <c r="K555" s="718"/>
      <c r="L555" s="655" t="str">
        <f t="shared" si="524"/>
        <v>0</v>
      </c>
      <c r="M555" s="656">
        <f t="shared" si="520"/>
        <v>0</v>
      </c>
      <c r="N555" s="657">
        <f>+IF(OR($Q555=Parametres!$G$2,$Q555=Parametres!$G$3),I555,C555)</f>
        <v>0</v>
      </c>
      <c r="O555" s="657">
        <f>+IF(OR($Q555=Parametres!$G$2,$Q555=Parametres!$G$3),J555,D555)</f>
        <v>0</v>
      </c>
      <c r="P555" s="657">
        <f>+IF(OR($Q555=Parametres!$G$2,$Q555=Parametres!$G$3),K555,E555)</f>
        <v>0</v>
      </c>
      <c r="Q555" s="656">
        <f t="shared" ref="Q555:S555" si="565">+F555</f>
        <v>0</v>
      </c>
      <c r="R555" s="655">
        <f t="shared" si="565"/>
        <v>0</v>
      </c>
      <c r="S555" s="656">
        <f t="shared" si="565"/>
        <v>0</v>
      </c>
      <c r="T555" s="658" t="e">
        <f>+VLOOKUP($L555,Data_Validation!$A:$D,1,0)</f>
        <v>#N/A</v>
      </c>
      <c r="U555" s="658" t="e">
        <f>+VLOOKUP($L555,Data_Validation!$A:$D,3,0)</f>
        <v>#N/A</v>
      </c>
      <c r="V555" s="658" t="e">
        <f>+VLOOKUP($L555,Data_Validation!$A:$D,4,0)</f>
        <v>#N/A</v>
      </c>
      <c r="W555" s="658" t="e">
        <f>+VLOOKUP($L555,Data_Validation!$A:$E,5,0)</f>
        <v>#N/A</v>
      </c>
      <c r="X555" s="658" t="e">
        <f>+VLOOKUP($L555,Data_Validation!$A:$F,6,0)</f>
        <v>#N/A</v>
      </c>
    </row>
    <row r="556" spans="1:24" ht="15" customHeight="1">
      <c r="A556" s="716"/>
      <c r="B556" s="716"/>
      <c r="C556" s="717"/>
      <c r="D556" s="717"/>
      <c r="E556" s="717"/>
      <c r="F556" s="716"/>
      <c r="G556" s="716"/>
      <c r="H556" s="716"/>
      <c r="I556" s="718"/>
      <c r="J556" s="718"/>
      <c r="K556" s="718"/>
      <c r="L556" s="655" t="str">
        <f t="shared" si="524"/>
        <v>0</v>
      </c>
      <c r="M556" s="656">
        <f t="shared" si="520"/>
        <v>0</v>
      </c>
      <c r="N556" s="657">
        <f>+IF(OR($Q556=Parametres!$G$2,$Q556=Parametres!$G$3),I556,C556)</f>
        <v>0</v>
      </c>
      <c r="O556" s="657">
        <f>+IF(OR($Q556=Parametres!$G$2,$Q556=Parametres!$G$3),J556,D556)</f>
        <v>0</v>
      </c>
      <c r="P556" s="657">
        <f>+IF(OR($Q556=Parametres!$G$2,$Q556=Parametres!$G$3),K556,E556)</f>
        <v>0</v>
      </c>
      <c r="Q556" s="656">
        <f t="shared" ref="Q556:S556" si="566">+F556</f>
        <v>0</v>
      </c>
      <c r="R556" s="655">
        <f t="shared" si="566"/>
        <v>0</v>
      </c>
      <c r="S556" s="656">
        <f t="shared" si="566"/>
        <v>0</v>
      </c>
      <c r="T556" s="658" t="e">
        <f>+VLOOKUP($L556,Data_Validation!$A:$D,1,0)</f>
        <v>#N/A</v>
      </c>
      <c r="U556" s="658" t="e">
        <f>+VLOOKUP($L556,Data_Validation!$A:$D,3,0)</f>
        <v>#N/A</v>
      </c>
      <c r="V556" s="658" t="e">
        <f>+VLOOKUP($L556,Data_Validation!$A:$D,4,0)</f>
        <v>#N/A</v>
      </c>
      <c r="W556" s="658" t="e">
        <f>+VLOOKUP($L556,Data_Validation!$A:$E,5,0)</f>
        <v>#N/A</v>
      </c>
      <c r="X556" s="658" t="e">
        <f>+VLOOKUP($L556,Data_Validation!$A:$F,6,0)</f>
        <v>#N/A</v>
      </c>
    </row>
    <row r="557" spans="1:24" ht="15" customHeight="1">
      <c r="A557" s="716"/>
      <c r="B557" s="716"/>
      <c r="C557" s="717"/>
      <c r="D557" s="717"/>
      <c r="E557" s="717"/>
      <c r="F557" s="716"/>
      <c r="G557" s="716"/>
      <c r="H557" s="716"/>
      <c r="I557" s="718"/>
      <c r="J557" s="718"/>
      <c r="K557" s="718"/>
      <c r="L557" s="655" t="str">
        <f t="shared" si="524"/>
        <v>0</v>
      </c>
      <c r="M557" s="656">
        <f t="shared" si="520"/>
        <v>0</v>
      </c>
      <c r="N557" s="657">
        <f>+IF(OR($Q557=Parametres!$G$2,$Q557=Parametres!$G$3),I557,C557)</f>
        <v>0</v>
      </c>
      <c r="O557" s="657">
        <f>+IF(OR($Q557=Parametres!$G$2,$Q557=Parametres!$G$3),J557,D557)</f>
        <v>0</v>
      </c>
      <c r="P557" s="657">
        <f>+IF(OR($Q557=Parametres!$G$2,$Q557=Parametres!$G$3),K557,E557)</f>
        <v>0</v>
      </c>
      <c r="Q557" s="656">
        <f t="shared" ref="Q557:S557" si="567">+F557</f>
        <v>0</v>
      </c>
      <c r="R557" s="655">
        <f t="shared" si="567"/>
        <v>0</v>
      </c>
      <c r="S557" s="656">
        <f t="shared" si="567"/>
        <v>0</v>
      </c>
      <c r="T557" s="658" t="e">
        <f>+VLOOKUP($L557,Data_Validation!$A:$D,1,0)</f>
        <v>#N/A</v>
      </c>
      <c r="U557" s="658" t="e">
        <f>+VLOOKUP($L557,Data_Validation!$A:$D,3,0)</f>
        <v>#N/A</v>
      </c>
      <c r="V557" s="658" t="e">
        <f>+VLOOKUP($L557,Data_Validation!$A:$D,4,0)</f>
        <v>#N/A</v>
      </c>
      <c r="W557" s="658" t="e">
        <f>+VLOOKUP($L557,Data_Validation!$A:$E,5,0)</f>
        <v>#N/A</v>
      </c>
      <c r="X557" s="658" t="e">
        <f>+VLOOKUP($L557,Data_Validation!$A:$F,6,0)</f>
        <v>#N/A</v>
      </c>
    </row>
    <row r="558" spans="1:24" ht="15" customHeight="1">
      <c r="A558" s="716"/>
      <c r="B558" s="716"/>
      <c r="C558" s="717"/>
      <c r="D558" s="717"/>
      <c r="E558" s="717"/>
      <c r="F558" s="716"/>
      <c r="G558" s="716"/>
      <c r="H558" s="716"/>
      <c r="I558" s="718"/>
      <c r="J558" s="718"/>
      <c r="K558" s="718"/>
      <c r="L558" s="655" t="str">
        <f t="shared" si="524"/>
        <v>0</v>
      </c>
      <c r="M558" s="656">
        <f t="shared" si="520"/>
        <v>0</v>
      </c>
      <c r="N558" s="657">
        <f>+IF(OR($Q558=Parametres!$G$2,$Q558=Parametres!$G$3),I558,C558)</f>
        <v>0</v>
      </c>
      <c r="O558" s="657">
        <f>+IF(OR($Q558=Parametres!$G$2,$Q558=Parametres!$G$3),J558,D558)</f>
        <v>0</v>
      </c>
      <c r="P558" s="657">
        <f>+IF(OR($Q558=Parametres!$G$2,$Q558=Parametres!$G$3),K558,E558)</f>
        <v>0</v>
      </c>
      <c r="Q558" s="656">
        <f t="shared" ref="Q558:S558" si="568">+F558</f>
        <v>0</v>
      </c>
      <c r="R558" s="655">
        <f t="shared" si="568"/>
        <v>0</v>
      </c>
      <c r="S558" s="656">
        <f t="shared" si="568"/>
        <v>0</v>
      </c>
      <c r="T558" s="658" t="e">
        <f>+VLOOKUP($L558,Data_Validation!$A:$D,1,0)</f>
        <v>#N/A</v>
      </c>
      <c r="U558" s="658" t="e">
        <f>+VLOOKUP($L558,Data_Validation!$A:$D,3,0)</f>
        <v>#N/A</v>
      </c>
      <c r="V558" s="658" t="e">
        <f>+VLOOKUP($L558,Data_Validation!$A:$D,4,0)</f>
        <v>#N/A</v>
      </c>
      <c r="W558" s="658" t="e">
        <f>+VLOOKUP($L558,Data_Validation!$A:$E,5,0)</f>
        <v>#N/A</v>
      </c>
      <c r="X558" s="658" t="e">
        <f>+VLOOKUP($L558,Data_Validation!$A:$F,6,0)</f>
        <v>#N/A</v>
      </c>
    </row>
    <row r="559" spans="1:24" ht="15.75" customHeight="1">
      <c r="A559" s="716"/>
      <c r="B559" s="716"/>
      <c r="C559" s="717"/>
      <c r="D559" s="717"/>
      <c r="E559" s="717"/>
      <c r="F559" s="716"/>
      <c r="G559" s="716"/>
      <c r="H559" s="716"/>
      <c r="I559" s="718"/>
      <c r="J559" s="718"/>
      <c r="K559" s="718"/>
      <c r="L559" s="655" t="str">
        <f t="shared" si="524"/>
        <v>0</v>
      </c>
      <c r="M559" s="656">
        <f t="shared" si="520"/>
        <v>0</v>
      </c>
      <c r="N559" s="657">
        <f>+IF(OR($Q559=Parametres!$G$2,$Q559=Parametres!$G$3),I559,C559)</f>
        <v>0</v>
      </c>
      <c r="O559" s="657">
        <f>+IF(OR($Q559=Parametres!$G$2,$Q559=Parametres!$G$3),J559,D559)</f>
        <v>0</v>
      </c>
      <c r="P559" s="657">
        <f>+IF(OR($Q559=Parametres!$G$2,$Q559=Parametres!$G$3),K559,E559)</f>
        <v>0</v>
      </c>
      <c r="Q559" s="656">
        <f t="shared" ref="Q559:S559" si="569">+F559</f>
        <v>0</v>
      </c>
      <c r="R559" s="655">
        <f t="shared" si="569"/>
        <v>0</v>
      </c>
      <c r="S559" s="656">
        <f t="shared" si="569"/>
        <v>0</v>
      </c>
      <c r="T559" s="658" t="e">
        <f>+VLOOKUP($L559,Data_Validation!$A:$D,1,0)</f>
        <v>#N/A</v>
      </c>
      <c r="U559" s="658" t="e">
        <f>+VLOOKUP($L559,Data_Validation!$A:$D,3,0)</f>
        <v>#N/A</v>
      </c>
      <c r="V559" s="658" t="e">
        <f>+VLOOKUP($L559,Data_Validation!$A:$D,4,0)</f>
        <v>#N/A</v>
      </c>
      <c r="W559" s="658" t="e">
        <f>+VLOOKUP($L559,Data_Validation!$A:$E,5,0)</f>
        <v>#N/A</v>
      </c>
      <c r="X559" s="658" t="e">
        <f>+VLOOKUP($L559,Data_Validation!$A:$F,6,0)</f>
        <v>#N/A</v>
      </c>
    </row>
    <row r="560" spans="1:24" ht="15" customHeight="1">
      <c r="A560" s="716"/>
      <c r="B560" s="716"/>
      <c r="C560" s="717"/>
      <c r="D560" s="717"/>
      <c r="E560" s="717"/>
      <c r="F560" s="716"/>
      <c r="G560" s="716"/>
      <c r="H560" s="716"/>
      <c r="I560" s="718"/>
      <c r="J560" s="718"/>
      <c r="K560" s="718"/>
      <c r="L560" s="655" t="str">
        <f t="shared" si="524"/>
        <v>0</v>
      </c>
      <c r="M560" s="656">
        <f t="shared" si="520"/>
        <v>0</v>
      </c>
      <c r="N560" s="657">
        <f>+IF(OR($Q560=Parametres!$G$2,$Q560=Parametres!$G$3),I560,C560)</f>
        <v>0</v>
      </c>
      <c r="O560" s="657">
        <f>+IF(OR($Q560=Parametres!$G$2,$Q560=Parametres!$G$3),J560,D560)</f>
        <v>0</v>
      </c>
      <c r="P560" s="657">
        <f>+IF(OR($Q560=Parametres!$G$2,$Q560=Parametres!$G$3),K560,E560)</f>
        <v>0</v>
      </c>
      <c r="Q560" s="656">
        <f t="shared" ref="Q560:S560" si="570">+F560</f>
        <v>0</v>
      </c>
      <c r="R560" s="655">
        <f t="shared" si="570"/>
        <v>0</v>
      </c>
      <c r="S560" s="656">
        <f t="shared" si="570"/>
        <v>0</v>
      </c>
      <c r="T560" s="658" t="e">
        <f>+VLOOKUP($L560,Data_Validation!$A:$D,1,0)</f>
        <v>#N/A</v>
      </c>
      <c r="U560" s="658" t="e">
        <f>+VLOOKUP($L560,Data_Validation!$A:$D,3,0)</f>
        <v>#N/A</v>
      </c>
      <c r="V560" s="658" t="e">
        <f>+VLOOKUP($L560,Data_Validation!$A:$D,4,0)</f>
        <v>#N/A</v>
      </c>
      <c r="W560" s="658" t="e">
        <f>+VLOOKUP($L560,Data_Validation!$A:$E,5,0)</f>
        <v>#N/A</v>
      </c>
      <c r="X560" s="658" t="e">
        <f>+VLOOKUP($L560,Data_Validation!$A:$F,6,0)</f>
        <v>#N/A</v>
      </c>
    </row>
    <row r="561" spans="1:24" ht="15" customHeight="1">
      <c r="A561" s="716"/>
      <c r="B561" s="716"/>
      <c r="C561" s="717"/>
      <c r="D561" s="717"/>
      <c r="E561" s="717"/>
      <c r="F561" s="716"/>
      <c r="G561" s="716"/>
      <c r="H561" s="716"/>
      <c r="I561" s="718"/>
      <c r="J561" s="718"/>
      <c r="K561" s="718"/>
      <c r="L561" s="655" t="str">
        <f t="shared" si="524"/>
        <v>0</v>
      </c>
      <c r="M561" s="656">
        <f t="shared" si="520"/>
        <v>0</v>
      </c>
      <c r="N561" s="657">
        <f>+IF(OR($Q561=Parametres!$G$2,$Q561=Parametres!$G$3),I561,C561)</f>
        <v>0</v>
      </c>
      <c r="O561" s="657">
        <f>+IF(OR($Q561=Parametres!$G$2,$Q561=Parametres!$G$3),J561,D561)</f>
        <v>0</v>
      </c>
      <c r="P561" s="657">
        <f>+IF(OR($Q561=Parametres!$G$2,$Q561=Parametres!$G$3),K561,E561)</f>
        <v>0</v>
      </c>
      <c r="Q561" s="656">
        <f t="shared" ref="Q561:S561" si="571">+F561</f>
        <v>0</v>
      </c>
      <c r="R561" s="655">
        <f t="shared" si="571"/>
        <v>0</v>
      </c>
      <c r="S561" s="656">
        <f t="shared" si="571"/>
        <v>0</v>
      </c>
      <c r="T561" s="658" t="e">
        <f>+VLOOKUP($L561,Data_Validation!$A:$D,1,0)</f>
        <v>#N/A</v>
      </c>
      <c r="U561" s="658" t="e">
        <f>+VLOOKUP($L561,Data_Validation!$A:$D,3,0)</f>
        <v>#N/A</v>
      </c>
      <c r="V561" s="658" t="e">
        <f>+VLOOKUP($L561,Data_Validation!$A:$D,4,0)</f>
        <v>#N/A</v>
      </c>
      <c r="W561" s="658" t="e">
        <f>+VLOOKUP($L561,Data_Validation!$A:$E,5,0)</f>
        <v>#N/A</v>
      </c>
      <c r="X561" s="658" t="e">
        <f>+VLOOKUP($L561,Data_Validation!$A:$F,6,0)</f>
        <v>#N/A</v>
      </c>
    </row>
    <row r="562" spans="1:24" ht="15" customHeight="1">
      <c r="A562" s="716"/>
      <c r="B562" s="716"/>
      <c r="C562" s="717"/>
      <c r="D562" s="717"/>
      <c r="E562" s="717"/>
      <c r="F562" s="716"/>
      <c r="G562" s="716"/>
      <c r="H562" s="716"/>
      <c r="I562" s="718"/>
      <c r="J562" s="718"/>
      <c r="K562" s="718"/>
      <c r="L562" s="655" t="str">
        <f t="shared" si="524"/>
        <v>0</v>
      </c>
      <c r="M562" s="656">
        <f t="shared" si="520"/>
        <v>0</v>
      </c>
      <c r="N562" s="657">
        <f>+IF(OR($Q562=Parametres!$G$2,$Q562=Parametres!$G$3),I562,C562)</f>
        <v>0</v>
      </c>
      <c r="O562" s="657">
        <f>+IF(OR($Q562=Parametres!$G$2,$Q562=Parametres!$G$3),J562,D562)</f>
        <v>0</v>
      </c>
      <c r="P562" s="657">
        <f>+IF(OR($Q562=Parametres!$G$2,$Q562=Parametres!$G$3),K562,E562)</f>
        <v>0</v>
      </c>
      <c r="Q562" s="656">
        <f t="shared" ref="Q562:S562" si="572">+F562</f>
        <v>0</v>
      </c>
      <c r="R562" s="655">
        <f t="shared" si="572"/>
        <v>0</v>
      </c>
      <c r="S562" s="656">
        <f t="shared" si="572"/>
        <v>0</v>
      </c>
      <c r="T562" s="658" t="e">
        <f>+VLOOKUP($L562,Data_Validation!$A:$D,1,0)</f>
        <v>#N/A</v>
      </c>
      <c r="U562" s="658" t="e">
        <f>+VLOOKUP($L562,Data_Validation!$A:$D,3,0)</f>
        <v>#N/A</v>
      </c>
      <c r="V562" s="658" t="e">
        <f>+VLOOKUP($L562,Data_Validation!$A:$D,4,0)</f>
        <v>#N/A</v>
      </c>
      <c r="W562" s="658" t="e">
        <f>+VLOOKUP($L562,Data_Validation!$A:$E,5,0)</f>
        <v>#N/A</v>
      </c>
      <c r="X562" s="658" t="e">
        <f>+VLOOKUP($L562,Data_Validation!$A:$F,6,0)</f>
        <v>#N/A</v>
      </c>
    </row>
    <row r="563" spans="1:24" ht="15.75" customHeight="1">
      <c r="A563" s="716"/>
      <c r="B563" s="716"/>
      <c r="C563" s="717"/>
      <c r="D563" s="717"/>
      <c r="E563" s="717"/>
      <c r="F563" s="716"/>
      <c r="G563" s="716"/>
      <c r="H563" s="716"/>
      <c r="I563" s="718"/>
      <c r="J563" s="718"/>
      <c r="K563" s="718"/>
      <c r="L563" s="655" t="str">
        <f t="shared" si="524"/>
        <v>0</v>
      </c>
      <c r="M563" s="656">
        <f t="shared" si="520"/>
        <v>0</v>
      </c>
      <c r="N563" s="657">
        <f>+IF(OR($Q563=Parametres!$G$2,$Q563=Parametres!$G$3),I563,C563)</f>
        <v>0</v>
      </c>
      <c r="O563" s="657">
        <f>+IF(OR($Q563=Parametres!$G$2,$Q563=Parametres!$G$3),J563,D563)</f>
        <v>0</v>
      </c>
      <c r="P563" s="657">
        <f>+IF(OR($Q563=Parametres!$G$2,$Q563=Parametres!$G$3),K563,E563)</f>
        <v>0</v>
      </c>
      <c r="Q563" s="656">
        <f t="shared" ref="Q563:S563" si="573">+F563</f>
        <v>0</v>
      </c>
      <c r="R563" s="655">
        <f t="shared" si="573"/>
        <v>0</v>
      </c>
      <c r="S563" s="656">
        <f t="shared" si="573"/>
        <v>0</v>
      </c>
      <c r="T563" s="658" t="e">
        <f>+VLOOKUP($L563,Data_Validation!$A:$D,1,0)</f>
        <v>#N/A</v>
      </c>
      <c r="U563" s="658" t="e">
        <f>+VLOOKUP($L563,Data_Validation!$A:$D,3,0)</f>
        <v>#N/A</v>
      </c>
      <c r="V563" s="658" t="e">
        <f>+VLOOKUP($L563,Data_Validation!$A:$D,4,0)</f>
        <v>#N/A</v>
      </c>
      <c r="W563" s="658" t="e">
        <f>+VLOOKUP($L563,Data_Validation!$A:$E,5,0)</f>
        <v>#N/A</v>
      </c>
      <c r="X563" s="658" t="e">
        <f>+VLOOKUP($L563,Data_Validation!$A:$F,6,0)</f>
        <v>#N/A</v>
      </c>
    </row>
    <row r="564" spans="1:24" ht="15" customHeight="1">
      <c r="A564" s="716"/>
      <c r="B564" s="716"/>
      <c r="C564" s="717"/>
      <c r="D564" s="717"/>
      <c r="E564" s="717"/>
      <c r="F564" s="716"/>
      <c r="G564" s="716"/>
      <c r="H564" s="716"/>
      <c r="I564" s="718"/>
      <c r="J564" s="718"/>
      <c r="K564" s="718"/>
      <c r="L564" s="655" t="str">
        <f t="shared" si="524"/>
        <v>0</v>
      </c>
      <c r="M564" s="656">
        <f t="shared" si="520"/>
        <v>0</v>
      </c>
      <c r="N564" s="657">
        <f>+IF(OR($Q564=Parametres!$G$2,$Q564=Parametres!$G$3),I564,C564)</f>
        <v>0</v>
      </c>
      <c r="O564" s="657">
        <f>+IF(OR($Q564=Parametres!$G$2,$Q564=Parametres!$G$3),J564,D564)</f>
        <v>0</v>
      </c>
      <c r="P564" s="657">
        <f>+IF(OR($Q564=Parametres!$G$2,$Q564=Parametres!$G$3),K564,E564)</f>
        <v>0</v>
      </c>
      <c r="Q564" s="656">
        <f t="shared" ref="Q564:S564" si="574">+F564</f>
        <v>0</v>
      </c>
      <c r="R564" s="655">
        <f t="shared" si="574"/>
        <v>0</v>
      </c>
      <c r="S564" s="656">
        <f t="shared" si="574"/>
        <v>0</v>
      </c>
      <c r="T564" s="658" t="e">
        <f>+VLOOKUP($L564,Data_Validation!$A:$D,1,0)</f>
        <v>#N/A</v>
      </c>
      <c r="U564" s="658" t="e">
        <f>+VLOOKUP($L564,Data_Validation!$A:$D,3,0)</f>
        <v>#N/A</v>
      </c>
      <c r="V564" s="658" t="e">
        <f>+VLOOKUP($L564,Data_Validation!$A:$D,4,0)</f>
        <v>#N/A</v>
      </c>
      <c r="W564" s="658" t="e">
        <f>+VLOOKUP($L564,Data_Validation!$A:$E,5,0)</f>
        <v>#N/A</v>
      </c>
      <c r="X564" s="658" t="e">
        <f>+VLOOKUP($L564,Data_Validation!$A:$F,6,0)</f>
        <v>#N/A</v>
      </c>
    </row>
    <row r="565" spans="1:24" ht="15" customHeight="1">
      <c r="A565" s="716"/>
      <c r="B565" s="716"/>
      <c r="C565" s="717"/>
      <c r="D565" s="717"/>
      <c r="E565" s="717"/>
      <c r="F565" s="716"/>
      <c r="G565" s="716"/>
      <c r="H565" s="716"/>
      <c r="I565" s="718"/>
      <c r="J565" s="718"/>
      <c r="K565" s="718"/>
      <c r="L565" s="655" t="str">
        <f t="shared" si="524"/>
        <v>0</v>
      </c>
      <c r="M565" s="656">
        <f t="shared" si="520"/>
        <v>0</v>
      </c>
      <c r="N565" s="657">
        <f>+IF(OR($Q565=Parametres!$G$2,$Q565=Parametres!$G$3),I565,C565)</f>
        <v>0</v>
      </c>
      <c r="O565" s="657">
        <f>+IF(OR($Q565=Parametres!$G$2,$Q565=Parametres!$G$3),J565,D565)</f>
        <v>0</v>
      </c>
      <c r="P565" s="657">
        <f>+IF(OR($Q565=Parametres!$G$2,$Q565=Parametres!$G$3),K565,E565)</f>
        <v>0</v>
      </c>
      <c r="Q565" s="656">
        <f t="shared" ref="Q565:S565" si="575">+F565</f>
        <v>0</v>
      </c>
      <c r="R565" s="655">
        <f t="shared" si="575"/>
        <v>0</v>
      </c>
      <c r="S565" s="656">
        <f t="shared" si="575"/>
        <v>0</v>
      </c>
      <c r="T565" s="658" t="e">
        <f>+VLOOKUP($L565,Data_Validation!$A:$D,1,0)</f>
        <v>#N/A</v>
      </c>
      <c r="U565" s="658" t="e">
        <f>+VLOOKUP($L565,Data_Validation!$A:$D,3,0)</f>
        <v>#N/A</v>
      </c>
      <c r="V565" s="658" t="e">
        <f>+VLOOKUP($L565,Data_Validation!$A:$D,4,0)</f>
        <v>#N/A</v>
      </c>
      <c r="W565" s="658" t="e">
        <f>+VLOOKUP($L565,Data_Validation!$A:$E,5,0)</f>
        <v>#N/A</v>
      </c>
      <c r="X565" s="658" t="e">
        <f>+VLOOKUP($L565,Data_Validation!$A:$F,6,0)</f>
        <v>#N/A</v>
      </c>
    </row>
    <row r="566" spans="1:24" ht="15" customHeight="1">
      <c r="A566" s="716"/>
      <c r="B566" s="716"/>
      <c r="C566" s="717"/>
      <c r="D566" s="717"/>
      <c r="E566" s="717"/>
      <c r="F566" s="716"/>
      <c r="G566" s="716"/>
      <c r="H566" s="716"/>
      <c r="I566" s="718"/>
      <c r="J566" s="718"/>
      <c r="K566" s="718"/>
      <c r="L566" s="655" t="str">
        <f t="shared" si="524"/>
        <v>0</v>
      </c>
      <c r="M566" s="656">
        <f t="shared" si="520"/>
        <v>0</v>
      </c>
      <c r="N566" s="657">
        <f>+IF(OR($Q566=Parametres!$G$2,$Q566=Parametres!$G$3),I566,C566)</f>
        <v>0</v>
      </c>
      <c r="O566" s="657">
        <f>+IF(OR($Q566=Parametres!$G$2,$Q566=Parametres!$G$3),J566,D566)</f>
        <v>0</v>
      </c>
      <c r="P566" s="657">
        <f>+IF(OR($Q566=Parametres!$G$2,$Q566=Parametres!$G$3),K566,E566)</f>
        <v>0</v>
      </c>
      <c r="Q566" s="656">
        <f t="shared" ref="Q566:S566" si="576">+F566</f>
        <v>0</v>
      </c>
      <c r="R566" s="655">
        <f t="shared" si="576"/>
        <v>0</v>
      </c>
      <c r="S566" s="656">
        <f t="shared" si="576"/>
        <v>0</v>
      </c>
      <c r="T566" s="658" t="e">
        <f>+VLOOKUP($L566,Data_Validation!$A:$D,1,0)</f>
        <v>#N/A</v>
      </c>
      <c r="U566" s="658" t="e">
        <f>+VLOOKUP($L566,Data_Validation!$A:$D,3,0)</f>
        <v>#N/A</v>
      </c>
      <c r="V566" s="658" t="e">
        <f>+VLOOKUP($L566,Data_Validation!$A:$D,4,0)</f>
        <v>#N/A</v>
      </c>
      <c r="W566" s="658" t="e">
        <f>+VLOOKUP($L566,Data_Validation!$A:$E,5,0)</f>
        <v>#N/A</v>
      </c>
      <c r="X566" s="658" t="e">
        <f>+VLOOKUP($L566,Data_Validation!$A:$F,6,0)</f>
        <v>#N/A</v>
      </c>
    </row>
    <row r="567" spans="1:24" ht="15.75" customHeight="1">
      <c r="A567" s="716"/>
      <c r="B567" s="716"/>
      <c r="C567" s="717"/>
      <c r="D567" s="717"/>
      <c r="E567" s="717"/>
      <c r="F567" s="716"/>
      <c r="G567" s="716"/>
      <c r="H567" s="716"/>
      <c r="I567" s="718"/>
      <c r="J567" s="718"/>
      <c r="K567" s="718"/>
      <c r="L567" s="655" t="str">
        <f t="shared" si="524"/>
        <v>0</v>
      </c>
      <c r="M567" s="656">
        <f t="shared" si="520"/>
        <v>0</v>
      </c>
      <c r="N567" s="657">
        <f>+IF(OR($Q567=Parametres!$G$2,$Q567=Parametres!$G$3),I567,C567)</f>
        <v>0</v>
      </c>
      <c r="O567" s="657">
        <f>+IF(OR($Q567=Parametres!$G$2,$Q567=Parametres!$G$3),J567,D567)</f>
        <v>0</v>
      </c>
      <c r="P567" s="657">
        <f>+IF(OR($Q567=Parametres!$G$2,$Q567=Parametres!$G$3),K567,E567)</f>
        <v>0</v>
      </c>
      <c r="Q567" s="656">
        <f t="shared" ref="Q567:S567" si="577">+F567</f>
        <v>0</v>
      </c>
      <c r="R567" s="655">
        <f t="shared" si="577"/>
        <v>0</v>
      </c>
      <c r="S567" s="656">
        <f t="shared" si="577"/>
        <v>0</v>
      </c>
      <c r="T567" s="658" t="e">
        <f>+VLOOKUP($L567,Data_Validation!$A:$D,1,0)</f>
        <v>#N/A</v>
      </c>
      <c r="U567" s="658" t="e">
        <f>+VLOOKUP($L567,Data_Validation!$A:$D,3,0)</f>
        <v>#N/A</v>
      </c>
      <c r="V567" s="658" t="e">
        <f>+VLOOKUP($L567,Data_Validation!$A:$D,4,0)</f>
        <v>#N/A</v>
      </c>
      <c r="W567" s="658" t="e">
        <f>+VLOOKUP($L567,Data_Validation!$A:$E,5,0)</f>
        <v>#N/A</v>
      </c>
      <c r="X567" s="658" t="e">
        <f>+VLOOKUP($L567,Data_Validation!$A:$F,6,0)</f>
        <v>#N/A</v>
      </c>
    </row>
    <row r="568" spans="1:24" ht="15" customHeight="1">
      <c r="A568" s="716"/>
      <c r="B568" s="716"/>
      <c r="C568" s="717"/>
      <c r="D568" s="717"/>
      <c r="E568" s="717"/>
      <c r="F568" s="716"/>
      <c r="G568" s="716"/>
      <c r="H568" s="716"/>
      <c r="I568" s="718"/>
      <c r="J568" s="718"/>
      <c r="K568" s="718"/>
      <c r="L568" s="655" t="str">
        <f t="shared" si="524"/>
        <v>0</v>
      </c>
      <c r="M568" s="656">
        <f t="shared" si="520"/>
        <v>0</v>
      </c>
      <c r="N568" s="657">
        <f>+IF(OR($Q568=Parametres!$G$2,$Q568=Parametres!$G$3),I568,C568)</f>
        <v>0</v>
      </c>
      <c r="O568" s="657">
        <f>+IF(OR($Q568=Parametres!$G$2,$Q568=Parametres!$G$3),J568,D568)</f>
        <v>0</v>
      </c>
      <c r="P568" s="657">
        <f>+IF(OR($Q568=Parametres!$G$2,$Q568=Parametres!$G$3),K568,E568)</f>
        <v>0</v>
      </c>
      <c r="Q568" s="656">
        <f t="shared" ref="Q568:S568" si="578">+F568</f>
        <v>0</v>
      </c>
      <c r="R568" s="655">
        <f t="shared" si="578"/>
        <v>0</v>
      </c>
      <c r="S568" s="656">
        <f t="shared" si="578"/>
        <v>0</v>
      </c>
      <c r="T568" s="658" t="e">
        <f>+VLOOKUP($L568,Data_Validation!$A:$D,1,0)</f>
        <v>#N/A</v>
      </c>
      <c r="U568" s="658" t="e">
        <f>+VLOOKUP($L568,Data_Validation!$A:$D,3,0)</f>
        <v>#N/A</v>
      </c>
      <c r="V568" s="658" t="e">
        <f>+VLOOKUP($L568,Data_Validation!$A:$D,4,0)</f>
        <v>#N/A</v>
      </c>
      <c r="W568" s="658" t="e">
        <f>+VLOOKUP($L568,Data_Validation!$A:$E,5,0)</f>
        <v>#N/A</v>
      </c>
      <c r="X568" s="658" t="e">
        <f>+VLOOKUP($L568,Data_Validation!$A:$F,6,0)</f>
        <v>#N/A</v>
      </c>
    </row>
    <row r="569" spans="1:24" ht="15" customHeight="1">
      <c r="A569" s="716"/>
      <c r="B569" s="716"/>
      <c r="C569" s="717"/>
      <c r="D569" s="717"/>
      <c r="E569" s="717"/>
      <c r="F569" s="716"/>
      <c r="G569" s="716"/>
      <c r="H569" s="716"/>
      <c r="I569" s="718"/>
      <c r="J569" s="718"/>
      <c r="K569" s="718"/>
      <c r="L569" s="655" t="str">
        <f t="shared" si="524"/>
        <v>0</v>
      </c>
      <c r="M569" s="656">
        <f t="shared" si="520"/>
        <v>0</v>
      </c>
      <c r="N569" s="657">
        <f>+IF(OR($Q569=Parametres!$G$2,$Q569=Parametres!$G$3),I569,C569)</f>
        <v>0</v>
      </c>
      <c r="O569" s="657">
        <f>+IF(OR($Q569=Parametres!$G$2,$Q569=Parametres!$G$3),J569,D569)</f>
        <v>0</v>
      </c>
      <c r="P569" s="657">
        <f>+IF(OR($Q569=Parametres!$G$2,$Q569=Parametres!$G$3),K569,E569)</f>
        <v>0</v>
      </c>
      <c r="Q569" s="656">
        <f t="shared" ref="Q569:S569" si="579">+F569</f>
        <v>0</v>
      </c>
      <c r="R569" s="655">
        <f t="shared" si="579"/>
        <v>0</v>
      </c>
      <c r="S569" s="656">
        <f t="shared" si="579"/>
        <v>0</v>
      </c>
      <c r="T569" s="658" t="e">
        <f>+VLOOKUP($L569,Data_Validation!$A:$D,1,0)</f>
        <v>#N/A</v>
      </c>
      <c r="U569" s="658" t="e">
        <f>+VLOOKUP($L569,Data_Validation!$A:$D,3,0)</f>
        <v>#N/A</v>
      </c>
      <c r="V569" s="658" t="e">
        <f>+VLOOKUP($L569,Data_Validation!$A:$D,4,0)</f>
        <v>#N/A</v>
      </c>
      <c r="W569" s="658" t="e">
        <f>+VLOOKUP($L569,Data_Validation!$A:$E,5,0)</f>
        <v>#N/A</v>
      </c>
      <c r="X569" s="658" t="e">
        <f>+VLOOKUP($L569,Data_Validation!$A:$F,6,0)</f>
        <v>#N/A</v>
      </c>
    </row>
    <row r="570" spans="1:24" ht="15" customHeight="1">
      <c r="A570" s="716"/>
      <c r="B570" s="716"/>
      <c r="C570" s="717"/>
      <c r="D570" s="717"/>
      <c r="E570" s="717"/>
      <c r="F570" s="716"/>
      <c r="G570" s="716"/>
      <c r="H570" s="716"/>
      <c r="I570" s="718"/>
      <c r="J570" s="718"/>
      <c r="K570" s="718"/>
      <c r="L570" s="655" t="str">
        <f t="shared" si="524"/>
        <v>0</v>
      </c>
      <c r="M570" s="656">
        <f t="shared" si="520"/>
        <v>0</v>
      </c>
      <c r="N570" s="657">
        <f>+IF(OR($Q570=Parametres!$G$2,$Q570=Parametres!$G$3),I570,C570)</f>
        <v>0</v>
      </c>
      <c r="O570" s="657">
        <f>+IF(OR($Q570=Parametres!$G$2,$Q570=Parametres!$G$3),J570,D570)</f>
        <v>0</v>
      </c>
      <c r="P570" s="657">
        <f>+IF(OR($Q570=Parametres!$G$2,$Q570=Parametres!$G$3),K570,E570)</f>
        <v>0</v>
      </c>
      <c r="Q570" s="656">
        <f t="shared" ref="Q570:S570" si="580">+F570</f>
        <v>0</v>
      </c>
      <c r="R570" s="655">
        <f t="shared" si="580"/>
        <v>0</v>
      </c>
      <c r="S570" s="656">
        <f t="shared" si="580"/>
        <v>0</v>
      </c>
      <c r="T570" s="658" t="e">
        <f>+VLOOKUP($L570,Data_Validation!$A:$D,1,0)</f>
        <v>#N/A</v>
      </c>
      <c r="U570" s="658" t="e">
        <f>+VLOOKUP($L570,Data_Validation!$A:$D,3,0)</f>
        <v>#N/A</v>
      </c>
      <c r="V570" s="658" t="e">
        <f>+VLOOKUP($L570,Data_Validation!$A:$D,4,0)</f>
        <v>#N/A</v>
      </c>
      <c r="W570" s="658" t="e">
        <f>+VLOOKUP($L570,Data_Validation!$A:$E,5,0)</f>
        <v>#N/A</v>
      </c>
      <c r="X570" s="658" t="e">
        <f>+VLOOKUP($L570,Data_Validation!$A:$F,6,0)</f>
        <v>#N/A</v>
      </c>
    </row>
    <row r="571" spans="1:24" ht="15" customHeight="1">
      <c r="A571" s="716"/>
      <c r="B571" s="716"/>
      <c r="C571" s="717"/>
      <c r="D571" s="717"/>
      <c r="E571" s="717"/>
      <c r="F571" s="716"/>
      <c r="G571" s="716"/>
      <c r="H571" s="716"/>
      <c r="I571" s="718"/>
      <c r="J571" s="718"/>
      <c r="K571" s="718"/>
      <c r="L571" s="655" t="str">
        <f t="shared" si="524"/>
        <v>0</v>
      </c>
      <c r="M571" s="656">
        <f t="shared" si="520"/>
        <v>0</v>
      </c>
      <c r="N571" s="657">
        <f>+IF(OR($Q571=Parametres!$G$2,$Q571=Parametres!$G$3),I571,C571)</f>
        <v>0</v>
      </c>
      <c r="O571" s="657">
        <f>+IF(OR($Q571=Parametres!$G$2,$Q571=Parametres!$G$3),J571,D571)</f>
        <v>0</v>
      </c>
      <c r="P571" s="657">
        <f>+IF(OR($Q571=Parametres!$G$2,$Q571=Parametres!$G$3),K571,E571)</f>
        <v>0</v>
      </c>
      <c r="Q571" s="656">
        <f t="shared" ref="Q571:S571" si="581">+F571</f>
        <v>0</v>
      </c>
      <c r="R571" s="655">
        <f t="shared" si="581"/>
        <v>0</v>
      </c>
      <c r="S571" s="656">
        <f t="shared" si="581"/>
        <v>0</v>
      </c>
      <c r="T571" s="658" t="e">
        <f>+VLOOKUP($L571,Data_Validation!$A:$D,1,0)</f>
        <v>#N/A</v>
      </c>
      <c r="U571" s="658" t="e">
        <f>+VLOOKUP($L571,Data_Validation!$A:$D,3,0)</f>
        <v>#N/A</v>
      </c>
      <c r="V571" s="658" t="e">
        <f>+VLOOKUP($L571,Data_Validation!$A:$D,4,0)</f>
        <v>#N/A</v>
      </c>
      <c r="W571" s="658" t="e">
        <f>+VLOOKUP($L571,Data_Validation!$A:$E,5,0)</f>
        <v>#N/A</v>
      </c>
      <c r="X571" s="658" t="e">
        <f>+VLOOKUP($L571,Data_Validation!$A:$F,6,0)</f>
        <v>#N/A</v>
      </c>
    </row>
    <row r="572" spans="1:24" ht="15.75" customHeight="1">
      <c r="A572" s="716"/>
      <c r="B572" s="716"/>
      <c r="C572" s="717"/>
      <c r="D572" s="717"/>
      <c r="E572" s="717"/>
      <c r="F572" s="716"/>
      <c r="G572" s="716"/>
      <c r="H572" s="716"/>
      <c r="I572" s="718"/>
      <c r="J572" s="718"/>
      <c r="K572" s="718"/>
      <c r="L572" s="655" t="str">
        <f t="shared" si="524"/>
        <v>0</v>
      </c>
      <c r="M572" s="656">
        <f t="shared" si="520"/>
        <v>0</v>
      </c>
      <c r="N572" s="657">
        <f>+IF(OR($Q572=Parametres!$G$2,$Q572=Parametres!$G$3),I572,C572)</f>
        <v>0</v>
      </c>
      <c r="O572" s="657">
        <f>+IF(OR($Q572=Parametres!$G$2,$Q572=Parametres!$G$3),J572,D572)</f>
        <v>0</v>
      </c>
      <c r="P572" s="657">
        <f>+IF(OR($Q572=Parametres!$G$2,$Q572=Parametres!$G$3),K572,E572)</f>
        <v>0</v>
      </c>
      <c r="Q572" s="656">
        <f t="shared" ref="Q572:S572" si="582">+F572</f>
        <v>0</v>
      </c>
      <c r="R572" s="655">
        <f t="shared" si="582"/>
        <v>0</v>
      </c>
      <c r="S572" s="656">
        <f t="shared" si="582"/>
        <v>0</v>
      </c>
      <c r="T572" s="658" t="e">
        <f>+VLOOKUP($L572,Data_Validation!$A:$D,1,0)</f>
        <v>#N/A</v>
      </c>
      <c r="U572" s="658" t="e">
        <f>+VLOOKUP($L572,Data_Validation!$A:$D,3,0)</f>
        <v>#N/A</v>
      </c>
      <c r="V572" s="658" t="e">
        <f>+VLOOKUP($L572,Data_Validation!$A:$D,4,0)</f>
        <v>#N/A</v>
      </c>
      <c r="W572" s="658" t="e">
        <f>+VLOOKUP($L572,Data_Validation!$A:$E,5,0)</f>
        <v>#N/A</v>
      </c>
      <c r="X572" s="658" t="e">
        <f>+VLOOKUP($L572,Data_Validation!$A:$F,6,0)</f>
        <v>#N/A</v>
      </c>
    </row>
    <row r="573" spans="1:24" ht="15" customHeight="1">
      <c r="A573" s="716"/>
      <c r="B573" s="716"/>
      <c r="C573" s="717"/>
      <c r="D573" s="717"/>
      <c r="E573" s="717"/>
      <c r="F573" s="716"/>
      <c r="G573" s="716"/>
      <c r="H573" s="716"/>
      <c r="I573" s="718"/>
      <c r="J573" s="718"/>
      <c r="K573" s="718"/>
      <c r="L573" s="655" t="str">
        <f t="shared" si="524"/>
        <v>0</v>
      </c>
      <c r="M573" s="656">
        <f t="shared" si="520"/>
        <v>0</v>
      </c>
      <c r="N573" s="657">
        <f>+IF(OR($Q573=Parametres!$G$2,$Q573=Parametres!$G$3),I573,C573)</f>
        <v>0</v>
      </c>
      <c r="O573" s="657">
        <f>+IF(OR($Q573=Parametres!$G$2,$Q573=Parametres!$G$3),J573,D573)</f>
        <v>0</v>
      </c>
      <c r="P573" s="657">
        <f>+IF(OR($Q573=Parametres!$G$2,$Q573=Parametres!$G$3),K573,E573)</f>
        <v>0</v>
      </c>
      <c r="Q573" s="656">
        <f t="shared" ref="Q573:S573" si="583">+F573</f>
        <v>0</v>
      </c>
      <c r="R573" s="655">
        <f t="shared" si="583"/>
        <v>0</v>
      </c>
      <c r="S573" s="656">
        <f t="shared" si="583"/>
        <v>0</v>
      </c>
      <c r="T573" s="658" t="e">
        <f>+VLOOKUP($L573,Data_Validation!$A:$D,1,0)</f>
        <v>#N/A</v>
      </c>
      <c r="U573" s="658" t="e">
        <f>+VLOOKUP($L573,Data_Validation!$A:$D,3,0)</f>
        <v>#N/A</v>
      </c>
      <c r="V573" s="658" t="e">
        <f>+VLOOKUP($L573,Data_Validation!$A:$D,4,0)</f>
        <v>#N/A</v>
      </c>
      <c r="W573" s="658" t="e">
        <f>+VLOOKUP($L573,Data_Validation!$A:$E,5,0)</f>
        <v>#N/A</v>
      </c>
      <c r="X573" s="658" t="e">
        <f>+VLOOKUP($L573,Data_Validation!$A:$F,6,0)</f>
        <v>#N/A</v>
      </c>
    </row>
    <row r="574" spans="1:24" ht="15" customHeight="1">
      <c r="A574" s="716"/>
      <c r="B574" s="716"/>
      <c r="C574" s="717"/>
      <c r="D574" s="717"/>
      <c r="E574" s="717"/>
      <c r="F574" s="716"/>
      <c r="G574" s="716"/>
      <c r="H574" s="716"/>
      <c r="I574" s="718"/>
      <c r="J574" s="718"/>
      <c r="K574" s="718"/>
      <c r="L574" s="655" t="str">
        <f t="shared" si="524"/>
        <v>0</v>
      </c>
      <c r="M574" s="656">
        <f t="shared" si="520"/>
        <v>0</v>
      </c>
      <c r="N574" s="657">
        <f>+IF(OR($Q574=Parametres!$G$2,$Q574=Parametres!$G$3),I574,C574)</f>
        <v>0</v>
      </c>
      <c r="O574" s="657">
        <f>+IF(OR($Q574=Parametres!$G$2,$Q574=Parametres!$G$3),J574,D574)</f>
        <v>0</v>
      </c>
      <c r="P574" s="657">
        <f>+IF(OR($Q574=Parametres!$G$2,$Q574=Parametres!$G$3),K574,E574)</f>
        <v>0</v>
      </c>
      <c r="Q574" s="656">
        <f t="shared" ref="Q574:S574" si="584">+F574</f>
        <v>0</v>
      </c>
      <c r="R574" s="655">
        <f t="shared" si="584"/>
        <v>0</v>
      </c>
      <c r="S574" s="656">
        <f t="shared" si="584"/>
        <v>0</v>
      </c>
      <c r="T574" s="658" t="e">
        <f>+VLOOKUP($L574,Data_Validation!$A:$D,1,0)</f>
        <v>#N/A</v>
      </c>
      <c r="U574" s="658" t="e">
        <f>+VLOOKUP($L574,Data_Validation!$A:$D,3,0)</f>
        <v>#N/A</v>
      </c>
      <c r="V574" s="658" t="e">
        <f>+VLOOKUP($L574,Data_Validation!$A:$D,4,0)</f>
        <v>#N/A</v>
      </c>
      <c r="W574" s="658" t="e">
        <f>+VLOOKUP($L574,Data_Validation!$A:$E,5,0)</f>
        <v>#N/A</v>
      </c>
      <c r="X574" s="658" t="e">
        <f>+VLOOKUP($L574,Data_Validation!$A:$F,6,0)</f>
        <v>#N/A</v>
      </c>
    </row>
    <row r="575" spans="1:24" ht="15" customHeight="1">
      <c r="A575" s="716"/>
      <c r="B575" s="716"/>
      <c r="C575" s="717"/>
      <c r="D575" s="717"/>
      <c r="E575" s="717"/>
      <c r="F575" s="716"/>
      <c r="G575" s="716"/>
      <c r="H575" s="716"/>
      <c r="I575" s="718"/>
      <c r="J575" s="718"/>
      <c r="K575" s="718"/>
      <c r="L575" s="655" t="str">
        <f t="shared" si="524"/>
        <v>0</v>
      </c>
      <c r="M575" s="656">
        <f t="shared" si="520"/>
        <v>0</v>
      </c>
      <c r="N575" s="657">
        <f>+IF(OR($Q575=Parametres!$G$2,$Q575=Parametres!$G$3),I575,C575)</f>
        <v>0</v>
      </c>
      <c r="O575" s="657">
        <f>+IF(OR($Q575=Parametres!$G$2,$Q575=Parametres!$G$3),J575,D575)</f>
        <v>0</v>
      </c>
      <c r="P575" s="657">
        <f>+IF(OR($Q575=Parametres!$G$2,$Q575=Parametres!$G$3),K575,E575)</f>
        <v>0</v>
      </c>
      <c r="Q575" s="656">
        <f t="shared" ref="Q575:S575" si="585">+F575</f>
        <v>0</v>
      </c>
      <c r="R575" s="655">
        <f t="shared" si="585"/>
        <v>0</v>
      </c>
      <c r="S575" s="656">
        <f t="shared" si="585"/>
        <v>0</v>
      </c>
      <c r="T575" s="658" t="e">
        <f>+VLOOKUP($L575,Data_Validation!$A:$D,1,0)</f>
        <v>#N/A</v>
      </c>
      <c r="U575" s="658" t="e">
        <f>+VLOOKUP($L575,Data_Validation!$A:$D,3,0)</f>
        <v>#N/A</v>
      </c>
      <c r="V575" s="658" t="e">
        <f>+VLOOKUP($L575,Data_Validation!$A:$D,4,0)</f>
        <v>#N/A</v>
      </c>
      <c r="W575" s="658" t="e">
        <f>+VLOOKUP($L575,Data_Validation!$A:$E,5,0)</f>
        <v>#N/A</v>
      </c>
      <c r="X575" s="658" t="e">
        <f>+VLOOKUP($L575,Data_Validation!$A:$F,6,0)</f>
        <v>#N/A</v>
      </c>
    </row>
    <row r="576" spans="1:24" ht="15" customHeight="1">
      <c r="A576" s="716"/>
      <c r="B576" s="716"/>
      <c r="C576" s="717"/>
      <c r="D576" s="717"/>
      <c r="E576" s="717"/>
      <c r="F576" s="716"/>
      <c r="G576" s="716"/>
      <c r="H576" s="716"/>
      <c r="I576" s="718"/>
      <c r="J576" s="718"/>
      <c r="K576" s="718"/>
      <c r="L576" s="655" t="str">
        <f t="shared" si="524"/>
        <v>0</v>
      </c>
      <c r="M576" s="656">
        <f t="shared" si="520"/>
        <v>0</v>
      </c>
      <c r="N576" s="657">
        <f>+IF(OR($Q576=Parametres!$G$2,$Q576=Parametres!$G$3),I576,C576)</f>
        <v>0</v>
      </c>
      <c r="O576" s="657">
        <f>+IF(OR($Q576=Parametres!$G$2,$Q576=Parametres!$G$3),J576,D576)</f>
        <v>0</v>
      </c>
      <c r="P576" s="657">
        <f>+IF(OR($Q576=Parametres!$G$2,$Q576=Parametres!$G$3),K576,E576)</f>
        <v>0</v>
      </c>
      <c r="Q576" s="656">
        <f t="shared" ref="Q576:S576" si="586">+F576</f>
        <v>0</v>
      </c>
      <c r="R576" s="655">
        <f t="shared" si="586"/>
        <v>0</v>
      </c>
      <c r="S576" s="656">
        <f t="shared" si="586"/>
        <v>0</v>
      </c>
      <c r="T576" s="658" t="e">
        <f>+VLOOKUP($L576,Data_Validation!$A:$D,1,0)</f>
        <v>#N/A</v>
      </c>
      <c r="U576" s="658" t="e">
        <f>+VLOOKUP($L576,Data_Validation!$A:$D,3,0)</f>
        <v>#N/A</v>
      </c>
      <c r="V576" s="658" t="s">
        <v>223</v>
      </c>
      <c r="W576" s="658" t="e">
        <f>+VLOOKUP($L576,Data_Validation!$A:$E,5,0)</f>
        <v>#N/A</v>
      </c>
      <c r="X576" s="658" t="e">
        <f>+VLOOKUP($L576,Data_Validation!$A:$F,6,0)</f>
        <v>#N/A</v>
      </c>
    </row>
    <row r="577" spans="1:24" ht="15" customHeight="1">
      <c r="A577" s="716"/>
      <c r="B577" s="716"/>
      <c r="C577" s="717"/>
      <c r="D577" s="717"/>
      <c r="E577" s="717"/>
      <c r="F577" s="716"/>
      <c r="G577" s="716"/>
      <c r="H577" s="716"/>
      <c r="I577" s="718"/>
      <c r="J577" s="718"/>
      <c r="K577" s="718"/>
      <c r="L577" s="655" t="str">
        <f t="shared" si="524"/>
        <v>0</v>
      </c>
      <c r="M577" s="656">
        <f t="shared" si="520"/>
        <v>0</v>
      </c>
      <c r="N577" s="657">
        <f>+IF(OR($Q577=Parametres!$G$2,$Q577=Parametres!$G$3),I577,C577)</f>
        <v>0</v>
      </c>
      <c r="O577" s="657">
        <f>+IF(OR($Q577=Parametres!$G$2,$Q577=Parametres!$G$3),J577,D577)</f>
        <v>0</v>
      </c>
      <c r="P577" s="657">
        <f>+IF(OR($Q577=Parametres!$G$2,$Q577=Parametres!$G$3),K577,E577)</f>
        <v>0</v>
      </c>
      <c r="Q577" s="656">
        <f t="shared" ref="Q577:S577" si="587">+F577</f>
        <v>0</v>
      </c>
      <c r="R577" s="655">
        <f t="shared" si="587"/>
        <v>0</v>
      </c>
      <c r="S577" s="656">
        <f t="shared" si="587"/>
        <v>0</v>
      </c>
      <c r="T577" s="658" t="e">
        <f>+VLOOKUP($L577,Data_Validation!$A:$D,1,0)</f>
        <v>#N/A</v>
      </c>
      <c r="U577" s="658" t="e">
        <f>+VLOOKUP($L577,Data_Validation!$A:$D,3,0)</f>
        <v>#N/A</v>
      </c>
      <c r="V577" s="658" t="e">
        <f>+VLOOKUP($L577,Data_Validation!$A:$D,4,0)</f>
        <v>#N/A</v>
      </c>
      <c r="W577" s="658" t="e">
        <f>+VLOOKUP($L577,Data_Validation!$A:$E,5,0)</f>
        <v>#N/A</v>
      </c>
      <c r="X577" s="658" t="e">
        <f>+VLOOKUP($L577,Data_Validation!$A:$F,6,0)</f>
        <v>#N/A</v>
      </c>
    </row>
    <row r="578" spans="1:24" ht="15" customHeight="1">
      <c r="A578" s="716"/>
      <c r="B578" s="716"/>
      <c r="C578" s="717"/>
      <c r="D578" s="717"/>
      <c r="E578" s="717"/>
      <c r="F578" s="716"/>
      <c r="G578" s="716"/>
      <c r="H578" s="716"/>
      <c r="I578" s="718"/>
      <c r="J578" s="718"/>
      <c r="K578" s="718"/>
      <c r="L578" s="655" t="str">
        <f t="shared" si="524"/>
        <v>0</v>
      </c>
      <c r="M578" s="656">
        <f t="shared" si="520"/>
        <v>0</v>
      </c>
      <c r="N578" s="657">
        <f>+IF(OR($Q578=Parametres!$G$2,$Q578=Parametres!$G$3),I578,C578)</f>
        <v>0</v>
      </c>
      <c r="O578" s="657">
        <f>+IF(OR($Q578=Parametres!$G$2,$Q578=Parametres!$G$3),J578,D578)</f>
        <v>0</v>
      </c>
      <c r="P578" s="657">
        <f>+IF(OR($Q578=Parametres!$G$2,$Q578=Parametres!$G$3),K578,E578)</f>
        <v>0</v>
      </c>
      <c r="Q578" s="656">
        <f t="shared" ref="Q578:S578" si="588">+F578</f>
        <v>0</v>
      </c>
      <c r="R578" s="655">
        <f t="shared" si="588"/>
        <v>0</v>
      </c>
      <c r="S578" s="656">
        <f t="shared" si="588"/>
        <v>0</v>
      </c>
      <c r="T578" s="658" t="e">
        <f>+VLOOKUP($L578,Data_Validation!$A:$D,1,0)</f>
        <v>#N/A</v>
      </c>
      <c r="U578" s="658" t="e">
        <f>+VLOOKUP($L578,Data_Validation!$A:$D,3,0)</f>
        <v>#N/A</v>
      </c>
      <c r="V578" s="658" t="e">
        <f>+VLOOKUP($L578,Data_Validation!$A:$D,4,0)</f>
        <v>#N/A</v>
      </c>
      <c r="W578" s="658" t="e">
        <f>+VLOOKUP($L578,Data_Validation!$A:$E,5,0)</f>
        <v>#N/A</v>
      </c>
      <c r="X578" s="658" t="e">
        <f>+VLOOKUP($L578,Data_Validation!$A:$F,6,0)</f>
        <v>#N/A</v>
      </c>
    </row>
    <row r="579" spans="1:24" ht="15.75" customHeight="1">
      <c r="A579" s="716"/>
      <c r="B579" s="716"/>
      <c r="C579" s="717"/>
      <c r="D579" s="717"/>
      <c r="E579" s="717"/>
      <c r="F579" s="716"/>
      <c r="G579" s="716"/>
      <c r="H579" s="716"/>
      <c r="I579" s="718"/>
      <c r="J579" s="718"/>
      <c r="K579" s="718"/>
      <c r="L579" s="655" t="str">
        <f t="shared" ref="L579:L642" si="589">TEXT(B579,0)</f>
        <v>0</v>
      </c>
      <c r="M579" s="656">
        <f t="shared" si="520"/>
        <v>0</v>
      </c>
      <c r="N579" s="657">
        <f>+IF(OR($Q579=Parametres!$G$2,$Q579=Parametres!$G$3),I579,C579)</f>
        <v>0</v>
      </c>
      <c r="O579" s="657">
        <f>+IF(OR($Q579=Parametres!$G$2,$Q579=Parametres!$G$3),J579,D579)</f>
        <v>0</v>
      </c>
      <c r="P579" s="657">
        <f>+IF(OR($Q579=Parametres!$G$2,$Q579=Parametres!$G$3),K579,E579)</f>
        <v>0</v>
      </c>
      <c r="Q579" s="656">
        <f t="shared" ref="Q579:S579" si="590">+F579</f>
        <v>0</v>
      </c>
      <c r="R579" s="655">
        <f t="shared" si="590"/>
        <v>0</v>
      </c>
      <c r="S579" s="656">
        <f t="shared" si="590"/>
        <v>0</v>
      </c>
      <c r="T579" s="658" t="e">
        <f>+VLOOKUP($L579,Data_Validation!$A:$D,1,0)</f>
        <v>#N/A</v>
      </c>
      <c r="U579" s="658" t="e">
        <f>+VLOOKUP($L579,Data_Validation!$A:$D,3,0)</f>
        <v>#N/A</v>
      </c>
      <c r="V579" s="658" t="e">
        <f>+VLOOKUP($L579,Data_Validation!$A:$D,4,0)</f>
        <v>#N/A</v>
      </c>
      <c r="W579" s="658" t="e">
        <f>+VLOOKUP($L579,Data_Validation!$A:$E,5,0)</f>
        <v>#N/A</v>
      </c>
      <c r="X579" s="658" t="e">
        <f>+VLOOKUP($L579,Data_Validation!$A:$F,6,0)</f>
        <v>#N/A</v>
      </c>
    </row>
    <row r="580" spans="1:24" ht="15" customHeight="1">
      <c r="A580" s="716"/>
      <c r="B580" s="716"/>
      <c r="C580" s="717"/>
      <c r="D580" s="717"/>
      <c r="E580" s="717"/>
      <c r="F580" s="716"/>
      <c r="G580" s="716"/>
      <c r="H580" s="716"/>
      <c r="I580" s="718"/>
      <c r="J580" s="718"/>
      <c r="K580" s="718"/>
      <c r="L580" s="655" t="str">
        <f t="shared" si="589"/>
        <v>0</v>
      </c>
      <c r="M580" s="656">
        <f t="shared" si="520"/>
        <v>0</v>
      </c>
      <c r="N580" s="657">
        <f>+IF(OR($Q580=Parametres!$G$2,$Q580=Parametres!$G$3),I580,C580)</f>
        <v>0</v>
      </c>
      <c r="O580" s="657">
        <f>+IF(OR($Q580=Parametres!$G$2,$Q580=Parametres!$G$3),J580,D580)</f>
        <v>0</v>
      </c>
      <c r="P580" s="657">
        <f>+IF(OR($Q580=Parametres!$G$2,$Q580=Parametres!$G$3),K580,E580)</f>
        <v>0</v>
      </c>
      <c r="Q580" s="656">
        <f t="shared" ref="Q580:S580" si="591">+F580</f>
        <v>0</v>
      </c>
      <c r="R580" s="655">
        <f t="shared" si="591"/>
        <v>0</v>
      </c>
      <c r="S580" s="656">
        <f t="shared" si="591"/>
        <v>0</v>
      </c>
      <c r="T580" s="658" t="e">
        <f>+VLOOKUP($L580,Data_Validation!$A:$D,1,0)</f>
        <v>#N/A</v>
      </c>
      <c r="U580" s="658" t="e">
        <f>+VLOOKUP($L580,Data_Validation!$A:$D,3,0)</f>
        <v>#N/A</v>
      </c>
      <c r="V580" s="658" t="e">
        <f>+VLOOKUP($L580,Data_Validation!$A:$D,4,0)</f>
        <v>#N/A</v>
      </c>
      <c r="W580" s="658" t="e">
        <f>+VLOOKUP($L580,Data_Validation!$A:$E,5,0)</f>
        <v>#N/A</v>
      </c>
      <c r="X580" s="658" t="e">
        <f>+VLOOKUP($L580,Data_Validation!$A:$F,6,0)</f>
        <v>#N/A</v>
      </c>
    </row>
    <row r="581" spans="1:24" ht="15" customHeight="1">
      <c r="A581" s="716"/>
      <c r="B581" s="716"/>
      <c r="C581" s="717"/>
      <c r="D581" s="717"/>
      <c r="E581" s="717"/>
      <c r="F581" s="716"/>
      <c r="G581" s="716"/>
      <c r="H581" s="716"/>
      <c r="I581" s="718"/>
      <c r="J581" s="718"/>
      <c r="K581" s="718"/>
      <c r="L581" s="655" t="str">
        <f t="shared" si="589"/>
        <v>0</v>
      </c>
      <c r="M581" s="656">
        <f t="shared" si="520"/>
        <v>0</v>
      </c>
      <c r="N581" s="657">
        <f>+IF(OR($Q581=Parametres!$G$2,$Q581=Parametres!$G$3),I581,C581)</f>
        <v>0</v>
      </c>
      <c r="O581" s="657">
        <f>+IF(OR($Q581=Parametres!$G$2,$Q581=Parametres!$G$3),J581,D581)</f>
        <v>0</v>
      </c>
      <c r="P581" s="657">
        <f>+IF(OR($Q581=Parametres!$G$2,$Q581=Parametres!$G$3),K581,E581)</f>
        <v>0</v>
      </c>
      <c r="Q581" s="656">
        <f t="shared" ref="Q581:S581" si="592">+F581</f>
        <v>0</v>
      </c>
      <c r="R581" s="655">
        <f t="shared" si="592"/>
        <v>0</v>
      </c>
      <c r="S581" s="656">
        <f t="shared" si="592"/>
        <v>0</v>
      </c>
      <c r="T581" s="658" t="e">
        <f>+VLOOKUP($L581,Data_Validation!$A:$D,1,0)</f>
        <v>#N/A</v>
      </c>
      <c r="U581" s="658" t="e">
        <f>+VLOOKUP($L581,Data_Validation!$A:$D,3,0)</f>
        <v>#N/A</v>
      </c>
      <c r="V581" s="658" t="e">
        <f>+VLOOKUP($L581,Data_Validation!$A:$D,4,0)</f>
        <v>#N/A</v>
      </c>
      <c r="W581" s="658" t="e">
        <f>+VLOOKUP($L581,Data_Validation!$A:$E,5,0)</f>
        <v>#N/A</v>
      </c>
      <c r="X581" s="658" t="e">
        <f>+VLOOKUP($L581,Data_Validation!$A:$F,6,0)</f>
        <v>#N/A</v>
      </c>
    </row>
    <row r="582" spans="1:24" ht="15" customHeight="1">
      <c r="A582" s="716"/>
      <c r="B582" s="716"/>
      <c r="C582" s="717"/>
      <c r="D582" s="717"/>
      <c r="E582" s="717"/>
      <c r="F582" s="716"/>
      <c r="G582" s="716"/>
      <c r="H582" s="716"/>
      <c r="I582" s="718"/>
      <c r="J582" s="718"/>
      <c r="K582" s="718"/>
      <c r="L582" s="655" t="str">
        <f t="shared" si="589"/>
        <v>0</v>
      </c>
      <c r="M582" s="656">
        <f t="shared" si="520"/>
        <v>0</v>
      </c>
      <c r="N582" s="657">
        <f>+IF(OR($Q582=Parametres!$G$2,$Q582=Parametres!$G$3),I582,C582)</f>
        <v>0</v>
      </c>
      <c r="O582" s="657">
        <f>+IF(OR($Q582=Parametres!$G$2,$Q582=Parametres!$G$3),J582,D582)</f>
        <v>0</v>
      </c>
      <c r="P582" s="657">
        <f>+IF(OR($Q582=Parametres!$G$2,$Q582=Parametres!$G$3),K582,E582)</f>
        <v>0</v>
      </c>
      <c r="Q582" s="656">
        <f t="shared" ref="Q582:S582" si="593">+F582</f>
        <v>0</v>
      </c>
      <c r="R582" s="655">
        <f t="shared" si="593"/>
        <v>0</v>
      </c>
      <c r="S582" s="656">
        <f t="shared" si="593"/>
        <v>0</v>
      </c>
      <c r="T582" s="658" t="e">
        <f>+VLOOKUP($L582,Data_Validation!$A:$D,1,0)</f>
        <v>#N/A</v>
      </c>
      <c r="U582" s="658" t="e">
        <f>+VLOOKUP($L582,Data_Validation!$A:$D,3,0)</f>
        <v>#N/A</v>
      </c>
      <c r="V582" s="658" t="e">
        <f>+VLOOKUP($L582,Data_Validation!$A:$D,4,0)</f>
        <v>#N/A</v>
      </c>
      <c r="W582" s="658" t="e">
        <f>+VLOOKUP($L582,Data_Validation!$A:$E,5,0)</f>
        <v>#N/A</v>
      </c>
      <c r="X582" s="658" t="e">
        <f>+VLOOKUP($L582,Data_Validation!$A:$F,6,0)</f>
        <v>#N/A</v>
      </c>
    </row>
    <row r="583" spans="1:24" ht="15.75" customHeight="1">
      <c r="A583" s="716"/>
      <c r="B583" s="716"/>
      <c r="C583" s="717"/>
      <c r="D583" s="717"/>
      <c r="E583" s="717"/>
      <c r="F583" s="716"/>
      <c r="G583" s="716"/>
      <c r="H583" s="716"/>
      <c r="I583" s="718"/>
      <c r="J583" s="718"/>
      <c r="K583" s="718"/>
      <c r="L583" s="655" t="str">
        <f t="shared" si="589"/>
        <v>0</v>
      </c>
      <c r="M583" s="656">
        <f t="shared" si="520"/>
        <v>0</v>
      </c>
      <c r="N583" s="657">
        <f>+IF(OR($Q583=Parametres!$G$2,$Q583=Parametres!$G$3),I583,C583)</f>
        <v>0</v>
      </c>
      <c r="O583" s="657">
        <f>+IF(OR($Q583=Parametres!$G$2,$Q583=Parametres!$G$3),J583,D583)</f>
        <v>0</v>
      </c>
      <c r="P583" s="657">
        <f>+IF(OR($Q583=Parametres!$G$2,$Q583=Parametres!$G$3),K583,E583)</f>
        <v>0</v>
      </c>
      <c r="Q583" s="656">
        <f t="shared" ref="Q583:S583" si="594">+F583</f>
        <v>0</v>
      </c>
      <c r="R583" s="655">
        <f t="shared" si="594"/>
        <v>0</v>
      </c>
      <c r="S583" s="656">
        <f t="shared" si="594"/>
        <v>0</v>
      </c>
      <c r="T583" s="658" t="e">
        <f>+VLOOKUP($L583,Data_Validation!$A:$D,1,0)</f>
        <v>#N/A</v>
      </c>
      <c r="U583" s="658" t="e">
        <f>+VLOOKUP($L583,Data_Validation!$A:$D,3,0)</f>
        <v>#N/A</v>
      </c>
      <c r="V583" s="658" t="e">
        <f>+VLOOKUP($L583,Data_Validation!$A:$D,4,0)</f>
        <v>#N/A</v>
      </c>
      <c r="W583" s="658" t="e">
        <f>+VLOOKUP($L583,Data_Validation!$A:$E,5,0)</f>
        <v>#N/A</v>
      </c>
      <c r="X583" s="658" t="e">
        <f>+VLOOKUP($L583,Data_Validation!$A:$F,6,0)</f>
        <v>#N/A</v>
      </c>
    </row>
    <row r="584" spans="1:24" ht="15" customHeight="1">
      <c r="A584" s="716"/>
      <c r="B584" s="716"/>
      <c r="C584" s="717"/>
      <c r="D584" s="717"/>
      <c r="E584" s="717"/>
      <c r="F584" s="716"/>
      <c r="G584" s="716"/>
      <c r="H584" s="716"/>
      <c r="I584" s="718"/>
      <c r="J584" s="718"/>
      <c r="K584" s="718"/>
      <c r="L584" s="655" t="str">
        <f t="shared" si="589"/>
        <v>0</v>
      </c>
      <c r="M584" s="656">
        <f t="shared" si="520"/>
        <v>0</v>
      </c>
      <c r="N584" s="657">
        <f>+IF(OR($Q584=Parametres!$G$2,$Q584=Parametres!$G$3),I584,C584)</f>
        <v>0</v>
      </c>
      <c r="O584" s="657">
        <f>+IF(OR($Q584=Parametres!$G$2,$Q584=Parametres!$G$3),J584,D584)</f>
        <v>0</v>
      </c>
      <c r="P584" s="657">
        <f>+IF(OR($Q584=Parametres!$G$2,$Q584=Parametres!$G$3),K584,E584)</f>
        <v>0</v>
      </c>
      <c r="Q584" s="656">
        <f t="shared" ref="Q584:S584" si="595">+F584</f>
        <v>0</v>
      </c>
      <c r="R584" s="655">
        <f t="shared" si="595"/>
        <v>0</v>
      </c>
      <c r="S584" s="656">
        <f t="shared" si="595"/>
        <v>0</v>
      </c>
      <c r="T584" s="658" t="e">
        <f>+VLOOKUP($L584,Data_Validation!$A:$D,1,0)</f>
        <v>#N/A</v>
      </c>
      <c r="U584" s="658" t="e">
        <f>+VLOOKUP($L584,Data_Validation!$A:$D,3,0)</f>
        <v>#N/A</v>
      </c>
      <c r="V584" s="658" t="e">
        <f>+VLOOKUP($L584,Data_Validation!$A:$D,4,0)</f>
        <v>#N/A</v>
      </c>
      <c r="W584" s="658" t="e">
        <f>+VLOOKUP($L584,Data_Validation!$A:$E,5,0)</f>
        <v>#N/A</v>
      </c>
      <c r="X584" s="658" t="e">
        <f>+VLOOKUP($L584,Data_Validation!$A:$F,6,0)</f>
        <v>#N/A</v>
      </c>
    </row>
    <row r="585" spans="1:24" ht="15" customHeight="1">
      <c r="A585" s="716"/>
      <c r="B585" s="716"/>
      <c r="C585" s="717"/>
      <c r="D585" s="717"/>
      <c r="E585" s="717"/>
      <c r="F585" s="716"/>
      <c r="G585" s="716"/>
      <c r="H585" s="716"/>
      <c r="I585" s="718"/>
      <c r="J585" s="718"/>
      <c r="K585" s="718"/>
      <c r="L585" s="655" t="str">
        <f t="shared" si="589"/>
        <v>0</v>
      </c>
      <c r="M585" s="656">
        <f t="shared" si="520"/>
        <v>0</v>
      </c>
      <c r="N585" s="657">
        <f>+IF(OR($Q585=Parametres!$G$2,$Q585=Parametres!$G$3),I585,C585)</f>
        <v>0</v>
      </c>
      <c r="O585" s="657">
        <f>+IF(OR($Q585=Parametres!$G$2,$Q585=Parametres!$G$3),J585,D585)</f>
        <v>0</v>
      </c>
      <c r="P585" s="657">
        <f>+IF(OR($Q585=Parametres!$G$2,$Q585=Parametres!$G$3),K585,E585)</f>
        <v>0</v>
      </c>
      <c r="Q585" s="656">
        <f t="shared" ref="Q585:S585" si="596">+F585</f>
        <v>0</v>
      </c>
      <c r="R585" s="655">
        <f t="shared" si="596"/>
        <v>0</v>
      </c>
      <c r="S585" s="656">
        <f t="shared" si="596"/>
        <v>0</v>
      </c>
      <c r="T585" s="658" t="e">
        <f>+VLOOKUP($L585,Data_Validation!$A:$D,1,0)</f>
        <v>#N/A</v>
      </c>
      <c r="U585" s="658" t="e">
        <f>+VLOOKUP($L585,Data_Validation!$A:$D,3,0)</f>
        <v>#N/A</v>
      </c>
      <c r="V585" s="658" t="e">
        <f>+VLOOKUP($L585,Data_Validation!$A:$D,4,0)</f>
        <v>#N/A</v>
      </c>
      <c r="W585" s="658" t="e">
        <f>+VLOOKUP($L585,Data_Validation!$A:$E,5,0)</f>
        <v>#N/A</v>
      </c>
      <c r="X585" s="658" t="e">
        <f>+VLOOKUP($L585,Data_Validation!$A:$F,6,0)</f>
        <v>#N/A</v>
      </c>
    </row>
    <row r="586" spans="1:24" ht="15" customHeight="1">
      <c r="A586" s="716"/>
      <c r="B586" s="716"/>
      <c r="C586" s="717"/>
      <c r="D586" s="717"/>
      <c r="E586" s="717"/>
      <c r="F586" s="716"/>
      <c r="G586" s="716"/>
      <c r="H586" s="716"/>
      <c r="I586" s="718"/>
      <c r="J586" s="718"/>
      <c r="K586" s="718"/>
      <c r="L586" s="655" t="str">
        <f t="shared" si="589"/>
        <v>0</v>
      </c>
      <c r="M586" s="656">
        <f t="shared" si="520"/>
        <v>0</v>
      </c>
      <c r="N586" s="657">
        <f>+IF(OR($Q586=Parametres!$G$2,$Q586=Parametres!$G$3),I586,C586)</f>
        <v>0</v>
      </c>
      <c r="O586" s="657">
        <f>+IF(OR($Q586=Parametres!$G$2,$Q586=Parametres!$G$3),J586,D586)</f>
        <v>0</v>
      </c>
      <c r="P586" s="657">
        <f>+IF(OR($Q586=Parametres!$G$2,$Q586=Parametres!$G$3),K586,E586)</f>
        <v>0</v>
      </c>
      <c r="Q586" s="656">
        <f t="shared" ref="Q586:S586" si="597">+F586</f>
        <v>0</v>
      </c>
      <c r="R586" s="655">
        <f t="shared" si="597"/>
        <v>0</v>
      </c>
      <c r="S586" s="656">
        <f t="shared" si="597"/>
        <v>0</v>
      </c>
      <c r="T586" s="658" t="e">
        <f>+VLOOKUP($L586,Data_Validation!$A:$D,1,0)</f>
        <v>#N/A</v>
      </c>
      <c r="U586" s="658" t="e">
        <f>+VLOOKUP($L586,Data_Validation!$A:$D,3,0)</f>
        <v>#N/A</v>
      </c>
      <c r="V586" s="658" t="e">
        <f>+VLOOKUP($L586,Data_Validation!$A:$D,4,0)</f>
        <v>#N/A</v>
      </c>
      <c r="W586" s="658" t="e">
        <f>+VLOOKUP($L586,Data_Validation!$A:$E,5,0)</f>
        <v>#N/A</v>
      </c>
      <c r="X586" s="658" t="e">
        <f>+VLOOKUP($L586,Data_Validation!$A:$F,6,0)</f>
        <v>#N/A</v>
      </c>
    </row>
    <row r="587" spans="1:24" ht="15" customHeight="1">
      <c r="A587" s="716"/>
      <c r="B587" s="716"/>
      <c r="C587" s="717"/>
      <c r="D587" s="717"/>
      <c r="E587" s="717"/>
      <c r="F587" s="716"/>
      <c r="G587" s="716"/>
      <c r="H587" s="716"/>
      <c r="I587" s="718"/>
      <c r="J587" s="718"/>
      <c r="K587" s="718"/>
      <c r="L587" s="655" t="str">
        <f t="shared" si="589"/>
        <v>0</v>
      </c>
      <c r="M587" s="656">
        <f t="shared" si="520"/>
        <v>0</v>
      </c>
      <c r="N587" s="657">
        <f>+IF(OR($Q587=Parametres!$G$2,$Q587=Parametres!$G$3),I587,C587)</f>
        <v>0</v>
      </c>
      <c r="O587" s="657">
        <f>+IF(OR($Q587=Parametres!$G$2,$Q587=Parametres!$G$3),J587,D587)</f>
        <v>0</v>
      </c>
      <c r="P587" s="657">
        <f>+IF(OR($Q587=Parametres!$G$2,$Q587=Parametres!$G$3),K587,E587)</f>
        <v>0</v>
      </c>
      <c r="Q587" s="656">
        <f t="shared" ref="Q587:S587" si="598">+F587</f>
        <v>0</v>
      </c>
      <c r="R587" s="655">
        <f t="shared" si="598"/>
        <v>0</v>
      </c>
      <c r="S587" s="656">
        <f t="shared" si="598"/>
        <v>0</v>
      </c>
      <c r="T587" s="658" t="e">
        <f>+VLOOKUP($L587,Data_Validation!$A:$D,1,0)</f>
        <v>#N/A</v>
      </c>
      <c r="U587" s="658" t="e">
        <f>+VLOOKUP($L587,Data_Validation!$A:$D,3,0)</f>
        <v>#N/A</v>
      </c>
      <c r="V587" s="658" t="e">
        <f>+VLOOKUP($L587,Data_Validation!$A:$D,4,0)</f>
        <v>#N/A</v>
      </c>
      <c r="W587" s="658" t="e">
        <f>+VLOOKUP($L587,Data_Validation!$A:$E,5,0)</f>
        <v>#N/A</v>
      </c>
      <c r="X587" s="658" t="e">
        <f>+VLOOKUP($L587,Data_Validation!$A:$F,6,0)</f>
        <v>#N/A</v>
      </c>
    </row>
    <row r="588" spans="1:24" ht="15" customHeight="1">
      <c r="A588" s="716"/>
      <c r="B588" s="716"/>
      <c r="C588" s="717"/>
      <c r="D588" s="717"/>
      <c r="E588" s="717"/>
      <c r="F588" s="716"/>
      <c r="G588" s="716"/>
      <c r="H588" s="716"/>
      <c r="I588" s="718"/>
      <c r="J588" s="718"/>
      <c r="K588" s="718"/>
      <c r="L588" s="655" t="str">
        <f t="shared" si="589"/>
        <v>0</v>
      </c>
      <c r="M588" s="656">
        <f t="shared" si="520"/>
        <v>0</v>
      </c>
      <c r="N588" s="657">
        <f>+IF(OR($Q588=Parametres!$G$2,$Q588=Parametres!$G$3),I588,C588)</f>
        <v>0</v>
      </c>
      <c r="O588" s="657">
        <f>+IF(OR($Q588=Parametres!$G$2,$Q588=Parametres!$G$3),J588,D588)</f>
        <v>0</v>
      </c>
      <c r="P588" s="657">
        <f>+IF(OR($Q588=Parametres!$G$2,$Q588=Parametres!$G$3),K588,E588)</f>
        <v>0</v>
      </c>
      <c r="Q588" s="656">
        <f t="shared" ref="Q588:S588" si="599">+F588</f>
        <v>0</v>
      </c>
      <c r="R588" s="655">
        <f t="shared" si="599"/>
        <v>0</v>
      </c>
      <c r="S588" s="656">
        <f t="shared" si="599"/>
        <v>0</v>
      </c>
      <c r="T588" s="658" t="e">
        <f>+VLOOKUP($L588,Data_Validation!$A:$D,1,0)</f>
        <v>#N/A</v>
      </c>
      <c r="U588" s="658" t="e">
        <f>+VLOOKUP($L588,Data_Validation!$A:$D,3,0)</f>
        <v>#N/A</v>
      </c>
      <c r="V588" s="658" t="e">
        <f>+VLOOKUP($L588,Data_Validation!$A:$D,4,0)</f>
        <v>#N/A</v>
      </c>
      <c r="W588" s="658" t="e">
        <f>+VLOOKUP($L588,Data_Validation!$A:$E,5,0)</f>
        <v>#N/A</v>
      </c>
      <c r="X588" s="658" t="e">
        <f>+VLOOKUP($L588,Data_Validation!$A:$F,6,0)</f>
        <v>#N/A</v>
      </c>
    </row>
    <row r="589" spans="1:24" ht="15" customHeight="1">
      <c r="A589" s="716"/>
      <c r="B589" s="716"/>
      <c r="C589" s="717"/>
      <c r="D589" s="717"/>
      <c r="E589" s="717"/>
      <c r="F589" s="716"/>
      <c r="G589" s="716"/>
      <c r="H589" s="716"/>
      <c r="I589" s="718"/>
      <c r="J589" s="718"/>
      <c r="K589" s="718"/>
      <c r="L589" s="655" t="str">
        <f t="shared" si="589"/>
        <v>0</v>
      </c>
      <c r="M589" s="656">
        <f t="shared" si="520"/>
        <v>0</v>
      </c>
      <c r="N589" s="657">
        <f>+IF(OR($Q589=Parametres!$G$2,$Q589=Parametres!$G$3),I589,C589)</f>
        <v>0</v>
      </c>
      <c r="O589" s="657">
        <f>+IF(OR($Q589=Parametres!$G$2,$Q589=Parametres!$G$3),J589,D589)</f>
        <v>0</v>
      </c>
      <c r="P589" s="657">
        <f>+IF(OR($Q589=Parametres!$G$2,$Q589=Parametres!$G$3),K589,E589)</f>
        <v>0</v>
      </c>
      <c r="Q589" s="656">
        <f t="shared" ref="Q589:S589" si="600">+F589</f>
        <v>0</v>
      </c>
      <c r="R589" s="655">
        <f t="shared" si="600"/>
        <v>0</v>
      </c>
      <c r="S589" s="656">
        <f t="shared" si="600"/>
        <v>0</v>
      </c>
      <c r="T589" s="658" t="e">
        <f>+VLOOKUP($L589,Data_Validation!$A:$D,1,0)</f>
        <v>#N/A</v>
      </c>
      <c r="U589" s="658" t="e">
        <f>+VLOOKUP($L589,Data_Validation!$A:$D,3,0)</f>
        <v>#N/A</v>
      </c>
      <c r="V589" s="658" t="e">
        <f>+VLOOKUP($L589,Data_Validation!$A:$D,4,0)</f>
        <v>#N/A</v>
      </c>
      <c r="W589" s="658" t="e">
        <f>+VLOOKUP($L589,Data_Validation!$A:$E,5,0)</f>
        <v>#N/A</v>
      </c>
      <c r="X589" s="658" t="e">
        <f>+VLOOKUP($L589,Data_Validation!$A:$F,6,0)</f>
        <v>#N/A</v>
      </c>
    </row>
    <row r="590" spans="1:24" ht="15" customHeight="1">
      <c r="A590" s="716"/>
      <c r="B590" s="716"/>
      <c r="C590" s="717"/>
      <c r="D590" s="717"/>
      <c r="E590" s="717"/>
      <c r="F590" s="716"/>
      <c r="G590" s="716"/>
      <c r="H590" s="716"/>
      <c r="I590" s="718"/>
      <c r="J590" s="718"/>
      <c r="K590" s="718"/>
      <c r="L590" s="655" t="str">
        <f t="shared" si="589"/>
        <v>0</v>
      </c>
      <c r="M590" s="656">
        <f t="shared" si="520"/>
        <v>0</v>
      </c>
      <c r="N590" s="657">
        <f>+IF(OR($Q590=Parametres!$G$2,$Q590=Parametres!$G$3),I590,C590)</f>
        <v>0</v>
      </c>
      <c r="O590" s="657">
        <f>+IF(OR($Q590=Parametres!$G$2,$Q590=Parametres!$G$3),J590,D590)</f>
        <v>0</v>
      </c>
      <c r="P590" s="657">
        <f>+IF(OR($Q590=Parametres!$G$2,$Q590=Parametres!$G$3),K590,E590)</f>
        <v>0</v>
      </c>
      <c r="Q590" s="656">
        <f t="shared" ref="Q590:S590" si="601">+F590</f>
        <v>0</v>
      </c>
      <c r="R590" s="655">
        <f t="shared" si="601"/>
        <v>0</v>
      </c>
      <c r="S590" s="656">
        <f t="shared" si="601"/>
        <v>0</v>
      </c>
      <c r="T590" s="658" t="e">
        <f>+VLOOKUP($L590,Data_Validation!$A:$D,1,0)</f>
        <v>#N/A</v>
      </c>
      <c r="U590" s="658" t="e">
        <f>+VLOOKUP($L590,Data_Validation!$A:$D,3,0)</f>
        <v>#N/A</v>
      </c>
      <c r="V590" s="658" t="e">
        <f>+VLOOKUP($L590,Data_Validation!$A:$D,4,0)</f>
        <v>#N/A</v>
      </c>
      <c r="W590" s="658" t="e">
        <f>+VLOOKUP($L590,Data_Validation!$A:$E,5,0)</f>
        <v>#N/A</v>
      </c>
      <c r="X590" s="658" t="e">
        <f>+VLOOKUP($L590,Data_Validation!$A:$F,6,0)</f>
        <v>#N/A</v>
      </c>
    </row>
    <row r="591" spans="1:24" ht="15" customHeight="1">
      <c r="A591" s="716"/>
      <c r="B591" s="716"/>
      <c r="C591" s="717"/>
      <c r="D591" s="717"/>
      <c r="E591" s="717"/>
      <c r="F591" s="716"/>
      <c r="G591" s="716"/>
      <c r="H591" s="716"/>
      <c r="I591" s="718"/>
      <c r="J591" s="718"/>
      <c r="K591" s="718"/>
      <c r="L591" s="655" t="str">
        <f t="shared" si="589"/>
        <v>0</v>
      </c>
      <c r="M591" s="656">
        <f t="shared" si="520"/>
        <v>0</v>
      </c>
      <c r="N591" s="657">
        <f>+IF(OR($Q591=Parametres!$G$2,$Q591=Parametres!$G$3),I591,C591)</f>
        <v>0</v>
      </c>
      <c r="O591" s="657">
        <f>+IF(OR($Q591=Parametres!$G$2,$Q591=Parametres!$G$3),J591,D591)</f>
        <v>0</v>
      </c>
      <c r="P591" s="657">
        <f>+IF(OR($Q591=Parametres!$G$2,$Q591=Parametres!$G$3),K591,E591)</f>
        <v>0</v>
      </c>
      <c r="Q591" s="656">
        <f t="shared" ref="Q591:S591" si="602">+F591</f>
        <v>0</v>
      </c>
      <c r="R591" s="655">
        <f t="shared" si="602"/>
        <v>0</v>
      </c>
      <c r="S591" s="656">
        <f t="shared" si="602"/>
        <v>0</v>
      </c>
      <c r="T591" s="658" t="e">
        <f>+VLOOKUP($L591,Data_Validation!$A:$D,1,0)</f>
        <v>#N/A</v>
      </c>
      <c r="U591" s="658" t="e">
        <f>+VLOOKUP($L591,Data_Validation!$A:$D,3,0)</f>
        <v>#N/A</v>
      </c>
      <c r="V591" s="658" t="e">
        <f>+VLOOKUP($L591,Data_Validation!$A:$D,4,0)</f>
        <v>#N/A</v>
      </c>
      <c r="W591" s="658" t="e">
        <f>+VLOOKUP($L591,Data_Validation!$A:$E,5,0)</f>
        <v>#N/A</v>
      </c>
      <c r="X591" s="658" t="e">
        <f>+VLOOKUP($L591,Data_Validation!$A:$F,6,0)</f>
        <v>#N/A</v>
      </c>
    </row>
    <row r="592" spans="1:24" ht="15" customHeight="1">
      <c r="A592" s="716"/>
      <c r="B592" s="716"/>
      <c r="C592" s="717"/>
      <c r="D592" s="717"/>
      <c r="E592" s="717"/>
      <c r="F592" s="716"/>
      <c r="G592" s="716"/>
      <c r="H592" s="716"/>
      <c r="I592" s="718"/>
      <c r="J592" s="718"/>
      <c r="K592" s="718"/>
      <c r="L592" s="655" t="str">
        <f t="shared" si="589"/>
        <v>0</v>
      </c>
      <c r="M592" s="656">
        <f t="shared" si="520"/>
        <v>0</v>
      </c>
      <c r="N592" s="657">
        <f>+IF(OR($Q592=Parametres!$G$2,$Q592=Parametres!$G$3),I592,C592)</f>
        <v>0</v>
      </c>
      <c r="O592" s="657">
        <f>+IF(OR($Q592=Parametres!$G$2,$Q592=Parametres!$G$3),J592,D592)</f>
        <v>0</v>
      </c>
      <c r="P592" s="657">
        <f>+IF(OR($Q592=Parametres!$G$2,$Q592=Parametres!$G$3),K592,E592)</f>
        <v>0</v>
      </c>
      <c r="Q592" s="656">
        <f t="shared" ref="Q592:S592" si="603">+F592</f>
        <v>0</v>
      </c>
      <c r="R592" s="655">
        <f t="shared" si="603"/>
        <v>0</v>
      </c>
      <c r="S592" s="656">
        <f t="shared" si="603"/>
        <v>0</v>
      </c>
      <c r="T592" s="658" t="e">
        <f>+VLOOKUP($L592,Data_Validation!$A:$D,1,0)</f>
        <v>#N/A</v>
      </c>
      <c r="U592" s="658" t="e">
        <f>+VLOOKUP($L592,Data_Validation!$A:$D,3,0)</f>
        <v>#N/A</v>
      </c>
      <c r="V592" s="658" t="e">
        <f>+VLOOKUP($L592,Data_Validation!$A:$D,4,0)</f>
        <v>#N/A</v>
      </c>
      <c r="W592" s="658" t="e">
        <f>+VLOOKUP($L592,Data_Validation!$A:$E,5,0)</f>
        <v>#N/A</v>
      </c>
      <c r="X592" s="658" t="e">
        <f>+VLOOKUP($L592,Data_Validation!$A:$F,6,0)</f>
        <v>#N/A</v>
      </c>
    </row>
    <row r="593" spans="1:24" ht="15" customHeight="1">
      <c r="A593" s="716"/>
      <c r="B593" s="716"/>
      <c r="C593" s="717"/>
      <c r="D593" s="717"/>
      <c r="E593" s="717"/>
      <c r="F593" s="716"/>
      <c r="G593" s="716"/>
      <c r="H593" s="716"/>
      <c r="I593" s="718"/>
      <c r="J593" s="718"/>
      <c r="K593" s="718"/>
      <c r="L593" s="655" t="str">
        <f t="shared" si="589"/>
        <v>0</v>
      </c>
      <c r="M593" s="656">
        <f t="shared" si="520"/>
        <v>0</v>
      </c>
      <c r="N593" s="657">
        <f>+IF(OR($Q593=Parametres!$G$2,$Q593=Parametres!$G$3),I593,C593)</f>
        <v>0</v>
      </c>
      <c r="O593" s="657">
        <f>+IF(OR($Q593=Parametres!$G$2,$Q593=Parametres!$G$3),J593,D593)</f>
        <v>0</v>
      </c>
      <c r="P593" s="657">
        <f>+IF(OR($Q593=Parametres!$G$2,$Q593=Parametres!$G$3),K593,E593)</f>
        <v>0</v>
      </c>
      <c r="Q593" s="656">
        <f t="shared" ref="Q593:S593" si="604">+F593</f>
        <v>0</v>
      </c>
      <c r="R593" s="655">
        <f t="shared" si="604"/>
        <v>0</v>
      </c>
      <c r="S593" s="656">
        <f t="shared" si="604"/>
        <v>0</v>
      </c>
      <c r="T593" s="658" t="e">
        <f>+VLOOKUP($L593,Data_Validation!$A:$D,1,0)</f>
        <v>#N/A</v>
      </c>
      <c r="U593" s="658" t="e">
        <f>+VLOOKUP($L593,Data_Validation!$A:$D,3,0)</f>
        <v>#N/A</v>
      </c>
      <c r="V593" s="658" t="e">
        <f>+VLOOKUP($L593,Data_Validation!$A:$D,4,0)</f>
        <v>#N/A</v>
      </c>
      <c r="W593" s="658" t="e">
        <f>+VLOOKUP($L593,Data_Validation!$A:$E,5,0)</f>
        <v>#N/A</v>
      </c>
      <c r="X593" s="658" t="e">
        <f>+VLOOKUP($L593,Data_Validation!$A:$F,6,0)</f>
        <v>#N/A</v>
      </c>
    </row>
    <row r="594" spans="1:24" ht="15" customHeight="1">
      <c r="A594" s="716"/>
      <c r="B594" s="716"/>
      <c r="C594" s="717"/>
      <c r="D594" s="717"/>
      <c r="E594" s="717"/>
      <c r="F594" s="716"/>
      <c r="G594" s="716"/>
      <c r="H594" s="716"/>
      <c r="I594" s="718"/>
      <c r="J594" s="718"/>
      <c r="K594" s="718"/>
      <c r="L594" s="655" t="str">
        <f t="shared" si="589"/>
        <v>0</v>
      </c>
      <c r="M594" s="656">
        <f t="shared" si="520"/>
        <v>0</v>
      </c>
      <c r="N594" s="657">
        <f>+IF(OR($Q594=Parametres!$G$2,$Q594=Parametres!$G$3),I594,C594)</f>
        <v>0</v>
      </c>
      <c r="O594" s="657">
        <f>+IF(OR($Q594=Parametres!$G$2,$Q594=Parametres!$G$3),J594,D594)</f>
        <v>0</v>
      </c>
      <c r="P594" s="657">
        <f>+IF(OR($Q594=Parametres!$G$2,$Q594=Parametres!$G$3),K594,E594)</f>
        <v>0</v>
      </c>
      <c r="Q594" s="656">
        <f t="shared" ref="Q594:S594" si="605">+F594</f>
        <v>0</v>
      </c>
      <c r="R594" s="655">
        <f t="shared" si="605"/>
        <v>0</v>
      </c>
      <c r="S594" s="656">
        <f t="shared" si="605"/>
        <v>0</v>
      </c>
      <c r="T594" s="658" t="e">
        <f>+VLOOKUP($L594,Data_Validation!$A:$D,1,0)</f>
        <v>#N/A</v>
      </c>
      <c r="U594" s="658" t="e">
        <f>+VLOOKUP($L594,Data_Validation!$A:$D,3,0)</f>
        <v>#N/A</v>
      </c>
      <c r="V594" s="658" t="e">
        <f>+VLOOKUP($L594,Data_Validation!$A:$D,4,0)</f>
        <v>#N/A</v>
      </c>
      <c r="W594" s="658" t="e">
        <f>+VLOOKUP($L594,Data_Validation!$A:$E,5,0)</f>
        <v>#N/A</v>
      </c>
      <c r="X594" s="658" t="e">
        <f>+VLOOKUP($L594,Data_Validation!$A:$F,6,0)</f>
        <v>#N/A</v>
      </c>
    </row>
    <row r="595" spans="1:24" ht="15" customHeight="1">
      <c r="A595" s="716"/>
      <c r="B595" s="716"/>
      <c r="C595" s="717"/>
      <c r="D595" s="717"/>
      <c r="E595" s="717"/>
      <c r="F595" s="716"/>
      <c r="G595" s="716"/>
      <c r="H595" s="716"/>
      <c r="I595" s="718"/>
      <c r="J595" s="718"/>
      <c r="K595" s="718"/>
      <c r="L595" s="655" t="str">
        <f t="shared" si="589"/>
        <v>0</v>
      </c>
      <c r="M595" s="656">
        <f t="shared" si="520"/>
        <v>0</v>
      </c>
      <c r="N595" s="657">
        <f>+IF(OR($Q595=Parametres!$G$2,$Q595=Parametres!$G$3),I595,C595)</f>
        <v>0</v>
      </c>
      <c r="O595" s="657">
        <f>+IF(OR($Q595=Parametres!$G$2,$Q595=Parametres!$G$3),J595,D595)</f>
        <v>0</v>
      </c>
      <c r="P595" s="657">
        <f>+IF(OR($Q595=Parametres!$G$2,$Q595=Parametres!$G$3),K595,E595)</f>
        <v>0</v>
      </c>
      <c r="Q595" s="656">
        <f t="shared" ref="Q595:S595" si="606">+F595</f>
        <v>0</v>
      </c>
      <c r="R595" s="655">
        <f t="shared" si="606"/>
        <v>0</v>
      </c>
      <c r="S595" s="656">
        <f t="shared" si="606"/>
        <v>0</v>
      </c>
      <c r="T595" s="658" t="e">
        <f>+VLOOKUP($L595,Data_Validation!$A:$D,1,0)</f>
        <v>#N/A</v>
      </c>
      <c r="U595" s="658" t="e">
        <f>+VLOOKUP($L595,Data_Validation!$A:$D,3,0)</f>
        <v>#N/A</v>
      </c>
      <c r="V595" s="658" t="e">
        <f>+VLOOKUP($L595,Data_Validation!$A:$D,4,0)</f>
        <v>#N/A</v>
      </c>
      <c r="W595" s="658" t="e">
        <f>+VLOOKUP($L595,Data_Validation!$A:$E,5,0)</f>
        <v>#N/A</v>
      </c>
      <c r="X595" s="658" t="e">
        <f>+VLOOKUP($L595,Data_Validation!$A:$F,6,0)</f>
        <v>#N/A</v>
      </c>
    </row>
    <row r="596" spans="1:24" ht="15" customHeight="1">
      <c r="A596" s="716"/>
      <c r="B596" s="716"/>
      <c r="C596" s="717"/>
      <c r="D596" s="717"/>
      <c r="E596" s="717"/>
      <c r="F596" s="716"/>
      <c r="G596" s="716"/>
      <c r="H596" s="716"/>
      <c r="I596" s="718"/>
      <c r="J596" s="718"/>
      <c r="K596" s="718"/>
      <c r="L596" s="655" t="str">
        <f t="shared" si="589"/>
        <v>0</v>
      </c>
      <c r="M596" s="656">
        <f t="shared" si="520"/>
        <v>0</v>
      </c>
      <c r="N596" s="657">
        <f>+IF(OR($Q596=Parametres!$G$2,$Q596=Parametres!$G$3),I596,C596)</f>
        <v>0</v>
      </c>
      <c r="O596" s="657">
        <f>+IF(OR($Q596=Parametres!$G$2,$Q596=Parametres!$G$3),J596,D596)</f>
        <v>0</v>
      </c>
      <c r="P596" s="657">
        <f>+IF(OR($Q596=Parametres!$G$2,$Q596=Parametres!$G$3),K596,E596)</f>
        <v>0</v>
      </c>
      <c r="Q596" s="656">
        <f t="shared" ref="Q596:S596" si="607">+F596</f>
        <v>0</v>
      </c>
      <c r="R596" s="655">
        <f t="shared" si="607"/>
        <v>0</v>
      </c>
      <c r="S596" s="656">
        <f t="shared" si="607"/>
        <v>0</v>
      </c>
      <c r="T596" s="658" t="e">
        <f>+VLOOKUP($L596,Data_Validation!$A:$D,1,0)</f>
        <v>#N/A</v>
      </c>
      <c r="U596" s="658" t="e">
        <f>+VLOOKUP($L596,Data_Validation!$A:$D,3,0)</f>
        <v>#N/A</v>
      </c>
      <c r="V596" s="658" t="e">
        <f>+VLOOKUP($L596,Data_Validation!$A:$D,4,0)</f>
        <v>#N/A</v>
      </c>
      <c r="W596" s="658" t="e">
        <f>+VLOOKUP($L596,Data_Validation!$A:$E,5,0)</f>
        <v>#N/A</v>
      </c>
      <c r="X596" s="658" t="e">
        <f>+VLOOKUP($L596,Data_Validation!$A:$F,6,0)</f>
        <v>#N/A</v>
      </c>
    </row>
    <row r="597" spans="1:24" ht="15" customHeight="1">
      <c r="A597" s="716"/>
      <c r="B597" s="716"/>
      <c r="C597" s="717"/>
      <c r="D597" s="717"/>
      <c r="E597" s="717"/>
      <c r="F597" s="716"/>
      <c r="G597" s="716"/>
      <c r="H597" s="716"/>
      <c r="I597" s="718"/>
      <c r="J597" s="718"/>
      <c r="K597" s="718"/>
      <c r="L597" s="655" t="str">
        <f t="shared" si="589"/>
        <v>0</v>
      </c>
      <c r="M597" s="656">
        <f t="shared" si="520"/>
        <v>0</v>
      </c>
      <c r="N597" s="657">
        <f>+IF(OR($Q597=Parametres!$G$2,$Q597=Parametres!$G$3),I597,C597)</f>
        <v>0</v>
      </c>
      <c r="O597" s="657">
        <f>+IF(OR($Q597=Parametres!$G$2,$Q597=Parametres!$G$3),J597,D597)</f>
        <v>0</v>
      </c>
      <c r="P597" s="657">
        <f>+IF(OR($Q597=Parametres!$G$2,$Q597=Parametres!$G$3),K597,E597)</f>
        <v>0</v>
      </c>
      <c r="Q597" s="656">
        <f t="shared" ref="Q597:S597" si="608">+F597</f>
        <v>0</v>
      </c>
      <c r="R597" s="655">
        <f t="shared" si="608"/>
        <v>0</v>
      </c>
      <c r="S597" s="656">
        <f t="shared" si="608"/>
        <v>0</v>
      </c>
      <c r="T597" s="658" t="e">
        <f>+VLOOKUP($L597,Data_Validation!$A:$D,1,0)</f>
        <v>#N/A</v>
      </c>
      <c r="U597" s="658" t="e">
        <f>+VLOOKUP($L597,Data_Validation!$A:$D,3,0)</f>
        <v>#N/A</v>
      </c>
      <c r="V597" s="658" t="e">
        <f>+VLOOKUP($L597,Data_Validation!$A:$D,4,0)</f>
        <v>#N/A</v>
      </c>
      <c r="W597" s="658" t="e">
        <f>+VLOOKUP($L597,Data_Validation!$A:$E,5,0)</f>
        <v>#N/A</v>
      </c>
      <c r="X597" s="658" t="e">
        <f>+VLOOKUP($L597,Data_Validation!$A:$F,6,0)</f>
        <v>#N/A</v>
      </c>
    </row>
    <row r="598" spans="1:24" ht="15" customHeight="1">
      <c r="A598" s="716"/>
      <c r="B598" s="716"/>
      <c r="C598" s="717"/>
      <c r="D598" s="717"/>
      <c r="E598" s="717"/>
      <c r="F598" s="716"/>
      <c r="G598" s="716"/>
      <c r="H598" s="716"/>
      <c r="I598" s="718"/>
      <c r="J598" s="718"/>
      <c r="K598" s="718"/>
      <c r="L598" s="655" t="str">
        <f t="shared" si="589"/>
        <v>0</v>
      </c>
      <c r="M598" s="656">
        <f t="shared" si="520"/>
        <v>0</v>
      </c>
      <c r="N598" s="657">
        <f>+IF(OR($Q598=Parametres!$G$2,$Q598=Parametres!$G$3),I598,C598)</f>
        <v>0</v>
      </c>
      <c r="O598" s="657">
        <f>+IF(OR($Q598=Parametres!$G$2,$Q598=Parametres!$G$3),J598,D598)</f>
        <v>0</v>
      </c>
      <c r="P598" s="657">
        <f>+IF(OR($Q598=Parametres!$G$2,$Q598=Parametres!$G$3),K598,E598)</f>
        <v>0</v>
      </c>
      <c r="Q598" s="656">
        <f t="shared" ref="Q598:S598" si="609">+F598</f>
        <v>0</v>
      </c>
      <c r="R598" s="655">
        <f t="shared" si="609"/>
        <v>0</v>
      </c>
      <c r="S598" s="656">
        <f t="shared" si="609"/>
        <v>0</v>
      </c>
      <c r="T598" s="658" t="e">
        <f>+VLOOKUP($L598,Data_Validation!$A:$D,1,0)</f>
        <v>#N/A</v>
      </c>
      <c r="U598" s="658" t="e">
        <f>+VLOOKUP($L598,Data_Validation!$A:$D,3,0)</f>
        <v>#N/A</v>
      </c>
      <c r="V598" s="658" t="e">
        <f>+VLOOKUP($L598,Data_Validation!$A:$D,4,0)</f>
        <v>#N/A</v>
      </c>
      <c r="W598" s="658" t="e">
        <f>+VLOOKUP($L598,Data_Validation!$A:$E,5,0)</f>
        <v>#N/A</v>
      </c>
      <c r="X598" s="658" t="e">
        <f>+VLOOKUP($L598,Data_Validation!$A:$F,6,0)</f>
        <v>#N/A</v>
      </c>
    </row>
    <row r="599" spans="1:24" ht="15" customHeight="1">
      <c r="A599" s="716"/>
      <c r="B599" s="716"/>
      <c r="C599" s="717"/>
      <c r="D599" s="717"/>
      <c r="E599" s="717"/>
      <c r="F599" s="716"/>
      <c r="G599" s="716"/>
      <c r="H599" s="716"/>
      <c r="I599" s="718"/>
      <c r="J599" s="718"/>
      <c r="K599" s="718"/>
      <c r="L599" s="655" t="str">
        <f t="shared" si="589"/>
        <v>0</v>
      </c>
      <c r="M599" s="656">
        <f t="shared" si="520"/>
        <v>0</v>
      </c>
      <c r="N599" s="657">
        <f>+IF(OR($Q599=Parametres!$G$2,$Q599=Parametres!$G$3),I599,C599)</f>
        <v>0</v>
      </c>
      <c r="O599" s="657">
        <f>+IF(OR($Q599=Parametres!$G$2,$Q599=Parametres!$G$3),J599,D599)</f>
        <v>0</v>
      </c>
      <c r="P599" s="657">
        <f>+IF(OR($Q599=Parametres!$G$2,$Q599=Parametres!$G$3),K599,E599)</f>
        <v>0</v>
      </c>
      <c r="Q599" s="656">
        <f t="shared" ref="Q599:S599" si="610">+F599</f>
        <v>0</v>
      </c>
      <c r="R599" s="655">
        <f t="shared" si="610"/>
        <v>0</v>
      </c>
      <c r="S599" s="656">
        <f t="shared" si="610"/>
        <v>0</v>
      </c>
      <c r="T599" s="658" t="e">
        <f>+VLOOKUP($L599,Data_Validation!$A:$D,1,0)</f>
        <v>#N/A</v>
      </c>
      <c r="U599" s="658" t="e">
        <f>+VLOOKUP($L599,Data_Validation!$A:$D,3,0)</f>
        <v>#N/A</v>
      </c>
      <c r="V599" s="658" t="e">
        <f>+VLOOKUP($L599,Data_Validation!$A:$D,4,0)</f>
        <v>#N/A</v>
      </c>
      <c r="W599" s="658" t="e">
        <f>+VLOOKUP($L599,Data_Validation!$A:$E,5,0)</f>
        <v>#N/A</v>
      </c>
      <c r="X599" s="658" t="e">
        <f>+VLOOKUP($L599,Data_Validation!$A:$F,6,0)</f>
        <v>#N/A</v>
      </c>
    </row>
    <row r="600" spans="1:24" ht="15" customHeight="1">
      <c r="A600" s="716"/>
      <c r="B600" s="716"/>
      <c r="C600" s="717"/>
      <c r="D600" s="717"/>
      <c r="E600" s="717"/>
      <c r="F600" s="716"/>
      <c r="G600" s="716"/>
      <c r="H600" s="716"/>
      <c r="I600" s="718"/>
      <c r="J600" s="718"/>
      <c r="K600" s="718"/>
      <c r="L600" s="655" t="str">
        <f t="shared" si="589"/>
        <v>0</v>
      </c>
      <c r="M600" s="656">
        <f t="shared" si="520"/>
        <v>0</v>
      </c>
      <c r="N600" s="657">
        <f>+IF(OR($Q600=Parametres!$G$2,$Q600=Parametres!$G$3),I600,C600)</f>
        <v>0</v>
      </c>
      <c r="O600" s="657">
        <f>+IF(OR($Q600=Parametres!$G$2,$Q600=Parametres!$G$3),J600,D600)</f>
        <v>0</v>
      </c>
      <c r="P600" s="657">
        <f>+IF(OR($Q600=Parametres!$G$2,$Q600=Parametres!$G$3),K600,E600)</f>
        <v>0</v>
      </c>
      <c r="Q600" s="656">
        <f t="shared" ref="Q600:S600" si="611">+F600</f>
        <v>0</v>
      </c>
      <c r="R600" s="655">
        <f t="shared" si="611"/>
        <v>0</v>
      </c>
      <c r="S600" s="656">
        <f t="shared" si="611"/>
        <v>0</v>
      </c>
      <c r="T600" s="658" t="e">
        <f>+VLOOKUP($L600,Data_Validation!$A:$D,1,0)</f>
        <v>#N/A</v>
      </c>
      <c r="U600" s="658" t="e">
        <f>+VLOOKUP($L600,Data_Validation!$A:$D,3,0)</f>
        <v>#N/A</v>
      </c>
      <c r="V600" s="658" t="e">
        <f>+VLOOKUP($L600,Data_Validation!$A:$D,4,0)</f>
        <v>#N/A</v>
      </c>
      <c r="W600" s="658" t="e">
        <f>+VLOOKUP($L600,Data_Validation!$A:$E,5,0)</f>
        <v>#N/A</v>
      </c>
      <c r="X600" s="658" t="e">
        <f>+VLOOKUP($L600,Data_Validation!$A:$F,6,0)</f>
        <v>#N/A</v>
      </c>
    </row>
    <row r="601" spans="1:24" ht="15" customHeight="1">
      <c r="A601" s="716"/>
      <c r="B601" s="716"/>
      <c r="C601" s="717"/>
      <c r="D601" s="717"/>
      <c r="E601" s="717"/>
      <c r="F601" s="716"/>
      <c r="G601" s="716"/>
      <c r="H601" s="716"/>
      <c r="I601" s="718"/>
      <c r="J601" s="718"/>
      <c r="K601" s="718"/>
      <c r="L601" s="655" t="str">
        <f t="shared" si="589"/>
        <v>0</v>
      </c>
      <c r="M601" s="656">
        <f t="shared" si="520"/>
        <v>0</v>
      </c>
      <c r="N601" s="657">
        <f>+IF(OR($Q601=Parametres!$G$2,$Q601=Parametres!$G$3),I601,C601)</f>
        <v>0</v>
      </c>
      <c r="O601" s="657">
        <f>+IF(OR($Q601=Parametres!$G$2,$Q601=Parametres!$G$3),J601,D601)</f>
        <v>0</v>
      </c>
      <c r="P601" s="657">
        <f>+IF(OR($Q601=Parametres!$G$2,$Q601=Parametres!$G$3),K601,E601)</f>
        <v>0</v>
      </c>
      <c r="Q601" s="656">
        <f t="shared" ref="Q601:S601" si="612">+F601</f>
        <v>0</v>
      </c>
      <c r="R601" s="655">
        <f t="shared" si="612"/>
        <v>0</v>
      </c>
      <c r="S601" s="656">
        <f t="shared" si="612"/>
        <v>0</v>
      </c>
      <c r="T601" s="658" t="e">
        <f>+VLOOKUP($L601,Data_Validation!$A:$D,1,0)</f>
        <v>#N/A</v>
      </c>
      <c r="U601" s="658" t="e">
        <f>+VLOOKUP($L601,Data_Validation!$A:$D,3,0)</f>
        <v>#N/A</v>
      </c>
      <c r="V601" s="658" t="e">
        <f>+VLOOKUP($L601,Data_Validation!$A:$D,4,0)</f>
        <v>#N/A</v>
      </c>
      <c r="W601" s="658" t="e">
        <f>+VLOOKUP($L601,Data_Validation!$A:$E,5,0)</f>
        <v>#N/A</v>
      </c>
      <c r="X601" s="658" t="e">
        <f>+VLOOKUP($L601,Data_Validation!$A:$F,6,0)</f>
        <v>#N/A</v>
      </c>
    </row>
    <row r="602" spans="1:24" ht="15" customHeight="1">
      <c r="A602" s="716"/>
      <c r="B602" s="716"/>
      <c r="C602" s="717"/>
      <c r="D602" s="717"/>
      <c r="E602" s="717"/>
      <c r="F602" s="716"/>
      <c r="G602" s="716"/>
      <c r="H602" s="716"/>
      <c r="I602" s="718"/>
      <c r="J602" s="718"/>
      <c r="K602" s="718"/>
      <c r="L602" s="655" t="str">
        <f t="shared" si="589"/>
        <v>0</v>
      </c>
      <c r="M602" s="656">
        <f t="shared" si="520"/>
        <v>0</v>
      </c>
      <c r="N602" s="657">
        <f>+IF(OR($Q602=Parametres!$G$2,$Q602=Parametres!$G$3),I602,C602)</f>
        <v>0</v>
      </c>
      <c r="O602" s="657">
        <f>+IF(OR($Q602=Parametres!$G$2,$Q602=Parametres!$G$3),J602,D602)</f>
        <v>0</v>
      </c>
      <c r="P602" s="657">
        <f>+IF(OR($Q602=Parametres!$G$2,$Q602=Parametres!$G$3),K602,E602)</f>
        <v>0</v>
      </c>
      <c r="Q602" s="656">
        <f t="shared" ref="Q602:S602" si="613">+F602</f>
        <v>0</v>
      </c>
      <c r="R602" s="655">
        <f t="shared" si="613"/>
        <v>0</v>
      </c>
      <c r="S602" s="656">
        <f t="shared" si="613"/>
        <v>0</v>
      </c>
      <c r="T602" s="658" t="e">
        <f>+VLOOKUP($L602,Data_Validation!$A:$D,1,0)</f>
        <v>#N/A</v>
      </c>
      <c r="U602" s="658" t="e">
        <f>+VLOOKUP($L602,Data_Validation!$A:$D,3,0)</f>
        <v>#N/A</v>
      </c>
      <c r="V602" s="658" t="e">
        <f>+VLOOKUP($L602,Data_Validation!$A:$D,4,0)</f>
        <v>#N/A</v>
      </c>
      <c r="W602" s="658" t="e">
        <f>+VLOOKUP($L602,Data_Validation!$A:$E,5,0)</f>
        <v>#N/A</v>
      </c>
      <c r="X602" s="658" t="e">
        <f>+VLOOKUP($L602,Data_Validation!$A:$F,6,0)</f>
        <v>#N/A</v>
      </c>
    </row>
    <row r="603" spans="1:24" ht="15" customHeight="1">
      <c r="A603" s="716"/>
      <c r="B603" s="716"/>
      <c r="C603" s="717"/>
      <c r="D603" s="717"/>
      <c r="E603" s="717"/>
      <c r="F603" s="716"/>
      <c r="G603" s="716"/>
      <c r="H603" s="716"/>
      <c r="I603" s="718"/>
      <c r="J603" s="718"/>
      <c r="K603" s="718"/>
      <c r="L603" s="655" t="str">
        <f t="shared" si="589"/>
        <v>0</v>
      </c>
      <c r="M603" s="656">
        <f t="shared" si="520"/>
        <v>0</v>
      </c>
      <c r="N603" s="657">
        <f>+IF(OR($Q603=Parametres!$G$2,$Q603=Parametres!$G$3),I603,C603)</f>
        <v>0</v>
      </c>
      <c r="O603" s="657">
        <f>+IF(OR($Q603=Parametres!$G$2,$Q603=Parametres!$G$3),J603,D603)</f>
        <v>0</v>
      </c>
      <c r="P603" s="657">
        <f>+IF(OR($Q603=Parametres!$G$2,$Q603=Parametres!$G$3),K603,E603)</f>
        <v>0</v>
      </c>
      <c r="Q603" s="656">
        <f t="shared" ref="Q603:S603" si="614">+F603</f>
        <v>0</v>
      </c>
      <c r="R603" s="655">
        <f t="shared" si="614"/>
        <v>0</v>
      </c>
      <c r="S603" s="656">
        <f t="shared" si="614"/>
        <v>0</v>
      </c>
      <c r="T603" s="658" t="e">
        <f>+VLOOKUP($L603,Data_Validation!$A:$D,1,0)</f>
        <v>#N/A</v>
      </c>
      <c r="U603" s="658" t="e">
        <f>+VLOOKUP($L603,Data_Validation!$A:$D,3,0)</f>
        <v>#N/A</v>
      </c>
      <c r="V603" s="658" t="e">
        <f>+VLOOKUP($L603,Data_Validation!$A:$D,4,0)</f>
        <v>#N/A</v>
      </c>
      <c r="W603" s="658" t="e">
        <f>+VLOOKUP($L603,Data_Validation!$A:$E,5,0)</f>
        <v>#N/A</v>
      </c>
      <c r="X603" s="658" t="e">
        <f>+VLOOKUP($L603,Data_Validation!$A:$F,6,0)</f>
        <v>#N/A</v>
      </c>
    </row>
    <row r="604" spans="1:24" ht="15" customHeight="1">
      <c r="A604" s="716"/>
      <c r="B604" s="716"/>
      <c r="C604" s="717"/>
      <c r="D604" s="717"/>
      <c r="E604" s="717"/>
      <c r="F604" s="716"/>
      <c r="G604" s="716"/>
      <c r="H604" s="716"/>
      <c r="I604" s="718"/>
      <c r="J604" s="718"/>
      <c r="K604" s="718"/>
      <c r="L604" s="655" t="str">
        <f t="shared" si="589"/>
        <v>0</v>
      </c>
      <c r="M604" s="656">
        <f t="shared" si="520"/>
        <v>0</v>
      </c>
      <c r="N604" s="657">
        <f>+IF(OR($Q604=Parametres!$G$2,$Q604=Parametres!$G$3),I604,C604)</f>
        <v>0</v>
      </c>
      <c r="O604" s="657">
        <f>+IF(OR($Q604=Parametres!$G$2,$Q604=Parametres!$G$3),J604,D604)</f>
        <v>0</v>
      </c>
      <c r="P604" s="657">
        <f>+IF(OR($Q604=Parametres!$G$2,$Q604=Parametres!$G$3),K604,E604)</f>
        <v>0</v>
      </c>
      <c r="Q604" s="656">
        <f t="shared" ref="Q604:S604" si="615">+F604</f>
        <v>0</v>
      </c>
      <c r="R604" s="655">
        <f t="shared" si="615"/>
        <v>0</v>
      </c>
      <c r="S604" s="656">
        <f t="shared" si="615"/>
        <v>0</v>
      </c>
      <c r="T604" s="658" t="e">
        <f>+VLOOKUP($L604,Data_Validation!$A:$D,1,0)</f>
        <v>#N/A</v>
      </c>
      <c r="U604" s="658" t="e">
        <f>+VLOOKUP($L604,Data_Validation!$A:$D,3,0)</f>
        <v>#N/A</v>
      </c>
      <c r="V604" s="658" t="e">
        <f>+VLOOKUP($L604,Data_Validation!$A:$D,4,0)</f>
        <v>#N/A</v>
      </c>
      <c r="W604" s="658" t="e">
        <f>+VLOOKUP($L604,Data_Validation!$A:$E,5,0)</f>
        <v>#N/A</v>
      </c>
      <c r="X604" s="658" t="e">
        <f>+VLOOKUP($L604,Data_Validation!$A:$F,6,0)</f>
        <v>#N/A</v>
      </c>
    </row>
    <row r="605" spans="1:24" ht="15" customHeight="1">
      <c r="A605" s="716"/>
      <c r="B605" s="716"/>
      <c r="C605" s="717"/>
      <c r="D605" s="717"/>
      <c r="E605" s="717"/>
      <c r="F605" s="716"/>
      <c r="G605" s="716"/>
      <c r="H605" s="716"/>
      <c r="I605" s="718"/>
      <c r="J605" s="718"/>
      <c r="K605" s="718"/>
      <c r="L605" s="655" t="str">
        <f t="shared" si="589"/>
        <v>0</v>
      </c>
      <c r="M605" s="656">
        <f t="shared" si="520"/>
        <v>0</v>
      </c>
      <c r="N605" s="657">
        <f>+IF(OR($Q605=Parametres!$G$2,$Q605=Parametres!$G$3),I605,C605)</f>
        <v>0</v>
      </c>
      <c r="O605" s="657">
        <f>+IF(OR($Q605=Parametres!$G$2,$Q605=Parametres!$G$3),J605,D605)</f>
        <v>0</v>
      </c>
      <c r="P605" s="657">
        <f>+IF(OR($Q605=Parametres!$G$2,$Q605=Parametres!$G$3),K605,E605)</f>
        <v>0</v>
      </c>
      <c r="Q605" s="656">
        <f t="shared" ref="Q605:S605" si="616">+F605</f>
        <v>0</v>
      </c>
      <c r="R605" s="655">
        <f t="shared" si="616"/>
        <v>0</v>
      </c>
      <c r="S605" s="656">
        <f t="shared" si="616"/>
        <v>0</v>
      </c>
      <c r="T605" s="658" t="e">
        <f>+VLOOKUP($L605,Data_Validation!$A:$D,1,0)</f>
        <v>#N/A</v>
      </c>
      <c r="U605" s="658" t="e">
        <f>+VLOOKUP($L605,Data_Validation!$A:$D,3,0)</f>
        <v>#N/A</v>
      </c>
      <c r="V605" s="658" t="e">
        <f>+VLOOKUP($L605,Data_Validation!$A:$D,4,0)</f>
        <v>#N/A</v>
      </c>
      <c r="W605" s="658" t="e">
        <f>+VLOOKUP($L605,Data_Validation!$A:$E,5,0)</f>
        <v>#N/A</v>
      </c>
      <c r="X605" s="658" t="e">
        <f>+VLOOKUP($L605,Data_Validation!$A:$F,6,0)</f>
        <v>#N/A</v>
      </c>
    </row>
    <row r="606" spans="1:24" ht="15" customHeight="1">
      <c r="A606" s="716"/>
      <c r="B606" s="716"/>
      <c r="C606" s="717"/>
      <c r="D606" s="717"/>
      <c r="E606" s="717"/>
      <c r="F606" s="716"/>
      <c r="G606" s="716"/>
      <c r="H606" s="716"/>
      <c r="I606" s="718"/>
      <c r="J606" s="718"/>
      <c r="K606" s="718"/>
      <c r="L606" s="655" t="str">
        <f t="shared" si="589"/>
        <v>0</v>
      </c>
      <c r="M606" s="656">
        <f t="shared" si="520"/>
        <v>0</v>
      </c>
      <c r="N606" s="657">
        <f>+IF(OR($Q606=Parametres!$G$2,$Q606=Parametres!$G$3),I606,C606)</f>
        <v>0</v>
      </c>
      <c r="O606" s="657">
        <f>+IF(OR($Q606=Parametres!$G$2,$Q606=Parametres!$G$3),J606,D606)</f>
        <v>0</v>
      </c>
      <c r="P606" s="657">
        <f>+IF(OR($Q606=Parametres!$G$2,$Q606=Parametres!$G$3),K606,E606)</f>
        <v>0</v>
      </c>
      <c r="Q606" s="656">
        <f t="shared" ref="Q606:S606" si="617">+F606</f>
        <v>0</v>
      </c>
      <c r="R606" s="655">
        <f t="shared" si="617"/>
        <v>0</v>
      </c>
      <c r="S606" s="656">
        <f t="shared" si="617"/>
        <v>0</v>
      </c>
      <c r="T606" s="658" t="e">
        <f>+VLOOKUP($L606,Data_Validation!$A:$D,1,0)</f>
        <v>#N/A</v>
      </c>
      <c r="U606" s="658" t="e">
        <f>+VLOOKUP($L606,Data_Validation!$A:$D,3,0)</f>
        <v>#N/A</v>
      </c>
      <c r="V606" s="658" t="e">
        <f>+VLOOKUP($L606,Data_Validation!$A:$D,4,0)</f>
        <v>#N/A</v>
      </c>
      <c r="W606" s="658" t="e">
        <f>+VLOOKUP($L606,Data_Validation!$A:$E,5,0)</f>
        <v>#N/A</v>
      </c>
      <c r="X606" s="658" t="e">
        <f>+VLOOKUP($L606,Data_Validation!$A:$F,6,0)</f>
        <v>#N/A</v>
      </c>
    </row>
    <row r="607" spans="1:24" ht="15" customHeight="1">
      <c r="A607" s="716"/>
      <c r="B607" s="716"/>
      <c r="C607" s="717"/>
      <c r="D607" s="717"/>
      <c r="E607" s="717"/>
      <c r="F607" s="716"/>
      <c r="G607" s="716"/>
      <c r="H607" s="716"/>
      <c r="I607" s="718"/>
      <c r="J607" s="718"/>
      <c r="K607" s="718"/>
      <c r="L607" s="655" t="str">
        <f t="shared" si="589"/>
        <v>0</v>
      </c>
      <c r="M607" s="656">
        <f t="shared" si="520"/>
        <v>0</v>
      </c>
      <c r="N607" s="657">
        <f>+IF(OR($Q607=Parametres!$G$2,$Q607=Parametres!$G$3),I607,C607)</f>
        <v>0</v>
      </c>
      <c r="O607" s="657">
        <f>+IF(OR($Q607=Parametres!$G$2,$Q607=Parametres!$G$3),J607,D607)</f>
        <v>0</v>
      </c>
      <c r="P607" s="657">
        <f>+IF(OR($Q607=Parametres!$G$2,$Q607=Parametres!$G$3),K607,E607)</f>
        <v>0</v>
      </c>
      <c r="Q607" s="656">
        <f t="shared" ref="Q607:S607" si="618">+F607</f>
        <v>0</v>
      </c>
      <c r="R607" s="655">
        <f t="shared" si="618"/>
        <v>0</v>
      </c>
      <c r="S607" s="656">
        <f t="shared" si="618"/>
        <v>0</v>
      </c>
      <c r="T607" s="658" t="e">
        <f>+VLOOKUP($L607,Data_Validation!$A:$D,1,0)</f>
        <v>#N/A</v>
      </c>
      <c r="U607" s="658" t="e">
        <f>+VLOOKUP($L607,Data_Validation!$A:$D,3,0)</f>
        <v>#N/A</v>
      </c>
      <c r="V607" s="658" t="e">
        <f>+VLOOKUP($L607,Data_Validation!$A:$D,4,0)</f>
        <v>#N/A</v>
      </c>
      <c r="W607" s="658" t="e">
        <f>+VLOOKUP($L607,Data_Validation!$A:$E,5,0)</f>
        <v>#N/A</v>
      </c>
      <c r="X607" s="658" t="e">
        <f>+VLOOKUP($L607,Data_Validation!$A:$F,6,0)</f>
        <v>#N/A</v>
      </c>
    </row>
    <row r="608" spans="1:24" ht="15" customHeight="1">
      <c r="A608" s="716"/>
      <c r="B608" s="716"/>
      <c r="C608" s="717"/>
      <c r="D608" s="717"/>
      <c r="E608" s="717"/>
      <c r="F608" s="716"/>
      <c r="G608" s="716"/>
      <c r="H608" s="716"/>
      <c r="I608" s="718"/>
      <c r="J608" s="718"/>
      <c r="K608" s="718"/>
      <c r="L608" s="655" t="str">
        <f t="shared" si="589"/>
        <v>0</v>
      </c>
      <c r="M608" s="656">
        <f t="shared" si="520"/>
        <v>0</v>
      </c>
      <c r="N608" s="657">
        <f>+IF(OR($Q608=Parametres!$G$2,$Q608=Parametres!$G$3),I608,C608)</f>
        <v>0</v>
      </c>
      <c r="O608" s="657">
        <f>+IF(OR($Q608=Parametres!$G$2,$Q608=Parametres!$G$3),J608,D608)</f>
        <v>0</v>
      </c>
      <c r="P608" s="657">
        <f>+IF(OR($Q608=Parametres!$G$2,$Q608=Parametres!$G$3),K608,E608)</f>
        <v>0</v>
      </c>
      <c r="Q608" s="656">
        <f t="shared" ref="Q608:S608" si="619">+F608</f>
        <v>0</v>
      </c>
      <c r="R608" s="655">
        <f t="shared" si="619"/>
        <v>0</v>
      </c>
      <c r="S608" s="656">
        <f t="shared" si="619"/>
        <v>0</v>
      </c>
      <c r="T608" s="658" t="e">
        <f>+VLOOKUP($L608,Data_Validation!$A:$D,1,0)</f>
        <v>#N/A</v>
      </c>
      <c r="U608" s="658" t="e">
        <f>+VLOOKUP($L608,Data_Validation!$A:$D,3,0)</f>
        <v>#N/A</v>
      </c>
      <c r="V608" s="658" t="e">
        <f>+VLOOKUP($L608,Data_Validation!$A:$D,4,0)</f>
        <v>#N/A</v>
      </c>
      <c r="W608" s="658" t="e">
        <f>+VLOOKUP($L608,Data_Validation!$A:$E,5,0)</f>
        <v>#N/A</v>
      </c>
      <c r="X608" s="658" t="e">
        <f>+VLOOKUP($L608,Data_Validation!$A:$F,6,0)</f>
        <v>#N/A</v>
      </c>
    </row>
    <row r="609" spans="1:24" ht="15" customHeight="1">
      <c r="A609" s="716"/>
      <c r="B609" s="716"/>
      <c r="C609" s="717"/>
      <c r="D609" s="717"/>
      <c r="E609" s="717"/>
      <c r="F609" s="716"/>
      <c r="G609" s="716"/>
      <c r="H609" s="716"/>
      <c r="I609" s="718"/>
      <c r="J609" s="718"/>
      <c r="K609" s="718"/>
      <c r="L609" s="655" t="str">
        <f t="shared" si="589"/>
        <v>0</v>
      </c>
      <c r="M609" s="656">
        <f t="shared" si="520"/>
        <v>0</v>
      </c>
      <c r="N609" s="657">
        <f>+IF(OR($Q609=Parametres!$G$2,$Q609=Parametres!$G$3),I609,C609)</f>
        <v>0</v>
      </c>
      <c r="O609" s="657">
        <f>+IF(OR($Q609=Parametres!$G$2,$Q609=Parametres!$G$3),J609,D609)</f>
        <v>0</v>
      </c>
      <c r="P609" s="657">
        <f>+IF(OR($Q609=Parametres!$G$2,$Q609=Parametres!$G$3),K609,E609)</f>
        <v>0</v>
      </c>
      <c r="Q609" s="656">
        <f t="shared" ref="Q609:S609" si="620">+F609</f>
        <v>0</v>
      </c>
      <c r="R609" s="655">
        <f t="shared" si="620"/>
        <v>0</v>
      </c>
      <c r="S609" s="656">
        <f t="shared" si="620"/>
        <v>0</v>
      </c>
      <c r="T609" s="658" t="e">
        <f>+VLOOKUP($L609,Data_Validation!$A:$D,1,0)</f>
        <v>#N/A</v>
      </c>
      <c r="U609" s="658" t="e">
        <f>+VLOOKUP($L609,Data_Validation!$A:$D,3,0)</f>
        <v>#N/A</v>
      </c>
      <c r="V609" s="658" t="e">
        <f>+VLOOKUP($L609,Data_Validation!$A:$D,4,0)</f>
        <v>#N/A</v>
      </c>
      <c r="W609" s="658" t="e">
        <f>+VLOOKUP($L609,Data_Validation!$A:$E,5,0)</f>
        <v>#N/A</v>
      </c>
      <c r="X609" s="658" t="e">
        <f>+VLOOKUP($L609,Data_Validation!$A:$F,6,0)</f>
        <v>#N/A</v>
      </c>
    </row>
    <row r="610" spans="1:24" ht="15" customHeight="1">
      <c r="A610" s="716"/>
      <c r="B610" s="716"/>
      <c r="C610" s="717"/>
      <c r="D610" s="717"/>
      <c r="E610" s="717"/>
      <c r="F610" s="716"/>
      <c r="G610" s="716"/>
      <c r="H610" s="716"/>
      <c r="I610" s="718"/>
      <c r="J610" s="718"/>
      <c r="K610" s="718"/>
      <c r="L610" s="655" t="str">
        <f t="shared" si="589"/>
        <v>0</v>
      </c>
      <c r="M610" s="656">
        <f t="shared" si="520"/>
        <v>0</v>
      </c>
      <c r="N610" s="657">
        <f>+IF(OR($Q610=Parametres!$G$2,$Q610=Parametres!$G$3),I610,C610)</f>
        <v>0</v>
      </c>
      <c r="O610" s="657">
        <f>+IF(OR($Q610=Parametres!$G$2,$Q610=Parametres!$G$3),J610,D610)</f>
        <v>0</v>
      </c>
      <c r="P610" s="657">
        <f>+IF(OR($Q610=Parametres!$G$2,$Q610=Parametres!$G$3),K610,E610)</f>
        <v>0</v>
      </c>
      <c r="Q610" s="656">
        <f t="shared" ref="Q610:S610" si="621">+F610</f>
        <v>0</v>
      </c>
      <c r="R610" s="655">
        <f t="shared" si="621"/>
        <v>0</v>
      </c>
      <c r="S610" s="656">
        <f t="shared" si="621"/>
        <v>0</v>
      </c>
      <c r="T610" s="658" t="e">
        <f>+VLOOKUP($L610,Data_Validation!$A:$D,1,0)</f>
        <v>#N/A</v>
      </c>
      <c r="U610" s="658" t="e">
        <f>+VLOOKUP($L610,Data_Validation!$A:$D,3,0)</f>
        <v>#N/A</v>
      </c>
      <c r="V610" s="658" t="e">
        <f>+VLOOKUP($L610,Data_Validation!$A:$D,4,0)</f>
        <v>#N/A</v>
      </c>
      <c r="W610" s="658" t="e">
        <f>+VLOOKUP($L610,Data_Validation!$A:$E,5,0)</f>
        <v>#N/A</v>
      </c>
      <c r="X610" s="658" t="e">
        <f>+VLOOKUP($L610,Data_Validation!$A:$F,6,0)</f>
        <v>#N/A</v>
      </c>
    </row>
    <row r="611" spans="1:24" ht="15" customHeight="1">
      <c r="A611" s="716"/>
      <c r="B611" s="716"/>
      <c r="C611" s="717"/>
      <c r="D611" s="717"/>
      <c r="E611" s="717"/>
      <c r="F611" s="716"/>
      <c r="G611" s="716"/>
      <c r="H611" s="716"/>
      <c r="I611" s="718"/>
      <c r="J611" s="718"/>
      <c r="K611" s="718"/>
      <c r="L611" s="655" t="str">
        <f t="shared" si="589"/>
        <v>0</v>
      </c>
      <c r="M611" s="656">
        <f t="shared" si="520"/>
        <v>0</v>
      </c>
      <c r="N611" s="657">
        <f>+IF(OR($Q611=Parametres!$G$2,$Q611=Parametres!$G$3),I611,C611)</f>
        <v>0</v>
      </c>
      <c r="O611" s="657">
        <f>+IF(OR($Q611=Parametres!$G$2,$Q611=Parametres!$G$3),J611,D611)</f>
        <v>0</v>
      </c>
      <c r="P611" s="657">
        <f>+IF(OR($Q611=Parametres!$G$2,$Q611=Parametres!$G$3),K611,E611)</f>
        <v>0</v>
      </c>
      <c r="Q611" s="656">
        <f t="shared" ref="Q611:S611" si="622">+F611</f>
        <v>0</v>
      </c>
      <c r="R611" s="655">
        <f t="shared" si="622"/>
        <v>0</v>
      </c>
      <c r="S611" s="656">
        <f t="shared" si="622"/>
        <v>0</v>
      </c>
      <c r="T611" s="658" t="e">
        <f>+VLOOKUP($L611,Data_Validation!$A:$D,1,0)</f>
        <v>#N/A</v>
      </c>
      <c r="U611" s="658" t="e">
        <f>+VLOOKUP($L611,Data_Validation!$A:$D,3,0)</f>
        <v>#N/A</v>
      </c>
      <c r="V611" s="658" t="e">
        <f>+VLOOKUP($L611,Data_Validation!$A:$D,4,0)</f>
        <v>#N/A</v>
      </c>
      <c r="W611" s="658" t="e">
        <f>+VLOOKUP($L611,Data_Validation!$A:$E,5,0)</f>
        <v>#N/A</v>
      </c>
      <c r="X611" s="658" t="e">
        <f>+VLOOKUP($L611,Data_Validation!$A:$F,6,0)</f>
        <v>#N/A</v>
      </c>
    </row>
    <row r="612" spans="1:24" ht="15" customHeight="1">
      <c r="A612" s="716"/>
      <c r="B612" s="716"/>
      <c r="C612" s="717"/>
      <c r="D612" s="717"/>
      <c r="E612" s="717"/>
      <c r="F612" s="716"/>
      <c r="G612" s="716"/>
      <c r="H612" s="716"/>
      <c r="I612" s="718"/>
      <c r="J612" s="718"/>
      <c r="K612" s="718"/>
      <c r="L612" s="655" t="str">
        <f t="shared" si="589"/>
        <v>0</v>
      </c>
      <c r="M612" s="656">
        <f t="shared" si="520"/>
        <v>0</v>
      </c>
      <c r="N612" s="657">
        <f>+IF(OR($Q612=Parametres!$G$2,$Q612=Parametres!$G$3),I612,C612)</f>
        <v>0</v>
      </c>
      <c r="O612" s="657">
        <f>+IF(OR($Q612=Parametres!$G$2,$Q612=Parametres!$G$3),J612,D612)</f>
        <v>0</v>
      </c>
      <c r="P612" s="657">
        <f>+IF(OR($Q612=Parametres!$G$2,$Q612=Parametres!$G$3),K612,E612)</f>
        <v>0</v>
      </c>
      <c r="Q612" s="656">
        <f t="shared" ref="Q612:S612" si="623">+F612</f>
        <v>0</v>
      </c>
      <c r="R612" s="655">
        <f t="shared" si="623"/>
        <v>0</v>
      </c>
      <c r="S612" s="656">
        <f t="shared" si="623"/>
        <v>0</v>
      </c>
      <c r="T612" s="658" t="e">
        <f>+VLOOKUP($L612,Data_Validation!$A:$D,1,0)</f>
        <v>#N/A</v>
      </c>
      <c r="U612" s="658" t="e">
        <f>+VLOOKUP($L612,Data_Validation!$A:$D,3,0)</f>
        <v>#N/A</v>
      </c>
      <c r="V612" s="658" t="e">
        <f>+VLOOKUP($L612,Data_Validation!$A:$D,4,0)</f>
        <v>#N/A</v>
      </c>
      <c r="W612" s="658" t="e">
        <f>+VLOOKUP($L612,Data_Validation!$A:$E,5,0)</f>
        <v>#N/A</v>
      </c>
      <c r="X612" s="658" t="e">
        <f>+VLOOKUP($L612,Data_Validation!$A:$F,6,0)</f>
        <v>#N/A</v>
      </c>
    </row>
    <row r="613" spans="1:24" ht="15" customHeight="1">
      <c r="A613" s="716"/>
      <c r="B613" s="716"/>
      <c r="C613" s="717"/>
      <c r="D613" s="717"/>
      <c r="E613" s="717"/>
      <c r="F613" s="716"/>
      <c r="G613" s="716"/>
      <c r="H613" s="716"/>
      <c r="I613" s="718"/>
      <c r="J613" s="718"/>
      <c r="K613" s="718"/>
      <c r="L613" s="655" t="str">
        <f t="shared" si="589"/>
        <v>0</v>
      </c>
      <c r="M613" s="656">
        <f t="shared" si="520"/>
        <v>0</v>
      </c>
      <c r="N613" s="657">
        <f>+IF(OR($Q613=Parametres!$G$2,$Q613=Parametres!$G$3),I613,C613)</f>
        <v>0</v>
      </c>
      <c r="O613" s="657">
        <f>+IF(OR($Q613=Parametres!$G$2,$Q613=Parametres!$G$3),J613,D613)</f>
        <v>0</v>
      </c>
      <c r="P613" s="657">
        <f>+IF(OR($Q613=Parametres!$G$2,$Q613=Parametres!$G$3),K613,E613)</f>
        <v>0</v>
      </c>
      <c r="Q613" s="656">
        <f t="shared" ref="Q613:S613" si="624">+F613</f>
        <v>0</v>
      </c>
      <c r="R613" s="655">
        <f t="shared" si="624"/>
        <v>0</v>
      </c>
      <c r="S613" s="656">
        <f t="shared" si="624"/>
        <v>0</v>
      </c>
      <c r="T613" s="658" t="e">
        <f>+VLOOKUP($L613,Data_Validation!$A:$D,1,0)</f>
        <v>#N/A</v>
      </c>
      <c r="U613" s="658" t="e">
        <f>+VLOOKUP($L613,Data_Validation!$A:$D,3,0)</f>
        <v>#N/A</v>
      </c>
      <c r="V613" s="658" t="e">
        <f>+VLOOKUP($L613,Data_Validation!$A:$D,4,0)</f>
        <v>#N/A</v>
      </c>
      <c r="W613" s="658" t="e">
        <f>+VLOOKUP($L613,Data_Validation!$A:$E,5,0)</f>
        <v>#N/A</v>
      </c>
      <c r="X613" s="658" t="e">
        <f>+VLOOKUP($L613,Data_Validation!$A:$F,6,0)</f>
        <v>#N/A</v>
      </c>
    </row>
    <row r="614" spans="1:24" ht="15" customHeight="1">
      <c r="A614" s="716"/>
      <c r="B614" s="716"/>
      <c r="C614" s="717"/>
      <c r="D614" s="717"/>
      <c r="E614" s="717"/>
      <c r="F614" s="716"/>
      <c r="G614" s="716"/>
      <c r="H614" s="716"/>
      <c r="I614" s="718"/>
      <c r="J614" s="718"/>
      <c r="K614" s="718"/>
      <c r="L614" s="655" t="str">
        <f t="shared" si="589"/>
        <v>0</v>
      </c>
      <c r="M614" s="656">
        <f t="shared" si="520"/>
        <v>0</v>
      </c>
      <c r="N614" s="657">
        <f>+IF(OR($Q614=Parametres!$G$2,$Q614=Parametres!$G$3),I614,C614)</f>
        <v>0</v>
      </c>
      <c r="O614" s="657">
        <f>+IF(OR($Q614=Parametres!$G$2,$Q614=Parametres!$G$3),J614,D614)</f>
        <v>0</v>
      </c>
      <c r="P614" s="657">
        <f>+IF(OR($Q614=Parametres!$G$2,$Q614=Parametres!$G$3),K614,E614)</f>
        <v>0</v>
      </c>
      <c r="Q614" s="656">
        <f t="shared" ref="Q614:S614" si="625">+F614</f>
        <v>0</v>
      </c>
      <c r="R614" s="655">
        <f t="shared" si="625"/>
        <v>0</v>
      </c>
      <c r="S614" s="656">
        <f t="shared" si="625"/>
        <v>0</v>
      </c>
      <c r="T614" s="658" t="e">
        <f>+VLOOKUP($L614,Data_Validation!$A:$D,1,0)</f>
        <v>#N/A</v>
      </c>
      <c r="U614" s="658" t="e">
        <f>+VLOOKUP($L614,Data_Validation!$A:$D,3,0)</f>
        <v>#N/A</v>
      </c>
      <c r="V614" s="658" t="e">
        <f>+VLOOKUP($L614,Data_Validation!$A:$D,4,0)</f>
        <v>#N/A</v>
      </c>
      <c r="W614" s="658" t="e">
        <f>+VLOOKUP($L614,Data_Validation!$A:$E,5,0)</f>
        <v>#N/A</v>
      </c>
      <c r="X614" s="658" t="e">
        <f>+VLOOKUP($L614,Data_Validation!$A:$F,6,0)</f>
        <v>#N/A</v>
      </c>
    </row>
    <row r="615" spans="1:24" ht="15" customHeight="1">
      <c r="A615" s="716"/>
      <c r="B615" s="716"/>
      <c r="C615" s="717"/>
      <c r="D615" s="717"/>
      <c r="E615" s="717"/>
      <c r="F615" s="716"/>
      <c r="G615" s="716"/>
      <c r="H615" s="716"/>
      <c r="I615" s="718"/>
      <c r="J615" s="718"/>
      <c r="K615" s="718"/>
      <c r="L615" s="655" t="str">
        <f t="shared" si="589"/>
        <v>0</v>
      </c>
      <c r="M615" s="656">
        <f t="shared" si="520"/>
        <v>0</v>
      </c>
      <c r="N615" s="657">
        <f>+IF(OR($Q615=Parametres!$G$2,$Q615=Parametres!$G$3),I615,C615)</f>
        <v>0</v>
      </c>
      <c r="O615" s="657">
        <f>+IF(OR($Q615=Parametres!$G$2,$Q615=Parametres!$G$3),J615,D615)</f>
        <v>0</v>
      </c>
      <c r="P615" s="657">
        <f>+IF(OR($Q615=Parametres!$G$2,$Q615=Parametres!$G$3),K615,E615)</f>
        <v>0</v>
      </c>
      <c r="Q615" s="656">
        <f t="shared" ref="Q615:S615" si="626">+F615</f>
        <v>0</v>
      </c>
      <c r="R615" s="655">
        <f t="shared" si="626"/>
        <v>0</v>
      </c>
      <c r="S615" s="656">
        <f t="shared" si="626"/>
        <v>0</v>
      </c>
      <c r="T615" s="658" t="e">
        <f>+VLOOKUP($L615,Data_Validation!$A:$D,1,0)</f>
        <v>#N/A</v>
      </c>
      <c r="U615" s="658" t="e">
        <f>+VLOOKUP($L615,Data_Validation!$A:$D,3,0)</f>
        <v>#N/A</v>
      </c>
      <c r="V615" s="658" t="e">
        <f>+VLOOKUP($L615,Data_Validation!$A:$D,4,0)</f>
        <v>#N/A</v>
      </c>
      <c r="W615" s="658" t="e">
        <f>+VLOOKUP($L615,Data_Validation!$A:$E,5,0)</f>
        <v>#N/A</v>
      </c>
      <c r="X615" s="658" t="e">
        <f>+VLOOKUP($L615,Data_Validation!$A:$F,6,0)</f>
        <v>#N/A</v>
      </c>
    </row>
    <row r="616" spans="1:24" ht="15" customHeight="1">
      <c r="A616" s="716"/>
      <c r="B616" s="716"/>
      <c r="C616" s="717"/>
      <c r="D616" s="717"/>
      <c r="E616" s="717"/>
      <c r="F616" s="716"/>
      <c r="G616" s="716"/>
      <c r="H616" s="716"/>
      <c r="I616" s="718"/>
      <c r="J616" s="718"/>
      <c r="K616" s="718"/>
      <c r="L616" s="655" t="str">
        <f t="shared" si="589"/>
        <v>0</v>
      </c>
      <c r="M616" s="656">
        <f t="shared" si="520"/>
        <v>0</v>
      </c>
      <c r="N616" s="657">
        <f>+IF(OR($Q616=Parametres!$G$2,$Q616=Parametres!$G$3),I616,C616)</f>
        <v>0</v>
      </c>
      <c r="O616" s="657">
        <f>+IF(OR($Q616=Parametres!$G$2,$Q616=Parametres!$G$3),J616,D616)</f>
        <v>0</v>
      </c>
      <c r="P616" s="657">
        <f>+IF(OR($Q616=Parametres!$G$2,$Q616=Parametres!$G$3),K616,E616)</f>
        <v>0</v>
      </c>
      <c r="Q616" s="656">
        <f t="shared" ref="Q616:S616" si="627">+F616</f>
        <v>0</v>
      </c>
      <c r="R616" s="655">
        <f t="shared" si="627"/>
        <v>0</v>
      </c>
      <c r="S616" s="656">
        <f t="shared" si="627"/>
        <v>0</v>
      </c>
      <c r="T616" s="658" t="e">
        <f>+VLOOKUP($L616,Data_Validation!$A:$D,1,0)</f>
        <v>#N/A</v>
      </c>
      <c r="U616" s="658" t="e">
        <f>+VLOOKUP($L616,Data_Validation!$A:$D,3,0)</f>
        <v>#N/A</v>
      </c>
      <c r="V616" s="658" t="e">
        <f>+VLOOKUP($L616,Data_Validation!$A:$D,4,0)</f>
        <v>#N/A</v>
      </c>
      <c r="W616" s="658" t="e">
        <f>+VLOOKUP($L616,Data_Validation!$A:$E,5,0)</f>
        <v>#N/A</v>
      </c>
      <c r="X616" s="658" t="e">
        <f>+VLOOKUP($L616,Data_Validation!$A:$F,6,0)</f>
        <v>#N/A</v>
      </c>
    </row>
    <row r="617" spans="1:24" ht="15" customHeight="1">
      <c r="A617" s="716"/>
      <c r="B617" s="716"/>
      <c r="C617" s="717"/>
      <c r="D617" s="717"/>
      <c r="E617" s="717"/>
      <c r="F617" s="716"/>
      <c r="G617" s="716"/>
      <c r="H617" s="716"/>
      <c r="I617" s="718"/>
      <c r="J617" s="718"/>
      <c r="K617" s="718"/>
      <c r="L617" s="655" t="str">
        <f t="shared" si="589"/>
        <v>0</v>
      </c>
      <c r="M617" s="656">
        <f t="shared" si="520"/>
        <v>0</v>
      </c>
      <c r="N617" s="657">
        <f>+IF(OR($Q617=Parametres!$G$2,$Q617=Parametres!$G$3),I617,C617)</f>
        <v>0</v>
      </c>
      <c r="O617" s="657">
        <f>+IF(OR($Q617=Parametres!$G$2,$Q617=Parametres!$G$3),J617,D617)</f>
        <v>0</v>
      </c>
      <c r="P617" s="657">
        <f>+IF(OR($Q617=Parametres!$G$2,$Q617=Parametres!$G$3),K617,E617)</f>
        <v>0</v>
      </c>
      <c r="Q617" s="656">
        <f t="shared" ref="Q617:S617" si="628">+F617</f>
        <v>0</v>
      </c>
      <c r="R617" s="655">
        <f t="shared" si="628"/>
        <v>0</v>
      </c>
      <c r="S617" s="656">
        <f t="shared" si="628"/>
        <v>0</v>
      </c>
      <c r="T617" s="658" t="e">
        <f>+VLOOKUP($L617,Data_Validation!$A:$D,1,0)</f>
        <v>#N/A</v>
      </c>
      <c r="U617" s="658" t="e">
        <f>+VLOOKUP($L617,Data_Validation!$A:$D,3,0)</f>
        <v>#N/A</v>
      </c>
      <c r="V617" s="658" t="e">
        <f>+VLOOKUP($L617,Data_Validation!$A:$D,4,0)</f>
        <v>#N/A</v>
      </c>
      <c r="W617" s="658" t="e">
        <f>+VLOOKUP($L617,Data_Validation!$A:$E,5,0)</f>
        <v>#N/A</v>
      </c>
      <c r="X617" s="658" t="e">
        <f>+VLOOKUP($L617,Data_Validation!$A:$F,6,0)</f>
        <v>#N/A</v>
      </c>
    </row>
    <row r="618" spans="1:24" ht="15" customHeight="1">
      <c r="A618" s="716"/>
      <c r="B618" s="716"/>
      <c r="C618" s="717"/>
      <c r="D618" s="717"/>
      <c r="E618" s="717"/>
      <c r="F618" s="716"/>
      <c r="G618" s="716"/>
      <c r="H618" s="716"/>
      <c r="I618" s="718"/>
      <c r="J618" s="718"/>
      <c r="K618" s="718"/>
      <c r="L618" s="655" t="str">
        <f t="shared" si="589"/>
        <v>0</v>
      </c>
      <c r="M618" s="656">
        <f t="shared" si="520"/>
        <v>0</v>
      </c>
      <c r="N618" s="657">
        <f>+IF(OR($Q618=Parametres!$G$2,$Q618=Parametres!$G$3),I618,C618)</f>
        <v>0</v>
      </c>
      <c r="O618" s="657">
        <f>+IF(OR($Q618=Parametres!$G$2,$Q618=Parametres!$G$3),J618,D618)</f>
        <v>0</v>
      </c>
      <c r="P618" s="657">
        <f>+IF(OR($Q618=Parametres!$G$2,$Q618=Parametres!$G$3),K618,E618)</f>
        <v>0</v>
      </c>
      <c r="Q618" s="656">
        <f t="shared" ref="Q618:S618" si="629">+F618</f>
        <v>0</v>
      </c>
      <c r="R618" s="655">
        <f t="shared" si="629"/>
        <v>0</v>
      </c>
      <c r="S618" s="656">
        <f t="shared" si="629"/>
        <v>0</v>
      </c>
      <c r="T618" s="658" t="e">
        <f>+VLOOKUP($L618,Data_Validation!$A:$D,1,0)</f>
        <v>#N/A</v>
      </c>
      <c r="U618" s="658" t="e">
        <f>+VLOOKUP($L618,Data_Validation!$A:$D,3,0)</f>
        <v>#N/A</v>
      </c>
      <c r="V618" s="658" t="e">
        <f>+VLOOKUP($L618,Data_Validation!$A:$D,4,0)</f>
        <v>#N/A</v>
      </c>
      <c r="W618" s="658" t="e">
        <f>+VLOOKUP($L618,Data_Validation!$A:$E,5,0)</f>
        <v>#N/A</v>
      </c>
      <c r="X618" s="658" t="e">
        <f>+VLOOKUP($L618,Data_Validation!$A:$F,6,0)</f>
        <v>#N/A</v>
      </c>
    </row>
    <row r="619" spans="1:24" ht="15" customHeight="1">
      <c r="A619" s="716"/>
      <c r="B619" s="716"/>
      <c r="C619" s="717"/>
      <c r="D619" s="717"/>
      <c r="E619" s="717"/>
      <c r="F619" s="716"/>
      <c r="G619" s="716"/>
      <c r="H619" s="716"/>
      <c r="I619" s="718"/>
      <c r="J619" s="718"/>
      <c r="K619" s="718"/>
      <c r="L619" s="655" t="str">
        <f t="shared" si="589"/>
        <v>0</v>
      </c>
      <c r="M619" s="656">
        <f t="shared" si="520"/>
        <v>0</v>
      </c>
      <c r="N619" s="657">
        <f>+IF(OR($Q619=Parametres!$G$2,$Q619=Parametres!$G$3),I619,C619)</f>
        <v>0</v>
      </c>
      <c r="O619" s="657">
        <f>+IF(OR($Q619=Parametres!$G$2,$Q619=Parametres!$G$3),J619,D619)</f>
        <v>0</v>
      </c>
      <c r="P619" s="657">
        <f>+IF(OR($Q619=Parametres!$G$2,$Q619=Parametres!$G$3),K619,E619)</f>
        <v>0</v>
      </c>
      <c r="Q619" s="656">
        <f t="shared" ref="Q619:S619" si="630">+F619</f>
        <v>0</v>
      </c>
      <c r="R619" s="655">
        <f t="shared" si="630"/>
        <v>0</v>
      </c>
      <c r="S619" s="656">
        <f t="shared" si="630"/>
        <v>0</v>
      </c>
      <c r="T619" s="658" t="e">
        <f>+VLOOKUP($L619,Data_Validation!$A:$D,1,0)</f>
        <v>#N/A</v>
      </c>
      <c r="U619" s="658" t="e">
        <f>+VLOOKUP($L619,Data_Validation!$A:$D,3,0)</f>
        <v>#N/A</v>
      </c>
      <c r="V619" s="658" t="e">
        <f>+VLOOKUP($L619,Data_Validation!$A:$D,4,0)</f>
        <v>#N/A</v>
      </c>
      <c r="W619" s="658" t="e">
        <f>+VLOOKUP($L619,Data_Validation!$A:$E,5,0)</f>
        <v>#N/A</v>
      </c>
      <c r="X619" s="658" t="e">
        <f>+VLOOKUP($L619,Data_Validation!$A:$F,6,0)</f>
        <v>#N/A</v>
      </c>
    </row>
    <row r="620" spans="1:24" ht="15" customHeight="1">
      <c r="A620" s="716"/>
      <c r="B620" s="716"/>
      <c r="C620" s="717"/>
      <c r="D620" s="717"/>
      <c r="E620" s="717"/>
      <c r="F620" s="716"/>
      <c r="G620" s="716"/>
      <c r="H620" s="716"/>
      <c r="I620" s="718"/>
      <c r="J620" s="718"/>
      <c r="K620" s="718"/>
      <c r="L620" s="655" t="str">
        <f t="shared" si="589"/>
        <v>0</v>
      </c>
      <c r="M620" s="656">
        <f t="shared" si="520"/>
        <v>0</v>
      </c>
      <c r="N620" s="657">
        <f>+IF(OR($Q620=Parametres!$G$2,$Q620=Parametres!$G$3),I620,C620)</f>
        <v>0</v>
      </c>
      <c r="O620" s="657">
        <f>+IF(OR($Q620=Parametres!$G$2,$Q620=Parametres!$G$3),J620,D620)</f>
        <v>0</v>
      </c>
      <c r="P620" s="657">
        <f>+IF(OR($Q620=Parametres!$G$2,$Q620=Parametres!$G$3),K620,E620)</f>
        <v>0</v>
      </c>
      <c r="Q620" s="656">
        <f t="shared" ref="Q620:S620" si="631">+F620</f>
        <v>0</v>
      </c>
      <c r="R620" s="655">
        <f t="shared" si="631"/>
        <v>0</v>
      </c>
      <c r="S620" s="656">
        <f t="shared" si="631"/>
        <v>0</v>
      </c>
      <c r="T620" s="658" t="e">
        <f>+VLOOKUP($L620,Data_Validation!$A:$D,1,0)</f>
        <v>#N/A</v>
      </c>
      <c r="U620" s="658" t="e">
        <f>+VLOOKUP($L620,Data_Validation!$A:$D,3,0)</f>
        <v>#N/A</v>
      </c>
      <c r="V620" s="658" t="e">
        <f>+VLOOKUP($L620,Data_Validation!$A:$D,4,0)</f>
        <v>#N/A</v>
      </c>
      <c r="W620" s="658" t="e">
        <f>+VLOOKUP($L620,Data_Validation!$A:$E,5,0)</f>
        <v>#N/A</v>
      </c>
      <c r="X620" s="658" t="e">
        <f>+VLOOKUP($L620,Data_Validation!$A:$F,6,0)</f>
        <v>#N/A</v>
      </c>
    </row>
    <row r="621" spans="1:24" ht="15" customHeight="1">
      <c r="A621" s="716"/>
      <c r="B621" s="716"/>
      <c r="C621" s="717"/>
      <c r="D621" s="717"/>
      <c r="E621" s="717"/>
      <c r="F621" s="716"/>
      <c r="G621" s="716"/>
      <c r="H621" s="716"/>
      <c r="I621" s="718"/>
      <c r="J621" s="718"/>
      <c r="K621" s="718"/>
      <c r="L621" s="655" t="str">
        <f t="shared" si="589"/>
        <v>0</v>
      </c>
      <c r="M621" s="656">
        <f t="shared" si="520"/>
        <v>0</v>
      </c>
      <c r="N621" s="657">
        <f>+IF(OR($Q621=Parametres!$G$2,$Q621=Parametres!$G$3),I621,C621)</f>
        <v>0</v>
      </c>
      <c r="O621" s="657">
        <f>+IF(OR($Q621=Parametres!$G$2,$Q621=Parametres!$G$3),J621,D621)</f>
        <v>0</v>
      </c>
      <c r="P621" s="657">
        <f>+IF(OR($Q621=Parametres!$G$2,$Q621=Parametres!$G$3),K621,E621)</f>
        <v>0</v>
      </c>
      <c r="Q621" s="656">
        <f t="shared" ref="Q621:S621" si="632">+F621</f>
        <v>0</v>
      </c>
      <c r="R621" s="655">
        <f t="shared" si="632"/>
        <v>0</v>
      </c>
      <c r="S621" s="656">
        <f t="shared" si="632"/>
        <v>0</v>
      </c>
      <c r="T621" s="658" t="e">
        <f>+VLOOKUP($L621,Data_Validation!$A:$D,1,0)</f>
        <v>#N/A</v>
      </c>
      <c r="U621" s="658" t="e">
        <f>+VLOOKUP($L621,Data_Validation!$A:$D,3,0)</f>
        <v>#N/A</v>
      </c>
      <c r="V621" s="658" t="e">
        <f>+VLOOKUP($L621,Data_Validation!$A:$D,4,0)</f>
        <v>#N/A</v>
      </c>
      <c r="W621" s="658" t="e">
        <f>+VLOOKUP($L621,Data_Validation!$A:$E,5,0)</f>
        <v>#N/A</v>
      </c>
      <c r="X621" s="658" t="e">
        <f>+VLOOKUP($L621,Data_Validation!$A:$F,6,0)</f>
        <v>#N/A</v>
      </c>
    </row>
    <row r="622" spans="1:24" ht="15" customHeight="1">
      <c r="A622" s="716"/>
      <c r="B622" s="716"/>
      <c r="C622" s="717"/>
      <c r="D622" s="717"/>
      <c r="E622" s="717"/>
      <c r="F622" s="716"/>
      <c r="G622" s="716"/>
      <c r="H622" s="716"/>
      <c r="I622" s="718"/>
      <c r="J622" s="718"/>
      <c r="K622" s="718"/>
      <c r="L622" s="655" t="str">
        <f t="shared" si="589"/>
        <v>0</v>
      </c>
      <c r="M622" s="656">
        <f t="shared" si="520"/>
        <v>0</v>
      </c>
      <c r="N622" s="657">
        <f>+IF(OR($Q622=Parametres!$G$2,$Q622=Parametres!$G$3),I622,C622)</f>
        <v>0</v>
      </c>
      <c r="O622" s="715">
        <f>+IF(OR($Q622=Parametres!$G$2,$Q622=Parametres!$G$3),J622,D622)</f>
        <v>0</v>
      </c>
      <c r="P622" s="657">
        <f>+IF(OR($Q622=Parametres!$G$2,$Q622=Parametres!$G$3),K622,E622)</f>
        <v>0</v>
      </c>
      <c r="Q622" s="656">
        <f t="shared" ref="Q622:S622" si="633">+F622</f>
        <v>0</v>
      </c>
      <c r="R622" s="655">
        <f t="shared" si="633"/>
        <v>0</v>
      </c>
      <c r="S622" s="656">
        <f t="shared" si="633"/>
        <v>0</v>
      </c>
      <c r="T622" s="658" t="e">
        <f>+VLOOKUP($L622,Data_Validation!$A:$D,1,0)</f>
        <v>#N/A</v>
      </c>
      <c r="U622" s="658" t="e">
        <f>+VLOOKUP($L622,Data_Validation!$A:$D,3,0)</f>
        <v>#N/A</v>
      </c>
      <c r="V622" s="658" t="e">
        <f>+VLOOKUP($L622,Data_Validation!$A:$D,4,0)</f>
        <v>#N/A</v>
      </c>
      <c r="W622" s="658" t="e">
        <f>+VLOOKUP($L622,Data_Validation!$A:$E,5,0)</f>
        <v>#N/A</v>
      </c>
      <c r="X622" s="658" t="e">
        <f>+VLOOKUP($L622,Data_Validation!$A:$F,6,0)</f>
        <v>#N/A</v>
      </c>
    </row>
    <row r="623" spans="1:24" ht="15" customHeight="1">
      <c r="A623" s="716"/>
      <c r="B623" s="716"/>
      <c r="C623" s="717"/>
      <c r="D623" s="717"/>
      <c r="E623" s="717"/>
      <c r="F623" s="716"/>
      <c r="G623" s="716"/>
      <c r="H623" s="716"/>
      <c r="I623" s="718"/>
      <c r="J623" s="718"/>
      <c r="K623" s="718"/>
      <c r="L623" s="655" t="str">
        <f t="shared" si="589"/>
        <v>0</v>
      </c>
      <c r="M623" s="656">
        <f t="shared" si="520"/>
        <v>0</v>
      </c>
      <c r="N623" s="657">
        <f>+IF(OR($Q623=Parametres!$G$2,$Q623=Parametres!$G$3),I623,C623)</f>
        <v>0</v>
      </c>
      <c r="O623" s="657">
        <f>+IF(OR($Q623=Parametres!$G$2,$Q623=Parametres!$G$3),J623,D623)</f>
        <v>0</v>
      </c>
      <c r="P623" s="657">
        <f>+IF(OR($Q623=Parametres!$G$2,$Q623=Parametres!$G$3),K623,E623)</f>
        <v>0</v>
      </c>
      <c r="Q623" s="656">
        <f t="shared" ref="Q623:S623" si="634">+F623</f>
        <v>0</v>
      </c>
      <c r="R623" s="655">
        <f t="shared" si="634"/>
        <v>0</v>
      </c>
      <c r="S623" s="656">
        <f t="shared" si="634"/>
        <v>0</v>
      </c>
      <c r="T623" s="658" t="e">
        <f>+VLOOKUP($L623,Data_Validation!$A:$D,1,0)</f>
        <v>#N/A</v>
      </c>
      <c r="U623" s="658" t="e">
        <f>+VLOOKUP($L623,Data_Validation!$A:$D,3,0)</f>
        <v>#N/A</v>
      </c>
      <c r="V623" s="658" t="e">
        <f>+VLOOKUP($L623,Data_Validation!$A:$D,4,0)</f>
        <v>#N/A</v>
      </c>
      <c r="W623" s="658" t="e">
        <f>+VLOOKUP($L623,Data_Validation!$A:$E,5,0)</f>
        <v>#N/A</v>
      </c>
      <c r="X623" s="658" t="e">
        <f>+VLOOKUP($L623,Data_Validation!$A:$F,6,0)</f>
        <v>#N/A</v>
      </c>
    </row>
    <row r="624" spans="1:24" ht="15" customHeight="1">
      <c r="A624" s="716"/>
      <c r="B624" s="716"/>
      <c r="C624" s="717"/>
      <c r="D624" s="717"/>
      <c r="E624" s="717"/>
      <c r="F624" s="716"/>
      <c r="G624" s="716"/>
      <c r="H624" s="716"/>
      <c r="I624" s="718"/>
      <c r="J624" s="718"/>
      <c r="K624" s="718"/>
      <c r="L624" s="655" t="str">
        <f t="shared" si="589"/>
        <v>0</v>
      </c>
      <c r="M624" s="656">
        <f t="shared" si="520"/>
        <v>0</v>
      </c>
      <c r="N624" s="657">
        <f>+IF(OR($Q624=Parametres!$G$2,$Q624=Parametres!$G$3),I624,C624)</f>
        <v>0</v>
      </c>
      <c r="O624" s="657">
        <f>+IF(OR($Q624=Parametres!$G$2,$Q624=Parametres!$G$3),J624,D624)</f>
        <v>0</v>
      </c>
      <c r="P624" s="657">
        <f>+IF(OR($Q624=Parametres!$G$2,$Q624=Parametres!$G$3),K624,E624)</f>
        <v>0</v>
      </c>
      <c r="Q624" s="656">
        <f t="shared" ref="Q624:S624" si="635">+F624</f>
        <v>0</v>
      </c>
      <c r="R624" s="655">
        <f t="shared" si="635"/>
        <v>0</v>
      </c>
      <c r="S624" s="656">
        <f t="shared" si="635"/>
        <v>0</v>
      </c>
      <c r="T624" s="658" t="e">
        <f>+VLOOKUP($L624,Data_Validation!$A:$D,1,0)</f>
        <v>#N/A</v>
      </c>
      <c r="U624" s="658" t="e">
        <f>+VLOOKUP($L624,Data_Validation!$A:$D,3,0)</f>
        <v>#N/A</v>
      </c>
      <c r="V624" s="658" t="e">
        <f>+VLOOKUP($L624,Data_Validation!$A:$D,4,0)</f>
        <v>#N/A</v>
      </c>
      <c r="W624" s="658" t="e">
        <f>+VLOOKUP($L624,Data_Validation!$A:$E,5,0)</f>
        <v>#N/A</v>
      </c>
      <c r="X624" s="658" t="e">
        <f>+VLOOKUP($L624,Data_Validation!$A:$F,6,0)</f>
        <v>#N/A</v>
      </c>
    </row>
    <row r="625" spans="1:24" ht="15" customHeight="1">
      <c r="A625" s="716"/>
      <c r="B625" s="716"/>
      <c r="C625" s="717"/>
      <c r="D625" s="717"/>
      <c r="E625" s="717"/>
      <c r="F625" s="716"/>
      <c r="G625" s="716"/>
      <c r="H625" s="716"/>
      <c r="I625" s="718"/>
      <c r="J625" s="718"/>
      <c r="K625" s="718"/>
      <c r="L625" s="655" t="str">
        <f t="shared" si="589"/>
        <v>0</v>
      </c>
      <c r="M625" s="656">
        <f t="shared" si="520"/>
        <v>0</v>
      </c>
      <c r="N625" s="657">
        <f>+IF(OR($Q625=Parametres!$G$2,$Q625=Parametres!$G$3),I625,C625)</f>
        <v>0</v>
      </c>
      <c r="O625" s="657">
        <f>+IF(OR($Q625=Parametres!$G$2,$Q625=Parametres!$G$3),J625,D625)</f>
        <v>0</v>
      </c>
      <c r="P625" s="657">
        <f>+IF(OR($Q625=Parametres!$G$2,$Q625=Parametres!$G$3),K625,E625)</f>
        <v>0</v>
      </c>
      <c r="Q625" s="656">
        <f t="shared" ref="Q625:S625" si="636">+F625</f>
        <v>0</v>
      </c>
      <c r="R625" s="655">
        <f t="shared" si="636"/>
        <v>0</v>
      </c>
      <c r="S625" s="656">
        <f t="shared" si="636"/>
        <v>0</v>
      </c>
      <c r="T625" s="658" t="e">
        <f>+VLOOKUP($L625,Data_Validation!$A:$D,1,0)</f>
        <v>#N/A</v>
      </c>
      <c r="U625" s="658" t="e">
        <f>+VLOOKUP($L625,Data_Validation!$A:$D,3,0)</f>
        <v>#N/A</v>
      </c>
      <c r="V625" s="658" t="e">
        <f>+VLOOKUP($L625,Data_Validation!$A:$D,4,0)</f>
        <v>#N/A</v>
      </c>
      <c r="W625" s="658" t="e">
        <f>+VLOOKUP($L625,Data_Validation!$A:$E,5,0)</f>
        <v>#N/A</v>
      </c>
      <c r="X625" s="658" t="e">
        <f>+VLOOKUP($L625,Data_Validation!$A:$F,6,0)</f>
        <v>#N/A</v>
      </c>
    </row>
    <row r="626" spans="1:24" ht="15" customHeight="1">
      <c r="A626" s="716"/>
      <c r="B626" s="716"/>
      <c r="C626" s="717"/>
      <c r="D626" s="717"/>
      <c r="E626" s="717"/>
      <c r="F626" s="716"/>
      <c r="G626" s="716"/>
      <c r="H626" s="716"/>
      <c r="I626" s="718"/>
      <c r="J626" s="718"/>
      <c r="K626" s="718"/>
      <c r="L626" s="655" t="str">
        <f t="shared" si="589"/>
        <v>0</v>
      </c>
      <c r="M626" s="656">
        <f t="shared" si="520"/>
        <v>0</v>
      </c>
      <c r="N626" s="657">
        <f>+IF(OR($Q626=Parametres!$G$2,$Q626=Parametres!$G$3),I626,C626)</f>
        <v>0</v>
      </c>
      <c r="O626" s="657">
        <f>+IF(OR($Q626=Parametres!$G$2,$Q626=Parametres!$G$3),J626,D626)</f>
        <v>0</v>
      </c>
      <c r="P626" s="657">
        <f>+IF(OR($Q626=Parametres!$G$2,$Q626=Parametres!$G$3),K626,E626)</f>
        <v>0</v>
      </c>
      <c r="Q626" s="656">
        <f t="shared" ref="Q626:S626" si="637">+F626</f>
        <v>0</v>
      </c>
      <c r="R626" s="655">
        <f t="shared" si="637"/>
        <v>0</v>
      </c>
      <c r="S626" s="656">
        <f t="shared" si="637"/>
        <v>0</v>
      </c>
      <c r="T626" s="658" t="e">
        <f>+VLOOKUP($L626,Data_Validation!$A:$D,1,0)</f>
        <v>#N/A</v>
      </c>
      <c r="U626" s="658" t="e">
        <f>+VLOOKUP($L626,Data_Validation!$A:$D,3,0)</f>
        <v>#N/A</v>
      </c>
      <c r="V626" s="658" t="e">
        <f>+VLOOKUP($L626,Data_Validation!$A:$D,4,0)</f>
        <v>#N/A</v>
      </c>
      <c r="W626" s="658" t="e">
        <f>+VLOOKUP($L626,Data_Validation!$A:$E,5,0)</f>
        <v>#N/A</v>
      </c>
      <c r="X626" s="658" t="e">
        <f>+VLOOKUP($L626,Data_Validation!$A:$F,6,0)</f>
        <v>#N/A</v>
      </c>
    </row>
    <row r="627" spans="1:24" ht="15" customHeight="1">
      <c r="A627" s="716"/>
      <c r="B627" s="716"/>
      <c r="C627" s="717"/>
      <c r="D627" s="717"/>
      <c r="E627" s="717"/>
      <c r="F627" s="716"/>
      <c r="G627" s="716"/>
      <c r="H627" s="716"/>
      <c r="I627" s="718"/>
      <c r="J627" s="718"/>
      <c r="K627" s="718"/>
      <c r="L627" s="655" t="str">
        <f t="shared" si="589"/>
        <v>0</v>
      </c>
      <c r="M627" s="656">
        <f t="shared" si="520"/>
        <v>0</v>
      </c>
      <c r="N627" s="657">
        <f>+IF(OR($Q627=Parametres!$G$2,$Q627=Parametres!$G$3),I627,C627)</f>
        <v>0</v>
      </c>
      <c r="O627" s="657">
        <f>+IF(OR($Q627=Parametres!$G$2,$Q627=Parametres!$G$3),J627,D627)</f>
        <v>0</v>
      </c>
      <c r="P627" s="657">
        <f>+IF(OR($Q627=Parametres!$G$2,$Q627=Parametres!$G$3),K627,E627)</f>
        <v>0</v>
      </c>
      <c r="Q627" s="656">
        <f t="shared" ref="Q627:S627" si="638">+F627</f>
        <v>0</v>
      </c>
      <c r="R627" s="655">
        <f t="shared" si="638"/>
        <v>0</v>
      </c>
      <c r="S627" s="656">
        <f t="shared" si="638"/>
        <v>0</v>
      </c>
      <c r="T627" s="658" t="e">
        <f>+VLOOKUP($L627,Data_Validation!$A:$D,1,0)</f>
        <v>#N/A</v>
      </c>
      <c r="U627" s="658" t="e">
        <f>+VLOOKUP($L627,Data_Validation!$A:$D,3,0)</f>
        <v>#N/A</v>
      </c>
      <c r="V627" s="658" t="e">
        <f>+VLOOKUP($L627,Data_Validation!$A:$D,4,0)</f>
        <v>#N/A</v>
      </c>
      <c r="W627" s="658" t="e">
        <f>+VLOOKUP($L627,Data_Validation!$A:$E,5,0)</f>
        <v>#N/A</v>
      </c>
      <c r="X627" s="658" t="e">
        <f>+VLOOKUP($L627,Data_Validation!$A:$F,6,0)</f>
        <v>#N/A</v>
      </c>
    </row>
    <row r="628" spans="1:24" ht="15" customHeight="1">
      <c r="A628" s="716"/>
      <c r="B628" s="716"/>
      <c r="C628" s="717"/>
      <c r="D628" s="717"/>
      <c r="E628" s="717"/>
      <c r="F628" s="716"/>
      <c r="G628" s="716"/>
      <c r="H628" s="716"/>
      <c r="I628" s="718"/>
      <c r="J628" s="718"/>
      <c r="K628" s="718"/>
      <c r="L628" s="655" t="str">
        <f t="shared" si="589"/>
        <v>0</v>
      </c>
      <c r="M628" s="656">
        <f t="shared" si="520"/>
        <v>0</v>
      </c>
      <c r="N628" s="657">
        <f>+IF(OR($Q628=Parametres!$G$2,$Q628=Parametres!$G$3),I628,C628)</f>
        <v>0</v>
      </c>
      <c r="O628" s="657">
        <f>+IF(OR($Q628=Parametres!$G$2,$Q628=Parametres!$G$3),J628,D628)</f>
        <v>0</v>
      </c>
      <c r="P628" s="657">
        <f>+IF(OR($Q628=Parametres!$G$2,$Q628=Parametres!$G$3),K628,E628)</f>
        <v>0</v>
      </c>
      <c r="Q628" s="656">
        <f t="shared" ref="Q628:S628" si="639">+F628</f>
        <v>0</v>
      </c>
      <c r="R628" s="655">
        <f t="shared" si="639"/>
        <v>0</v>
      </c>
      <c r="S628" s="656">
        <f t="shared" si="639"/>
        <v>0</v>
      </c>
      <c r="T628" s="658" t="e">
        <f>+VLOOKUP($L628,Data_Validation!$A:$D,1,0)</f>
        <v>#N/A</v>
      </c>
      <c r="U628" s="658" t="e">
        <f>+VLOOKUP($L628,Data_Validation!$A:$D,3,0)</f>
        <v>#N/A</v>
      </c>
      <c r="V628" s="658" t="e">
        <f>+VLOOKUP($L628,Data_Validation!$A:$D,4,0)</f>
        <v>#N/A</v>
      </c>
      <c r="W628" s="658" t="e">
        <f>+VLOOKUP($L628,Data_Validation!$A:$E,5,0)</f>
        <v>#N/A</v>
      </c>
      <c r="X628" s="658" t="e">
        <f>+VLOOKUP($L628,Data_Validation!$A:$F,6,0)</f>
        <v>#N/A</v>
      </c>
    </row>
    <row r="629" spans="1:24" ht="15" customHeight="1">
      <c r="A629" s="716"/>
      <c r="B629" s="716"/>
      <c r="C629" s="717"/>
      <c r="D629" s="717"/>
      <c r="E629" s="717"/>
      <c r="F629" s="716"/>
      <c r="G629" s="716"/>
      <c r="H629" s="716"/>
      <c r="I629" s="718"/>
      <c r="J629" s="718"/>
      <c r="K629" s="718"/>
      <c r="L629" s="655" t="str">
        <f t="shared" si="589"/>
        <v>0</v>
      </c>
      <c r="M629" s="656">
        <f t="shared" si="520"/>
        <v>0</v>
      </c>
      <c r="N629" s="657">
        <f>+IF(OR($Q629=Parametres!$G$2,$Q629=Parametres!$G$3),I629,C629)</f>
        <v>0</v>
      </c>
      <c r="O629" s="657">
        <f>+IF(OR($Q629=Parametres!$G$2,$Q629=Parametres!$G$3),J629,D629)</f>
        <v>0</v>
      </c>
      <c r="P629" s="657">
        <f>+IF(OR($Q629=Parametres!$G$2,$Q629=Parametres!$G$3),K629,E629)</f>
        <v>0</v>
      </c>
      <c r="Q629" s="656">
        <f t="shared" ref="Q629:S629" si="640">+F629</f>
        <v>0</v>
      </c>
      <c r="R629" s="655">
        <f t="shared" si="640"/>
        <v>0</v>
      </c>
      <c r="S629" s="656">
        <f t="shared" si="640"/>
        <v>0</v>
      </c>
      <c r="T629" s="658" t="e">
        <f>+VLOOKUP($L629,Data_Validation!$A:$D,1,0)</f>
        <v>#N/A</v>
      </c>
      <c r="U629" s="658" t="e">
        <f>+VLOOKUP($L629,Data_Validation!$A:$D,3,0)</f>
        <v>#N/A</v>
      </c>
      <c r="V629" s="658" t="e">
        <f>+VLOOKUP($L629,Data_Validation!$A:$D,4,0)</f>
        <v>#N/A</v>
      </c>
      <c r="W629" s="658" t="e">
        <f>+VLOOKUP($L629,Data_Validation!$A:$E,5,0)</f>
        <v>#N/A</v>
      </c>
      <c r="X629" s="658" t="e">
        <f>+VLOOKUP($L629,Data_Validation!$A:$F,6,0)</f>
        <v>#N/A</v>
      </c>
    </row>
    <row r="630" spans="1:24" ht="15" customHeight="1">
      <c r="A630" s="716"/>
      <c r="B630" s="716"/>
      <c r="C630" s="717"/>
      <c r="D630" s="717"/>
      <c r="E630" s="717"/>
      <c r="F630" s="716"/>
      <c r="G630" s="716"/>
      <c r="H630" s="716"/>
      <c r="I630" s="718"/>
      <c r="J630" s="718"/>
      <c r="K630" s="718"/>
      <c r="L630" s="655" t="str">
        <f t="shared" si="589"/>
        <v>0</v>
      </c>
      <c r="M630" s="656">
        <f t="shared" si="520"/>
        <v>0</v>
      </c>
      <c r="N630" s="657">
        <f>+IF(OR($Q630=Parametres!$G$2,$Q630=Parametres!$G$3),I630,C630)</f>
        <v>0</v>
      </c>
      <c r="O630" s="657">
        <f>+IF(OR($Q630=Parametres!$G$2,$Q630=Parametres!$G$3),J630,D630)</f>
        <v>0</v>
      </c>
      <c r="P630" s="657">
        <f>+IF(OR($Q630=Parametres!$G$2,$Q630=Parametres!$G$3),K630,E630)</f>
        <v>0</v>
      </c>
      <c r="Q630" s="656">
        <f t="shared" ref="Q630:S630" si="641">+F630</f>
        <v>0</v>
      </c>
      <c r="R630" s="655">
        <f t="shared" si="641"/>
        <v>0</v>
      </c>
      <c r="S630" s="656">
        <f t="shared" si="641"/>
        <v>0</v>
      </c>
      <c r="T630" s="658" t="e">
        <f>+VLOOKUP($L630,Data_Validation!$A:$D,1,0)</f>
        <v>#N/A</v>
      </c>
      <c r="U630" s="658" t="e">
        <f>+VLOOKUP($L630,Data_Validation!$A:$D,3,0)</f>
        <v>#N/A</v>
      </c>
      <c r="V630" s="658" t="e">
        <f>+VLOOKUP($L630,Data_Validation!$A:$D,4,0)</f>
        <v>#N/A</v>
      </c>
      <c r="W630" s="658" t="e">
        <f>+VLOOKUP($L630,Data_Validation!$A:$E,5,0)</f>
        <v>#N/A</v>
      </c>
      <c r="X630" s="658" t="e">
        <f>+VLOOKUP($L630,Data_Validation!$A:$F,6,0)</f>
        <v>#N/A</v>
      </c>
    </row>
    <row r="631" spans="1:24" ht="15" customHeight="1">
      <c r="A631" s="716"/>
      <c r="B631" s="716"/>
      <c r="C631" s="717"/>
      <c r="D631" s="717"/>
      <c r="E631" s="717"/>
      <c r="F631" s="716"/>
      <c r="G631" s="716"/>
      <c r="H631" s="716"/>
      <c r="I631" s="718"/>
      <c r="J631" s="718"/>
      <c r="K631" s="718"/>
      <c r="L631" s="655" t="str">
        <f t="shared" si="589"/>
        <v>0</v>
      </c>
      <c r="M631" s="656">
        <f t="shared" si="520"/>
        <v>0</v>
      </c>
      <c r="N631" s="657">
        <f>+IF(OR($Q631=Parametres!$G$2,$Q631=Parametres!$G$3),I631,C631)</f>
        <v>0</v>
      </c>
      <c r="O631" s="657">
        <f>+IF(OR($Q631=Parametres!$G$2,$Q631=Parametres!$G$3),J631,D631)</f>
        <v>0</v>
      </c>
      <c r="P631" s="657">
        <f>+IF(OR($Q631=Parametres!$G$2,$Q631=Parametres!$G$3),K631,E631)</f>
        <v>0</v>
      </c>
      <c r="Q631" s="656">
        <f t="shared" ref="Q631:S631" si="642">+F631</f>
        <v>0</v>
      </c>
      <c r="R631" s="655">
        <f t="shared" si="642"/>
        <v>0</v>
      </c>
      <c r="S631" s="656">
        <f t="shared" si="642"/>
        <v>0</v>
      </c>
      <c r="T631" s="658" t="e">
        <f>+VLOOKUP($L631,Data_Validation!$A:$D,1,0)</f>
        <v>#N/A</v>
      </c>
      <c r="U631" s="658" t="e">
        <f>+VLOOKUP($L631,Data_Validation!$A:$D,3,0)</f>
        <v>#N/A</v>
      </c>
      <c r="V631" s="658" t="e">
        <f>+VLOOKUP($L631,Data_Validation!$A:$D,4,0)</f>
        <v>#N/A</v>
      </c>
      <c r="W631" s="658" t="e">
        <f>+VLOOKUP($L631,Data_Validation!$A:$E,5,0)</f>
        <v>#N/A</v>
      </c>
      <c r="X631" s="658" t="e">
        <f>+VLOOKUP($L631,Data_Validation!$A:$F,6,0)</f>
        <v>#N/A</v>
      </c>
    </row>
    <row r="632" spans="1:24" ht="15" customHeight="1">
      <c r="A632" s="716"/>
      <c r="B632" s="716"/>
      <c r="C632" s="717"/>
      <c r="D632" s="717"/>
      <c r="E632" s="717"/>
      <c r="F632" s="716"/>
      <c r="G632" s="716"/>
      <c r="H632" s="716"/>
      <c r="I632" s="718"/>
      <c r="J632" s="718"/>
      <c r="K632" s="718"/>
      <c r="L632" s="655" t="str">
        <f t="shared" si="589"/>
        <v>0</v>
      </c>
      <c r="M632" s="656">
        <f t="shared" si="520"/>
        <v>0</v>
      </c>
      <c r="N632" s="657">
        <f>+IF(OR($Q632=Parametres!$G$2,$Q632=Parametres!$G$3),I632,C632)</f>
        <v>0</v>
      </c>
      <c r="O632" s="657">
        <f>+IF(OR($Q632=Parametres!$G$2,$Q632=Parametres!$G$3),J632,D632)</f>
        <v>0</v>
      </c>
      <c r="P632" s="657">
        <f>+IF(OR($Q632=Parametres!$G$2,$Q632=Parametres!$G$3),K632,E632)</f>
        <v>0</v>
      </c>
      <c r="Q632" s="656">
        <f t="shared" ref="Q632:S632" si="643">+F632</f>
        <v>0</v>
      </c>
      <c r="R632" s="655">
        <f t="shared" si="643"/>
        <v>0</v>
      </c>
      <c r="S632" s="656">
        <f t="shared" si="643"/>
        <v>0</v>
      </c>
      <c r="T632" s="658" t="e">
        <f>+VLOOKUP($L632,Data_Validation!$A:$D,1,0)</f>
        <v>#N/A</v>
      </c>
      <c r="U632" s="658" t="e">
        <f>+VLOOKUP($L632,Data_Validation!$A:$D,3,0)</f>
        <v>#N/A</v>
      </c>
      <c r="V632" s="658" t="e">
        <f>+VLOOKUP($L632,Data_Validation!$A:$D,4,0)</f>
        <v>#N/A</v>
      </c>
      <c r="W632" s="658" t="e">
        <f>+VLOOKUP($L632,Data_Validation!$A:$E,5,0)</f>
        <v>#N/A</v>
      </c>
      <c r="X632" s="658" t="e">
        <f>+VLOOKUP($L632,Data_Validation!$A:$F,6,0)</f>
        <v>#N/A</v>
      </c>
    </row>
    <row r="633" spans="1:24" ht="15" customHeight="1">
      <c r="A633" s="716"/>
      <c r="B633" s="716"/>
      <c r="C633" s="717"/>
      <c r="D633" s="717"/>
      <c r="E633" s="717"/>
      <c r="F633" s="716"/>
      <c r="G633" s="716"/>
      <c r="H633" s="716"/>
      <c r="I633" s="718"/>
      <c r="J633" s="718"/>
      <c r="K633" s="718"/>
      <c r="L633" s="655" t="str">
        <f t="shared" si="589"/>
        <v>0</v>
      </c>
      <c r="M633" s="656">
        <f t="shared" si="520"/>
        <v>0</v>
      </c>
      <c r="N633" s="657">
        <f>+IF(OR($Q633=Parametres!$G$2,$Q633=Parametres!$G$3),I633,C633)</f>
        <v>0</v>
      </c>
      <c r="O633" s="657">
        <f>+IF(OR($Q633=Parametres!$G$2,$Q633=Parametres!$G$3),J633,D633)</f>
        <v>0</v>
      </c>
      <c r="P633" s="657">
        <f>+IF(OR($Q633=Parametres!$G$2,$Q633=Parametres!$G$3),K633,E633)</f>
        <v>0</v>
      </c>
      <c r="Q633" s="656">
        <f t="shared" ref="Q633:S633" si="644">+F633</f>
        <v>0</v>
      </c>
      <c r="R633" s="655">
        <f t="shared" si="644"/>
        <v>0</v>
      </c>
      <c r="S633" s="656">
        <f t="shared" si="644"/>
        <v>0</v>
      </c>
      <c r="T633" s="658" t="e">
        <f>+VLOOKUP($L633,Data_Validation!$A:$D,1,0)</f>
        <v>#N/A</v>
      </c>
      <c r="U633" s="658" t="e">
        <f>+VLOOKUP($L633,Data_Validation!$A:$D,3,0)</f>
        <v>#N/A</v>
      </c>
      <c r="V633" s="658" t="e">
        <f>+VLOOKUP($L633,Data_Validation!$A:$D,4,0)</f>
        <v>#N/A</v>
      </c>
      <c r="W633" s="658" t="e">
        <f>+VLOOKUP($L633,Data_Validation!$A:$E,5,0)</f>
        <v>#N/A</v>
      </c>
      <c r="X633" s="658" t="e">
        <f>+VLOOKUP($L633,Data_Validation!$A:$F,6,0)</f>
        <v>#N/A</v>
      </c>
    </row>
    <row r="634" spans="1:24" ht="15" customHeight="1">
      <c r="A634" s="716"/>
      <c r="B634" s="716"/>
      <c r="C634" s="717"/>
      <c r="D634" s="717"/>
      <c r="E634" s="717"/>
      <c r="F634" s="716"/>
      <c r="G634" s="716"/>
      <c r="H634" s="716"/>
      <c r="I634" s="718"/>
      <c r="J634" s="718"/>
      <c r="K634" s="718"/>
      <c r="L634" s="655" t="str">
        <f t="shared" si="589"/>
        <v>0</v>
      </c>
      <c r="M634" s="656">
        <f t="shared" si="520"/>
        <v>0</v>
      </c>
      <c r="N634" s="657">
        <f>+IF(OR($Q634=Parametres!$G$2,$Q634=Parametres!$G$3),I634,C634)</f>
        <v>0</v>
      </c>
      <c r="O634" s="657">
        <f>+IF(OR($Q634=Parametres!$G$2,$Q634=Parametres!$G$3),J634,D634)</f>
        <v>0</v>
      </c>
      <c r="P634" s="657">
        <f>+IF(OR($Q634=Parametres!$G$2,$Q634=Parametres!$G$3),K634,E634)</f>
        <v>0</v>
      </c>
      <c r="Q634" s="656">
        <f t="shared" ref="Q634:S634" si="645">+F634</f>
        <v>0</v>
      </c>
      <c r="R634" s="655">
        <f t="shared" si="645"/>
        <v>0</v>
      </c>
      <c r="S634" s="656">
        <f t="shared" si="645"/>
        <v>0</v>
      </c>
      <c r="T634" s="658" t="e">
        <f>+VLOOKUP($L634,Data_Validation!$A:$D,1,0)</f>
        <v>#N/A</v>
      </c>
      <c r="U634" s="658" t="e">
        <f>+VLOOKUP($L634,Data_Validation!$A:$D,3,0)</f>
        <v>#N/A</v>
      </c>
      <c r="V634" s="658" t="e">
        <f>+VLOOKUP($L634,Data_Validation!$A:$D,4,0)</f>
        <v>#N/A</v>
      </c>
      <c r="W634" s="658" t="e">
        <f>+VLOOKUP($L634,Data_Validation!$A:$E,5,0)</f>
        <v>#N/A</v>
      </c>
      <c r="X634" s="658" t="e">
        <f>+VLOOKUP($L634,Data_Validation!$A:$F,6,0)</f>
        <v>#N/A</v>
      </c>
    </row>
    <row r="635" spans="1:24" ht="15" customHeight="1">
      <c r="A635" s="716"/>
      <c r="B635" s="716"/>
      <c r="C635" s="717"/>
      <c r="D635" s="717"/>
      <c r="E635" s="717"/>
      <c r="F635" s="716"/>
      <c r="G635" s="716"/>
      <c r="H635" s="716"/>
      <c r="I635" s="718"/>
      <c r="J635" s="718"/>
      <c r="K635" s="718"/>
      <c r="L635" s="655" t="str">
        <f t="shared" si="589"/>
        <v>0</v>
      </c>
      <c r="M635" s="656">
        <f t="shared" si="520"/>
        <v>0</v>
      </c>
      <c r="N635" s="657">
        <f>+IF(OR($Q635=Parametres!$G$2,$Q635=Parametres!$G$3),I635,C635)</f>
        <v>0</v>
      </c>
      <c r="O635" s="657">
        <f>+IF(OR($Q635=Parametres!$G$2,$Q635=Parametres!$G$3),J635,D635)</f>
        <v>0</v>
      </c>
      <c r="P635" s="657">
        <f>+IF(OR($Q635=Parametres!$G$2,$Q635=Parametres!$G$3),K635,E635)</f>
        <v>0</v>
      </c>
      <c r="Q635" s="656">
        <f t="shared" ref="Q635:S635" si="646">+F635</f>
        <v>0</v>
      </c>
      <c r="R635" s="655">
        <f t="shared" si="646"/>
        <v>0</v>
      </c>
      <c r="S635" s="656">
        <f t="shared" si="646"/>
        <v>0</v>
      </c>
      <c r="T635" s="658" t="e">
        <f>+VLOOKUP($L635,Data_Validation!$A:$D,1,0)</f>
        <v>#N/A</v>
      </c>
      <c r="U635" s="658" t="e">
        <f>+VLOOKUP($L635,Data_Validation!$A:$D,3,0)</f>
        <v>#N/A</v>
      </c>
      <c r="V635" s="658" t="e">
        <f>+VLOOKUP($L635,Data_Validation!$A:$D,4,0)</f>
        <v>#N/A</v>
      </c>
      <c r="W635" s="658" t="e">
        <f>+VLOOKUP($L635,Data_Validation!$A:$E,5,0)</f>
        <v>#N/A</v>
      </c>
      <c r="X635" s="658" t="e">
        <f>+VLOOKUP($L635,Data_Validation!$A:$F,6,0)</f>
        <v>#N/A</v>
      </c>
    </row>
    <row r="636" spans="1:24" ht="15" customHeight="1">
      <c r="A636" s="716"/>
      <c r="B636" s="716"/>
      <c r="C636" s="717"/>
      <c r="D636" s="717"/>
      <c r="E636" s="717"/>
      <c r="F636" s="716"/>
      <c r="G636" s="716"/>
      <c r="H636" s="716"/>
      <c r="I636" s="718"/>
      <c r="J636" s="718"/>
      <c r="K636" s="718"/>
      <c r="L636" s="655" t="str">
        <f t="shared" si="589"/>
        <v>0</v>
      </c>
      <c r="M636" s="656">
        <f t="shared" si="520"/>
        <v>0</v>
      </c>
      <c r="N636" s="657">
        <f>+IF(OR($Q636=Parametres!$G$2,$Q636=Parametres!$G$3),I636,C636)</f>
        <v>0</v>
      </c>
      <c r="O636" s="657">
        <f>+IF(OR($Q636=Parametres!$G$2,$Q636=Parametres!$G$3),J636,D636)</f>
        <v>0</v>
      </c>
      <c r="P636" s="657">
        <f>+IF(OR($Q636=Parametres!$G$2,$Q636=Parametres!$G$3),K636,E636)</f>
        <v>0</v>
      </c>
      <c r="Q636" s="656">
        <f t="shared" ref="Q636:S636" si="647">+F636</f>
        <v>0</v>
      </c>
      <c r="R636" s="655">
        <f t="shared" si="647"/>
        <v>0</v>
      </c>
      <c r="S636" s="656">
        <f t="shared" si="647"/>
        <v>0</v>
      </c>
      <c r="T636" s="658" t="e">
        <f>+VLOOKUP($L636,Data_Validation!$A:$D,1,0)</f>
        <v>#N/A</v>
      </c>
      <c r="U636" s="658" t="e">
        <f>+VLOOKUP($L636,Data_Validation!$A:$D,3,0)</f>
        <v>#N/A</v>
      </c>
      <c r="V636" s="658" t="e">
        <f>+VLOOKUP($L636,Data_Validation!$A:$D,4,0)</f>
        <v>#N/A</v>
      </c>
      <c r="W636" s="658" t="e">
        <f>+VLOOKUP($L636,Data_Validation!$A:$E,5,0)</f>
        <v>#N/A</v>
      </c>
      <c r="X636" s="658" t="e">
        <f>+VLOOKUP($L636,Data_Validation!$A:$F,6,0)</f>
        <v>#N/A</v>
      </c>
    </row>
    <row r="637" spans="1:24" ht="15" customHeight="1">
      <c r="A637" s="716"/>
      <c r="B637" s="716"/>
      <c r="C637" s="717"/>
      <c r="D637" s="717"/>
      <c r="E637" s="717"/>
      <c r="F637" s="716"/>
      <c r="G637" s="716"/>
      <c r="H637" s="716"/>
      <c r="I637" s="718"/>
      <c r="J637" s="718"/>
      <c r="K637" s="718"/>
      <c r="L637" s="655" t="str">
        <f t="shared" si="589"/>
        <v>0</v>
      </c>
      <c r="M637" s="656">
        <f t="shared" si="520"/>
        <v>0</v>
      </c>
      <c r="N637" s="657">
        <f>+IF(OR($Q637=Parametres!$G$2,$Q637=Parametres!$G$3),I637,C637)</f>
        <v>0</v>
      </c>
      <c r="O637" s="657">
        <f>+IF(OR($Q637=Parametres!$G$2,$Q637=Parametres!$G$3),J637,D637)</f>
        <v>0</v>
      </c>
      <c r="P637" s="657">
        <f>+IF(OR($Q637=Parametres!$G$2,$Q637=Parametres!$G$3),K637,E637)</f>
        <v>0</v>
      </c>
      <c r="Q637" s="656">
        <f t="shared" ref="Q637:S637" si="648">+F637</f>
        <v>0</v>
      </c>
      <c r="R637" s="655">
        <f t="shared" si="648"/>
        <v>0</v>
      </c>
      <c r="S637" s="656">
        <f t="shared" si="648"/>
        <v>0</v>
      </c>
      <c r="T637" s="658" t="e">
        <f>+VLOOKUP($L637,Data_Validation!$A:$D,1,0)</f>
        <v>#N/A</v>
      </c>
      <c r="U637" s="658" t="e">
        <f>+VLOOKUP($L637,Data_Validation!$A:$D,3,0)</f>
        <v>#N/A</v>
      </c>
      <c r="V637" s="658" t="e">
        <f>+VLOOKUP($L637,Data_Validation!$A:$D,4,0)</f>
        <v>#N/A</v>
      </c>
      <c r="W637" s="658" t="e">
        <f>+VLOOKUP($L637,Data_Validation!$A:$E,5,0)</f>
        <v>#N/A</v>
      </c>
      <c r="X637" s="658" t="e">
        <f>+VLOOKUP($L637,Data_Validation!$A:$F,6,0)</f>
        <v>#N/A</v>
      </c>
    </row>
    <row r="638" spans="1:24" ht="15" customHeight="1">
      <c r="A638" s="716"/>
      <c r="B638" s="716"/>
      <c r="C638" s="717"/>
      <c r="D638" s="717"/>
      <c r="E638" s="717"/>
      <c r="F638" s="716"/>
      <c r="G638" s="716"/>
      <c r="H638" s="716"/>
      <c r="I638" s="718"/>
      <c r="J638" s="718"/>
      <c r="K638" s="718"/>
      <c r="L638" s="655" t="str">
        <f t="shared" si="589"/>
        <v>0</v>
      </c>
      <c r="M638" s="656">
        <f t="shared" si="520"/>
        <v>0</v>
      </c>
      <c r="N638" s="657">
        <f>+IF(OR($Q638=Parametres!$G$2,$Q638=Parametres!$G$3),I638,C638)</f>
        <v>0</v>
      </c>
      <c r="O638" s="657">
        <f>+IF(OR($Q638=Parametres!$G$2,$Q638=Parametres!$G$3),J638,D638)</f>
        <v>0</v>
      </c>
      <c r="P638" s="657">
        <f>+IF(OR($Q638=Parametres!$G$2,$Q638=Parametres!$G$3),K638,E638)</f>
        <v>0</v>
      </c>
      <c r="Q638" s="656">
        <f t="shared" ref="Q638:S638" si="649">+F638</f>
        <v>0</v>
      </c>
      <c r="R638" s="655">
        <f t="shared" si="649"/>
        <v>0</v>
      </c>
      <c r="S638" s="656">
        <f t="shared" si="649"/>
        <v>0</v>
      </c>
      <c r="T638" s="658" t="e">
        <f>+VLOOKUP($L638,Data_Validation!$A:$D,1,0)</f>
        <v>#N/A</v>
      </c>
      <c r="U638" s="658" t="e">
        <f>+VLOOKUP($L638,Data_Validation!$A:$D,3,0)</f>
        <v>#N/A</v>
      </c>
      <c r="V638" s="658" t="e">
        <f>+VLOOKUP($L638,Data_Validation!$A:$D,4,0)</f>
        <v>#N/A</v>
      </c>
      <c r="W638" s="658" t="e">
        <f>+VLOOKUP($L638,Data_Validation!$A:$E,5,0)</f>
        <v>#N/A</v>
      </c>
      <c r="X638" s="658" t="e">
        <f>+VLOOKUP($L638,Data_Validation!$A:$F,6,0)</f>
        <v>#N/A</v>
      </c>
    </row>
    <row r="639" spans="1:24" ht="15.75" customHeight="1">
      <c r="A639" s="716"/>
      <c r="B639" s="716"/>
      <c r="C639" s="717"/>
      <c r="D639" s="717"/>
      <c r="E639" s="717"/>
      <c r="F639" s="716"/>
      <c r="G639" s="716"/>
      <c r="H639" s="716"/>
      <c r="I639" s="718"/>
      <c r="J639" s="718"/>
      <c r="K639" s="718"/>
      <c r="L639" s="655" t="str">
        <f t="shared" si="589"/>
        <v>0</v>
      </c>
      <c r="M639" s="656">
        <f t="shared" si="520"/>
        <v>0</v>
      </c>
      <c r="N639" s="657">
        <f>+IF(OR($Q639=Parametres!$G$2,$Q639=Parametres!$G$3),I639,C639)</f>
        <v>0</v>
      </c>
      <c r="O639" s="657">
        <f>+IF(OR($Q639=Parametres!$G$2,$Q639=Parametres!$G$3),J639,D639)</f>
        <v>0</v>
      </c>
      <c r="P639" s="657">
        <f>+IF(OR($Q639=Parametres!$G$2,$Q639=Parametres!$G$3),K639,E639)</f>
        <v>0</v>
      </c>
      <c r="Q639" s="656">
        <f t="shared" ref="Q639:S639" si="650">+F639</f>
        <v>0</v>
      </c>
      <c r="R639" s="655">
        <f t="shared" si="650"/>
        <v>0</v>
      </c>
      <c r="S639" s="656">
        <f t="shared" si="650"/>
        <v>0</v>
      </c>
      <c r="T639" s="658" t="e">
        <f>+VLOOKUP($L639,Data_Validation!$A:$D,1,0)</f>
        <v>#N/A</v>
      </c>
      <c r="U639" s="658" t="e">
        <f>+VLOOKUP($L639,Data_Validation!$A:$D,3,0)</f>
        <v>#N/A</v>
      </c>
      <c r="V639" s="658" t="e">
        <f>+VLOOKUP($L639,Data_Validation!$A:$D,4,0)</f>
        <v>#N/A</v>
      </c>
      <c r="W639" s="658" t="e">
        <f>+VLOOKUP($L639,Data_Validation!$A:$E,5,0)</f>
        <v>#N/A</v>
      </c>
      <c r="X639" s="658" t="e">
        <f>+VLOOKUP($L639,Data_Validation!$A:$F,6,0)</f>
        <v>#N/A</v>
      </c>
    </row>
    <row r="640" spans="1:24" ht="15.75" customHeight="1">
      <c r="A640" s="716"/>
      <c r="B640" s="716"/>
      <c r="C640" s="717"/>
      <c r="D640" s="717"/>
      <c r="E640" s="717"/>
      <c r="F640" s="716"/>
      <c r="G640" s="716"/>
      <c r="H640" s="716"/>
      <c r="I640" s="718"/>
      <c r="J640" s="718"/>
      <c r="K640" s="718"/>
      <c r="L640" s="655" t="str">
        <f t="shared" si="589"/>
        <v>0</v>
      </c>
      <c r="M640" s="656">
        <f t="shared" si="520"/>
        <v>0</v>
      </c>
      <c r="N640" s="657">
        <f>+IF(OR($Q640=Parametres!$G$2,$Q640=Parametres!$G$3),I640,C640)</f>
        <v>0</v>
      </c>
      <c r="O640" s="657">
        <f>+IF(OR($Q640=Parametres!$G$2,$Q640=Parametres!$G$3),J640,D640)</f>
        <v>0</v>
      </c>
      <c r="P640" s="657">
        <f>+IF(OR($Q640=Parametres!$G$2,$Q640=Parametres!$G$3),K640,E640)</f>
        <v>0</v>
      </c>
      <c r="Q640" s="656">
        <f t="shared" ref="Q640:S640" si="651">+F640</f>
        <v>0</v>
      </c>
      <c r="R640" s="655">
        <f t="shared" si="651"/>
        <v>0</v>
      </c>
      <c r="S640" s="656">
        <f t="shared" si="651"/>
        <v>0</v>
      </c>
      <c r="T640" s="658" t="e">
        <f>+VLOOKUP($L640,Data_Validation!$A:$D,1,0)</f>
        <v>#N/A</v>
      </c>
      <c r="U640" s="658" t="e">
        <f>+VLOOKUP($L640,Data_Validation!$A:$D,3,0)</f>
        <v>#N/A</v>
      </c>
      <c r="V640" s="658" t="e">
        <f>+VLOOKUP($L640,Data_Validation!$A:$D,4,0)</f>
        <v>#N/A</v>
      </c>
      <c r="W640" s="658" t="e">
        <f>+VLOOKUP($L640,Data_Validation!$A:$E,5,0)</f>
        <v>#N/A</v>
      </c>
      <c r="X640" s="658" t="e">
        <f>+VLOOKUP($L640,Data_Validation!$A:$F,6,0)</f>
        <v>#N/A</v>
      </c>
    </row>
    <row r="641" spans="1:24" ht="15.75" customHeight="1">
      <c r="A641" s="716"/>
      <c r="B641" s="716"/>
      <c r="C641" s="717"/>
      <c r="D641" s="717"/>
      <c r="E641" s="717"/>
      <c r="F641" s="716"/>
      <c r="G641" s="716"/>
      <c r="H641" s="716"/>
      <c r="I641" s="718"/>
      <c r="J641" s="718"/>
      <c r="K641" s="718"/>
      <c r="L641" s="655" t="str">
        <f t="shared" si="589"/>
        <v>0</v>
      </c>
      <c r="M641" s="656">
        <f t="shared" si="520"/>
        <v>0</v>
      </c>
      <c r="N641" s="657">
        <f>+IF(OR($Q641=Parametres!$G$2,$Q641=Parametres!$G$3),I641,C641)</f>
        <v>0</v>
      </c>
      <c r="O641" s="657">
        <f>+IF(OR($Q641=Parametres!$G$2,$Q641=Parametres!$G$3),J641,D641)</f>
        <v>0</v>
      </c>
      <c r="P641" s="657">
        <f>+IF(OR($Q641=Parametres!$G$2,$Q641=Parametres!$G$3),K641,E641)</f>
        <v>0</v>
      </c>
      <c r="Q641" s="656">
        <f t="shared" ref="Q641:S641" si="652">+F641</f>
        <v>0</v>
      </c>
      <c r="R641" s="655">
        <f t="shared" si="652"/>
        <v>0</v>
      </c>
      <c r="S641" s="656">
        <f t="shared" si="652"/>
        <v>0</v>
      </c>
      <c r="T641" s="658" t="e">
        <f>+VLOOKUP($L641,Data_Validation!$A:$D,1,0)</f>
        <v>#N/A</v>
      </c>
      <c r="U641" s="658" t="e">
        <f>+VLOOKUP($L641,Data_Validation!$A:$D,3,0)</f>
        <v>#N/A</v>
      </c>
      <c r="V641" s="658" t="e">
        <f>+VLOOKUP($L641,Data_Validation!$A:$D,4,0)</f>
        <v>#N/A</v>
      </c>
      <c r="W641" s="658" t="e">
        <f>+VLOOKUP($L641,Data_Validation!$A:$E,5,0)</f>
        <v>#N/A</v>
      </c>
      <c r="X641" s="658" t="e">
        <f>+VLOOKUP($L641,Data_Validation!$A:$F,6,0)</f>
        <v>#N/A</v>
      </c>
    </row>
    <row r="642" spans="1:24" ht="15.75" customHeight="1">
      <c r="A642" s="716"/>
      <c r="B642" s="716"/>
      <c r="C642" s="717"/>
      <c r="D642" s="717"/>
      <c r="E642" s="717"/>
      <c r="F642" s="716"/>
      <c r="G642" s="716"/>
      <c r="H642" s="716"/>
      <c r="I642" s="718"/>
      <c r="J642" s="718"/>
      <c r="K642" s="718"/>
      <c r="L642" s="655" t="str">
        <f t="shared" si="589"/>
        <v>0</v>
      </c>
      <c r="M642" s="656">
        <f t="shared" si="520"/>
        <v>0</v>
      </c>
      <c r="N642" s="657">
        <f>+IF(OR($Q642=Parametres!$G$2,$Q642=Parametres!$G$3),I642,C642)</f>
        <v>0</v>
      </c>
      <c r="O642" s="657">
        <f>+IF(OR($Q642=Parametres!$G$2,$Q642=Parametres!$G$3),J642,D642)</f>
        <v>0</v>
      </c>
      <c r="P642" s="657">
        <f>+IF(OR($Q642=Parametres!$G$2,$Q642=Parametres!$G$3),K642,E642)</f>
        <v>0</v>
      </c>
      <c r="Q642" s="656">
        <f t="shared" ref="Q642:S642" si="653">+F642</f>
        <v>0</v>
      </c>
      <c r="R642" s="655">
        <f t="shared" si="653"/>
        <v>0</v>
      </c>
      <c r="S642" s="656">
        <f t="shared" si="653"/>
        <v>0</v>
      </c>
      <c r="T642" s="658" t="e">
        <f>+VLOOKUP($L642,Data_Validation!$A:$D,1,0)</f>
        <v>#N/A</v>
      </c>
      <c r="U642" s="658" t="e">
        <f>+VLOOKUP($L642,Data_Validation!$A:$D,3,0)</f>
        <v>#N/A</v>
      </c>
      <c r="V642" s="658" t="e">
        <f>+VLOOKUP($L642,Data_Validation!$A:$D,4,0)</f>
        <v>#N/A</v>
      </c>
      <c r="W642" s="658" t="e">
        <f>+VLOOKUP($L642,Data_Validation!$A:$E,5,0)</f>
        <v>#N/A</v>
      </c>
      <c r="X642" s="658" t="e">
        <f>+VLOOKUP($L642,Data_Validation!$A:$F,6,0)</f>
        <v>#N/A</v>
      </c>
    </row>
    <row r="643" spans="1:24" ht="15.75" customHeight="1">
      <c r="A643" s="716"/>
      <c r="B643" s="716"/>
      <c r="C643" s="717"/>
      <c r="D643" s="717"/>
      <c r="E643" s="717"/>
      <c r="F643" s="716"/>
      <c r="G643" s="716"/>
      <c r="H643" s="716"/>
      <c r="I643" s="718"/>
      <c r="J643" s="718"/>
      <c r="K643" s="718"/>
      <c r="L643" s="655" t="str">
        <f t="shared" ref="L643:L706" si="654">TEXT(B643,0)</f>
        <v>0</v>
      </c>
      <c r="M643" s="656">
        <f t="shared" si="520"/>
        <v>0</v>
      </c>
      <c r="N643" s="657">
        <f>+IF(OR($Q643=Parametres!$G$2,$Q643=Parametres!$G$3),I643,C643)</f>
        <v>0</v>
      </c>
      <c r="O643" s="657">
        <f>+IF(OR($Q643=Parametres!$G$2,$Q643=Parametres!$G$3),J643,D643)</f>
        <v>0</v>
      </c>
      <c r="P643" s="657">
        <f>+IF(OR($Q643=Parametres!$G$2,$Q643=Parametres!$G$3),K643,E643)</f>
        <v>0</v>
      </c>
      <c r="Q643" s="656">
        <f t="shared" ref="Q643:S643" si="655">+F643</f>
        <v>0</v>
      </c>
      <c r="R643" s="655">
        <f t="shared" si="655"/>
        <v>0</v>
      </c>
      <c r="S643" s="656">
        <f t="shared" si="655"/>
        <v>0</v>
      </c>
      <c r="T643" s="658" t="e">
        <f>+VLOOKUP($L643,Data_Validation!$A:$D,1,0)</f>
        <v>#N/A</v>
      </c>
      <c r="U643" s="658" t="e">
        <f>+VLOOKUP($L643,Data_Validation!$A:$D,3,0)</f>
        <v>#N/A</v>
      </c>
      <c r="V643" s="658" t="e">
        <f>+VLOOKUP($L643,Data_Validation!$A:$D,4,0)</f>
        <v>#N/A</v>
      </c>
      <c r="W643" s="658" t="e">
        <f>+VLOOKUP($L643,Data_Validation!$A:$E,5,0)</f>
        <v>#N/A</v>
      </c>
      <c r="X643" s="658" t="e">
        <f>+VLOOKUP($L643,Data_Validation!$A:$F,6,0)</f>
        <v>#N/A</v>
      </c>
    </row>
    <row r="644" spans="1:24" ht="15.75" customHeight="1">
      <c r="A644" s="716"/>
      <c r="B644" s="716"/>
      <c r="C644" s="717"/>
      <c r="D644" s="717"/>
      <c r="E644" s="717"/>
      <c r="F644" s="716"/>
      <c r="G644" s="716"/>
      <c r="H644" s="716"/>
      <c r="I644" s="718"/>
      <c r="J644" s="718"/>
      <c r="K644" s="718"/>
      <c r="L644" s="655" t="str">
        <f t="shared" si="654"/>
        <v>0</v>
      </c>
      <c r="M644" s="656">
        <f t="shared" si="520"/>
        <v>0</v>
      </c>
      <c r="N644" s="657">
        <f>+IF(OR($Q644=Parametres!$G$2,$Q644=Parametres!$G$3),I644,C644)</f>
        <v>0</v>
      </c>
      <c r="O644" s="657">
        <f>+IF(OR($Q644=Parametres!$G$2,$Q644=Parametres!$G$3),J644,D644)</f>
        <v>0</v>
      </c>
      <c r="P644" s="657">
        <f>+IF(OR($Q644=Parametres!$G$2,$Q644=Parametres!$G$3),K644,E644)</f>
        <v>0</v>
      </c>
      <c r="Q644" s="656">
        <f t="shared" ref="Q644:S644" si="656">+F644</f>
        <v>0</v>
      </c>
      <c r="R644" s="655">
        <f t="shared" si="656"/>
        <v>0</v>
      </c>
      <c r="S644" s="656">
        <f t="shared" si="656"/>
        <v>0</v>
      </c>
      <c r="T644" s="658" t="e">
        <f>+VLOOKUP($L644,Data_Validation!$A:$D,1,0)</f>
        <v>#N/A</v>
      </c>
      <c r="U644" s="658" t="e">
        <f>+VLOOKUP($L644,Data_Validation!$A:$D,3,0)</f>
        <v>#N/A</v>
      </c>
      <c r="V644" s="658" t="e">
        <f>+VLOOKUP($L644,Data_Validation!$A:$D,4,0)</f>
        <v>#N/A</v>
      </c>
      <c r="W644" s="658" t="e">
        <f>+VLOOKUP($L644,Data_Validation!$A:$E,5,0)</f>
        <v>#N/A</v>
      </c>
      <c r="X644" s="658" t="e">
        <f>+VLOOKUP($L644,Data_Validation!$A:$F,6,0)</f>
        <v>#N/A</v>
      </c>
    </row>
    <row r="645" spans="1:24" ht="15.75" customHeight="1">
      <c r="A645" s="716"/>
      <c r="B645" s="716"/>
      <c r="C645" s="717"/>
      <c r="D645" s="717"/>
      <c r="E645" s="717"/>
      <c r="F645" s="716"/>
      <c r="G645" s="716"/>
      <c r="H645" s="716"/>
      <c r="I645" s="718"/>
      <c r="J645" s="718"/>
      <c r="K645" s="718"/>
      <c r="L645" s="655" t="str">
        <f t="shared" si="654"/>
        <v>0</v>
      </c>
      <c r="M645" s="656">
        <f t="shared" si="520"/>
        <v>0</v>
      </c>
      <c r="N645" s="657">
        <f>+IF(OR($Q645=Parametres!$G$2,$Q645=Parametres!$G$3),I645,C645)</f>
        <v>0</v>
      </c>
      <c r="O645" s="657">
        <f>+IF(OR($Q645=Parametres!$G$2,$Q645=Parametres!$G$3),J645,D645)</f>
        <v>0</v>
      </c>
      <c r="P645" s="657">
        <f>+IF(OR($Q645=Parametres!$G$2,$Q645=Parametres!$G$3),K645,E645)</f>
        <v>0</v>
      </c>
      <c r="Q645" s="656">
        <f t="shared" ref="Q645:S645" si="657">+F645</f>
        <v>0</v>
      </c>
      <c r="R645" s="655">
        <f t="shared" si="657"/>
        <v>0</v>
      </c>
      <c r="S645" s="656">
        <f t="shared" si="657"/>
        <v>0</v>
      </c>
      <c r="T645" s="658" t="e">
        <f>+VLOOKUP($L645,Data_Validation!$A:$D,1,0)</f>
        <v>#N/A</v>
      </c>
      <c r="U645" s="658" t="e">
        <f>+VLOOKUP($L645,Data_Validation!$A:$D,3,0)</f>
        <v>#N/A</v>
      </c>
      <c r="V645" s="658" t="e">
        <f>+VLOOKUP($L645,Data_Validation!$A:$D,4,0)</f>
        <v>#N/A</v>
      </c>
      <c r="W645" s="658" t="e">
        <f>+VLOOKUP($L645,Data_Validation!$A:$E,5,0)</f>
        <v>#N/A</v>
      </c>
      <c r="X645" s="658" t="e">
        <f>+VLOOKUP($L645,Data_Validation!$A:$F,6,0)</f>
        <v>#N/A</v>
      </c>
    </row>
    <row r="646" spans="1:24" ht="15.75" customHeight="1">
      <c r="A646" s="716"/>
      <c r="B646" s="716"/>
      <c r="C646" s="717"/>
      <c r="D646" s="717"/>
      <c r="E646" s="717"/>
      <c r="F646" s="716"/>
      <c r="G646" s="716"/>
      <c r="H646" s="716"/>
      <c r="I646" s="718"/>
      <c r="J646" s="718"/>
      <c r="K646" s="718"/>
      <c r="L646" s="655" t="str">
        <f t="shared" si="654"/>
        <v>0</v>
      </c>
      <c r="M646" s="656">
        <f t="shared" si="520"/>
        <v>0</v>
      </c>
      <c r="N646" s="657">
        <f>+IF(OR($Q646=Parametres!$G$2,$Q646=Parametres!$G$3),I646,C646)</f>
        <v>0</v>
      </c>
      <c r="O646" s="657">
        <f>+IF(OR($Q646=Parametres!$G$2,$Q646=Parametres!$G$3),J646,D646)</f>
        <v>0</v>
      </c>
      <c r="P646" s="657">
        <f>+IF(OR($Q646=Parametres!$G$2,$Q646=Parametres!$G$3),K646,E646)</f>
        <v>0</v>
      </c>
      <c r="Q646" s="656">
        <f t="shared" ref="Q646:S646" si="658">+F646</f>
        <v>0</v>
      </c>
      <c r="R646" s="655">
        <f t="shared" si="658"/>
        <v>0</v>
      </c>
      <c r="S646" s="656">
        <f t="shared" si="658"/>
        <v>0</v>
      </c>
      <c r="T646" s="658" t="e">
        <f>+VLOOKUP($L646,Data_Validation!$A:$D,1,0)</f>
        <v>#N/A</v>
      </c>
      <c r="U646" s="658" t="e">
        <f>+VLOOKUP($L646,Data_Validation!$A:$D,3,0)</f>
        <v>#N/A</v>
      </c>
      <c r="V646" s="658" t="e">
        <f>+VLOOKUP($L646,Data_Validation!$A:$D,4,0)</f>
        <v>#N/A</v>
      </c>
      <c r="W646" s="658" t="e">
        <f>+VLOOKUP($L646,Data_Validation!$A:$E,5,0)</f>
        <v>#N/A</v>
      </c>
      <c r="X646" s="658" t="e">
        <f>+VLOOKUP($L646,Data_Validation!$A:$F,6,0)</f>
        <v>#N/A</v>
      </c>
    </row>
    <row r="647" spans="1:24" ht="15.75" customHeight="1">
      <c r="A647" s="716"/>
      <c r="B647" s="716"/>
      <c r="C647" s="717"/>
      <c r="D647" s="717"/>
      <c r="E647" s="717"/>
      <c r="F647" s="716"/>
      <c r="G647" s="716"/>
      <c r="H647" s="716"/>
      <c r="I647" s="718"/>
      <c r="J647" s="718"/>
      <c r="K647" s="718"/>
      <c r="L647" s="655" t="str">
        <f t="shared" si="654"/>
        <v>0</v>
      </c>
      <c r="M647" s="656">
        <f t="shared" si="520"/>
        <v>0</v>
      </c>
      <c r="N647" s="657">
        <f>+IF(OR($Q647=Parametres!$G$2,$Q647=Parametres!$G$3),I647,C647)</f>
        <v>0</v>
      </c>
      <c r="O647" s="657">
        <f>+IF(OR($Q647=Parametres!$G$2,$Q647=Parametres!$G$3),J647,D647)</f>
        <v>0</v>
      </c>
      <c r="P647" s="657">
        <f>+IF(OR($Q647=Parametres!$G$2,$Q647=Parametres!$G$3),K647,E647)</f>
        <v>0</v>
      </c>
      <c r="Q647" s="656">
        <f t="shared" ref="Q647:S647" si="659">+F647</f>
        <v>0</v>
      </c>
      <c r="R647" s="655">
        <f t="shared" si="659"/>
        <v>0</v>
      </c>
      <c r="S647" s="656">
        <f t="shared" si="659"/>
        <v>0</v>
      </c>
      <c r="T647" s="658" t="e">
        <f>+VLOOKUP($L647,Data_Validation!$A:$D,1,0)</f>
        <v>#N/A</v>
      </c>
      <c r="U647" s="658" t="e">
        <f>+VLOOKUP($L647,Data_Validation!$A:$D,3,0)</f>
        <v>#N/A</v>
      </c>
      <c r="V647" s="658" t="e">
        <f>+VLOOKUP($L647,Data_Validation!$A:$D,4,0)</f>
        <v>#N/A</v>
      </c>
      <c r="W647" s="658" t="e">
        <f>+VLOOKUP($L647,Data_Validation!$A:$E,5,0)</f>
        <v>#N/A</v>
      </c>
      <c r="X647" s="658" t="e">
        <f>+VLOOKUP($L647,Data_Validation!$A:$F,6,0)</f>
        <v>#N/A</v>
      </c>
    </row>
    <row r="648" spans="1:24" ht="15.75" customHeight="1">
      <c r="A648" s="716"/>
      <c r="B648" s="716"/>
      <c r="C648" s="717"/>
      <c r="D648" s="717"/>
      <c r="E648" s="717"/>
      <c r="F648" s="716"/>
      <c r="G648" s="716"/>
      <c r="H648" s="716"/>
      <c r="I648" s="718"/>
      <c r="J648" s="718"/>
      <c r="K648" s="718"/>
      <c r="L648" s="655" t="str">
        <f t="shared" si="654"/>
        <v>0</v>
      </c>
      <c r="M648" s="656">
        <f t="shared" si="520"/>
        <v>0</v>
      </c>
      <c r="N648" s="657">
        <f>+IF(OR($Q648=Parametres!$G$2,$Q648=Parametres!$G$3),I648,C648)</f>
        <v>0</v>
      </c>
      <c r="O648" s="657">
        <f>+IF(OR($Q648=Parametres!$G$2,$Q648=Parametres!$G$3),J648,D648)</f>
        <v>0</v>
      </c>
      <c r="P648" s="657">
        <f>+IF(OR($Q648=Parametres!$G$2,$Q648=Parametres!$G$3),K648,E648)</f>
        <v>0</v>
      </c>
      <c r="Q648" s="656">
        <f t="shared" ref="Q648:S648" si="660">+F648</f>
        <v>0</v>
      </c>
      <c r="R648" s="655">
        <f t="shared" si="660"/>
        <v>0</v>
      </c>
      <c r="S648" s="656">
        <f t="shared" si="660"/>
        <v>0</v>
      </c>
      <c r="T648" s="658" t="e">
        <f>+VLOOKUP($L648,Data_Validation!$A:$D,1,0)</f>
        <v>#N/A</v>
      </c>
      <c r="U648" s="658" t="e">
        <f>+VLOOKUP($L648,Data_Validation!$A:$D,3,0)</f>
        <v>#N/A</v>
      </c>
      <c r="V648" s="658" t="e">
        <f>+VLOOKUP($L648,Data_Validation!$A:$D,4,0)</f>
        <v>#N/A</v>
      </c>
      <c r="W648" s="658" t="e">
        <f>+VLOOKUP($L648,Data_Validation!$A:$E,5,0)</f>
        <v>#N/A</v>
      </c>
      <c r="X648" s="658" t="e">
        <f>+VLOOKUP($L648,Data_Validation!$A:$F,6,0)</f>
        <v>#N/A</v>
      </c>
    </row>
    <row r="649" spans="1:24" ht="15.75" customHeight="1">
      <c r="A649" s="716"/>
      <c r="B649" s="716"/>
      <c r="C649" s="717"/>
      <c r="D649" s="717"/>
      <c r="E649" s="717"/>
      <c r="F649" s="716"/>
      <c r="G649" s="716"/>
      <c r="H649" s="716"/>
      <c r="I649" s="718"/>
      <c r="J649" s="718"/>
      <c r="K649" s="718"/>
      <c r="L649" s="655" t="str">
        <f t="shared" si="654"/>
        <v>0</v>
      </c>
      <c r="M649" s="656">
        <f t="shared" si="520"/>
        <v>0</v>
      </c>
      <c r="N649" s="657">
        <f>+IF(OR($Q649=Parametres!$G$2,$Q649=Parametres!$G$3),I649,C649)</f>
        <v>0</v>
      </c>
      <c r="O649" s="657">
        <f>+IF(OR($Q649=Parametres!$G$2,$Q649=Parametres!$G$3),J649,D649)</f>
        <v>0</v>
      </c>
      <c r="P649" s="657">
        <f>+IF(OR($Q649=Parametres!$G$2,$Q649=Parametres!$G$3),K649,E649)</f>
        <v>0</v>
      </c>
      <c r="Q649" s="656">
        <f t="shared" ref="Q649:S649" si="661">+F649</f>
        <v>0</v>
      </c>
      <c r="R649" s="655">
        <f t="shared" si="661"/>
        <v>0</v>
      </c>
      <c r="S649" s="656">
        <f t="shared" si="661"/>
        <v>0</v>
      </c>
      <c r="T649" s="658" t="e">
        <f>+VLOOKUP($L649,Data_Validation!$A:$D,1,0)</f>
        <v>#N/A</v>
      </c>
      <c r="U649" s="658" t="e">
        <f>+VLOOKUP($L649,Data_Validation!$A:$D,3,0)</f>
        <v>#N/A</v>
      </c>
      <c r="V649" s="658" t="e">
        <f>+VLOOKUP($L649,Data_Validation!$A:$D,4,0)</f>
        <v>#N/A</v>
      </c>
      <c r="W649" s="658" t="e">
        <f>+VLOOKUP($L649,Data_Validation!$A:$E,5,0)</f>
        <v>#N/A</v>
      </c>
      <c r="X649" s="658" t="e">
        <f>+VLOOKUP($L649,Data_Validation!$A:$F,6,0)</f>
        <v>#N/A</v>
      </c>
    </row>
    <row r="650" spans="1:24" ht="15.75" customHeight="1">
      <c r="A650" s="716"/>
      <c r="B650" s="716"/>
      <c r="C650" s="717"/>
      <c r="D650" s="717"/>
      <c r="E650" s="717"/>
      <c r="F650" s="716"/>
      <c r="G650" s="716"/>
      <c r="H650" s="716"/>
      <c r="I650" s="718"/>
      <c r="J650" s="718"/>
      <c r="K650" s="718"/>
      <c r="L650" s="655" t="str">
        <f t="shared" si="654"/>
        <v>0</v>
      </c>
      <c r="M650" s="656">
        <f t="shared" si="520"/>
        <v>0</v>
      </c>
      <c r="N650" s="657">
        <f>+IF(OR($Q650=Parametres!$G$2,$Q650=Parametres!$G$3),I650,C650)</f>
        <v>0</v>
      </c>
      <c r="O650" s="657">
        <f>+IF(OR($Q650=Parametres!$G$2,$Q650=Parametres!$G$3),J650,D650)</f>
        <v>0</v>
      </c>
      <c r="P650" s="657">
        <f>+IF(OR($Q650=Parametres!$G$2,$Q650=Parametres!$G$3),K650,E650)</f>
        <v>0</v>
      </c>
      <c r="Q650" s="656">
        <f t="shared" ref="Q650:S650" si="662">+F650</f>
        <v>0</v>
      </c>
      <c r="R650" s="655">
        <f t="shared" si="662"/>
        <v>0</v>
      </c>
      <c r="S650" s="656">
        <f t="shared" si="662"/>
        <v>0</v>
      </c>
      <c r="T650" s="658" t="e">
        <f>+VLOOKUP($L650,Data_Validation!$A:$D,1,0)</f>
        <v>#N/A</v>
      </c>
      <c r="U650" s="658" t="e">
        <f>+VLOOKUP($L650,Data_Validation!$A:$D,3,0)</f>
        <v>#N/A</v>
      </c>
      <c r="V650" s="658" t="e">
        <f>+VLOOKUP($L650,Data_Validation!$A:$D,4,0)</f>
        <v>#N/A</v>
      </c>
      <c r="W650" s="658" t="e">
        <f>+VLOOKUP($L650,Data_Validation!$A:$E,5,0)</f>
        <v>#N/A</v>
      </c>
      <c r="X650" s="658" t="e">
        <f>+VLOOKUP($L650,Data_Validation!$A:$F,6,0)</f>
        <v>#N/A</v>
      </c>
    </row>
    <row r="651" spans="1:24" ht="15.75" customHeight="1">
      <c r="A651" s="716"/>
      <c r="B651" s="716"/>
      <c r="C651" s="717"/>
      <c r="D651" s="717"/>
      <c r="E651" s="717"/>
      <c r="F651" s="716"/>
      <c r="G651" s="716"/>
      <c r="H651" s="716"/>
      <c r="I651" s="718"/>
      <c r="J651" s="718"/>
      <c r="K651" s="718"/>
      <c r="L651" s="655" t="str">
        <f t="shared" si="654"/>
        <v>0</v>
      </c>
      <c r="M651" s="656">
        <f t="shared" si="520"/>
        <v>0</v>
      </c>
      <c r="N651" s="657">
        <f>+IF(OR($Q651=Parametres!$G$2,$Q651=Parametres!$G$3),I651,C651)</f>
        <v>0</v>
      </c>
      <c r="O651" s="657">
        <f>+IF(OR($Q651=Parametres!$G$2,$Q651=Parametres!$G$3),J651,D651)</f>
        <v>0</v>
      </c>
      <c r="P651" s="657">
        <f>+IF(OR($Q651=Parametres!$G$2,$Q651=Parametres!$G$3),K651,E651)</f>
        <v>0</v>
      </c>
      <c r="Q651" s="656">
        <f t="shared" ref="Q651:S651" si="663">+F651</f>
        <v>0</v>
      </c>
      <c r="R651" s="655">
        <f t="shared" si="663"/>
        <v>0</v>
      </c>
      <c r="S651" s="656">
        <f t="shared" si="663"/>
        <v>0</v>
      </c>
      <c r="T651" s="658" t="e">
        <f>+VLOOKUP($L651,Data_Validation!$A:$D,1,0)</f>
        <v>#N/A</v>
      </c>
      <c r="U651" s="658" t="e">
        <f>+VLOOKUP($L651,Data_Validation!$A:$D,3,0)</f>
        <v>#N/A</v>
      </c>
      <c r="V651" s="658" t="e">
        <f>+VLOOKUP($L651,Data_Validation!$A:$D,4,0)</f>
        <v>#N/A</v>
      </c>
      <c r="W651" s="658" t="e">
        <f>+VLOOKUP($L651,Data_Validation!$A:$E,5,0)</f>
        <v>#N/A</v>
      </c>
      <c r="X651" s="658" t="e">
        <f>+VLOOKUP($L651,Data_Validation!$A:$F,6,0)</f>
        <v>#N/A</v>
      </c>
    </row>
    <row r="652" spans="1:24" ht="15.75" customHeight="1">
      <c r="A652" s="716"/>
      <c r="B652" s="716"/>
      <c r="C652" s="717"/>
      <c r="D652" s="717"/>
      <c r="E652" s="717"/>
      <c r="F652" s="716"/>
      <c r="G652" s="716"/>
      <c r="H652" s="716"/>
      <c r="I652" s="718"/>
      <c r="J652" s="718"/>
      <c r="K652" s="718"/>
      <c r="L652" s="655" t="str">
        <f t="shared" si="654"/>
        <v>0</v>
      </c>
      <c r="M652" s="656">
        <f t="shared" si="520"/>
        <v>0</v>
      </c>
      <c r="N652" s="657">
        <f>+IF(OR($Q652=Parametres!$G$2,$Q652=Parametres!$G$3),I652,C652)</f>
        <v>0</v>
      </c>
      <c r="O652" s="657">
        <f>+IF(OR($Q652=Parametres!$G$2,$Q652=Parametres!$G$3),J652,D652)</f>
        <v>0</v>
      </c>
      <c r="P652" s="657">
        <f>+IF(OR($Q652=Parametres!$G$2,$Q652=Parametres!$G$3),K652,E652)</f>
        <v>0</v>
      </c>
      <c r="Q652" s="656">
        <f t="shared" ref="Q652:S652" si="664">+F652</f>
        <v>0</v>
      </c>
      <c r="R652" s="655">
        <f t="shared" si="664"/>
        <v>0</v>
      </c>
      <c r="S652" s="656">
        <f t="shared" si="664"/>
        <v>0</v>
      </c>
      <c r="T652" s="658" t="e">
        <f>+VLOOKUP($L652,Data_Validation!$A:$D,1,0)</f>
        <v>#N/A</v>
      </c>
      <c r="U652" s="658" t="e">
        <f>+VLOOKUP($L652,Data_Validation!$A:$D,3,0)</f>
        <v>#N/A</v>
      </c>
      <c r="V652" s="658" t="e">
        <f>+VLOOKUP($L652,Data_Validation!$A:$D,4,0)</f>
        <v>#N/A</v>
      </c>
      <c r="W652" s="658" t="e">
        <f>+VLOOKUP($L652,Data_Validation!$A:$E,5,0)</f>
        <v>#N/A</v>
      </c>
      <c r="X652" s="658" t="e">
        <f>+VLOOKUP($L652,Data_Validation!$A:$F,6,0)</f>
        <v>#N/A</v>
      </c>
    </row>
    <row r="653" spans="1:24" ht="15.75" customHeight="1">
      <c r="A653" s="716"/>
      <c r="B653" s="716"/>
      <c r="C653" s="717"/>
      <c r="D653" s="717"/>
      <c r="E653" s="717"/>
      <c r="F653" s="716"/>
      <c r="G653" s="716"/>
      <c r="H653" s="716"/>
      <c r="I653" s="718"/>
      <c r="J653" s="718"/>
      <c r="K653" s="718"/>
      <c r="L653" s="655" t="str">
        <f t="shared" si="654"/>
        <v>0</v>
      </c>
      <c r="M653" s="656">
        <f t="shared" si="520"/>
        <v>0</v>
      </c>
      <c r="N653" s="657">
        <f>+IF(OR($Q653=Parametres!$G$2,$Q653=Parametres!$G$3),I653,C653)</f>
        <v>0</v>
      </c>
      <c r="O653" s="657">
        <f>+IF(OR($Q653=Parametres!$G$2,$Q653=Parametres!$G$3),J653,D653)</f>
        <v>0</v>
      </c>
      <c r="P653" s="657">
        <f>+IF(OR($Q653=Parametres!$G$2,$Q653=Parametres!$G$3),K653,E653)</f>
        <v>0</v>
      </c>
      <c r="Q653" s="656">
        <f t="shared" ref="Q653:S653" si="665">+F653</f>
        <v>0</v>
      </c>
      <c r="R653" s="655">
        <f t="shared" si="665"/>
        <v>0</v>
      </c>
      <c r="S653" s="656">
        <f t="shared" si="665"/>
        <v>0</v>
      </c>
      <c r="T653" s="658" t="e">
        <f>+VLOOKUP($L653,Data_Validation!$A:$D,1,0)</f>
        <v>#N/A</v>
      </c>
      <c r="U653" s="658" t="e">
        <f>+VLOOKUP($L653,Data_Validation!$A:$D,3,0)</f>
        <v>#N/A</v>
      </c>
      <c r="V653" s="658" t="e">
        <f>+VLOOKUP($L653,Data_Validation!$A:$D,4,0)</f>
        <v>#N/A</v>
      </c>
      <c r="W653" s="658" t="e">
        <f>+VLOOKUP($L653,Data_Validation!$A:$E,5,0)</f>
        <v>#N/A</v>
      </c>
      <c r="X653" s="658" t="e">
        <f>+VLOOKUP($L653,Data_Validation!$A:$F,6,0)</f>
        <v>#N/A</v>
      </c>
    </row>
    <row r="654" spans="1:24" ht="15.75" customHeight="1">
      <c r="A654" s="716"/>
      <c r="B654" s="716"/>
      <c r="C654" s="717"/>
      <c r="D654" s="717"/>
      <c r="E654" s="717"/>
      <c r="F654" s="716"/>
      <c r="G654" s="716"/>
      <c r="H654" s="716"/>
      <c r="I654" s="718"/>
      <c r="J654" s="718"/>
      <c r="K654" s="718"/>
      <c r="L654" s="655" t="str">
        <f t="shared" si="654"/>
        <v>0</v>
      </c>
      <c r="M654" s="656">
        <f t="shared" si="520"/>
        <v>0</v>
      </c>
      <c r="N654" s="657">
        <f>+IF(OR($Q654=Parametres!$G$2,$Q654=Parametres!$G$3),I654,C654)</f>
        <v>0</v>
      </c>
      <c r="O654" s="657">
        <f>+IF(OR($Q654=Parametres!$G$2,$Q654=Parametres!$G$3),J654,D654)</f>
        <v>0</v>
      </c>
      <c r="P654" s="657">
        <f>+IF(OR($Q654=Parametres!$G$2,$Q654=Parametres!$G$3),K654,E654)</f>
        <v>0</v>
      </c>
      <c r="Q654" s="656">
        <f t="shared" ref="Q654:S654" si="666">+F654</f>
        <v>0</v>
      </c>
      <c r="R654" s="655">
        <f t="shared" si="666"/>
        <v>0</v>
      </c>
      <c r="S654" s="656">
        <f t="shared" si="666"/>
        <v>0</v>
      </c>
      <c r="T654" s="658" t="e">
        <f>+VLOOKUP($L654,Data_Validation!$A:$D,1,0)</f>
        <v>#N/A</v>
      </c>
      <c r="U654" s="658" t="e">
        <f>+VLOOKUP($L654,Data_Validation!$A:$D,3,0)</f>
        <v>#N/A</v>
      </c>
      <c r="V654" s="658" t="e">
        <f>+VLOOKUP($L654,Data_Validation!$A:$D,4,0)</f>
        <v>#N/A</v>
      </c>
      <c r="W654" s="658" t="e">
        <f>+VLOOKUP($L654,Data_Validation!$A:$E,5,0)</f>
        <v>#N/A</v>
      </c>
      <c r="X654" s="658" t="e">
        <f>+VLOOKUP($L654,Data_Validation!$A:$F,6,0)</f>
        <v>#N/A</v>
      </c>
    </row>
    <row r="655" spans="1:24" ht="15.75" customHeight="1">
      <c r="A655" s="716"/>
      <c r="B655" s="716"/>
      <c r="C655" s="717"/>
      <c r="D655" s="717"/>
      <c r="E655" s="717"/>
      <c r="F655" s="716"/>
      <c r="G655" s="716"/>
      <c r="H655" s="716"/>
      <c r="I655" s="718"/>
      <c r="J655" s="718"/>
      <c r="K655" s="718"/>
      <c r="L655" s="655" t="str">
        <f t="shared" si="654"/>
        <v>0</v>
      </c>
      <c r="M655" s="656">
        <f t="shared" si="520"/>
        <v>0</v>
      </c>
      <c r="N655" s="657">
        <f>+IF(OR($Q655=Parametres!$G$2,$Q655=Parametres!$G$3),I655,C655)</f>
        <v>0</v>
      </c>
      <c r="O655" s="657">
        <f>+IF(OR($Q655=Parametres!$G$2,$Q655=Parametres!$G$3),J655,D655)</f>
        <v>0</v>
      </c>
      <c r="P655" s="657">
        <f>+IF(OR($Q655=Parametres!$G$2,$Q655=Parametres!$G$3),K655,E655)</f>
        <v>0</v>
      </c>
      <c r="Q655" s="656">
        <f t="shared" ref="Q655:S655" si="667">+F655</f>
        <v>0</v>
      </c>
      <c r="R655" s="655">
        <f t="shared" si="667"/>
        <v>0</v>
      </c>
      <c r="S655" s="656">
        <f t="shared" si="667"/>
        <v>0</v>
      </c>
      <c r="T655" s="658" t="e">
        <f>+VLOOKUP($L655,Data_Validation!$A:$D,1,0)</f>
        <v>#N/A</v>
      </c>
      <c r="U655" s="658" t="e">
        <f>+VLOOKUP($L655,Data_Validation!$A:$D,3,0)</f>
        <v>#N/A</v>
      </c>
      <c r="V655" s="658" t="e">
        <f>+VLOOKUP($L655,Data_Validation!$A:$D,4,0)</f>
        <v>#N/A</v>
      </c>
      <c r="W655" s="658" t="e">
        <f>+VLOOKUP($L655,Data_Validation!$A:$E,5,0)</f>
        <v>#N/A</v>
      </c>
      <c r="X655" s="658" t="e">
        <f>+VLOOKUP($L655,Data_Validation!$A:$F,6,0)</f>
        <v>#N/A</v>
      </c>
    </row>
    <row r="656" spans="1:24" ht="15.75" customHeight="1">
      <c r="A656" s="716"/>
      <c r="B656" s="716"/>
      <c r="C656" s="717"/>
      <c r="D656" s="717"/>
      <c r="E656" s="717"/>
      <c r="F656" s="716"/>
      <c r="G656" s="716"/>
      <c r="H656" s="716"/>
      <c r="I656" s="718"/>
      <c r="J656" s="718"/>
      <c r="K656" s="718"/>
      <c r="L656" s="655" t="str">
        <f t="shared" si="654"/>
        <v>0</v>
      </c>
      <c r="M656" s="656">
        <f t="shared" si="520"/>
        <v>0</v>
      </c>
      <c r="N656" s="657">
        <f>+IF(OR($Q656=Parametres!$G$2,$Q656=Parametres!$G$3),I656,C656)</f>
        <v>0</v>
      </c>
      <c r="O656" s="657">
        <f>+IF(OR($Q656=Parametres!$G$2,$Q656=Parametres!$G$3),J656,D656)</f>
        <v>0</v>
      </c>
      <c r="P656" s="657">
        <f>+IF(OR($Q656=Parametres!$G$2,$Q656=Parametres!$G$3),K656,E656)</f>
        <v>0</v>
      </c>
      <c r="Q656" s="656">
        <f t="shared" ref="Q656:S656" si="668">+F656</f>
        <v>0</v>
      </c>
      <c r="R656" s="655">
        <f t="shared" si="668"/>
        <v>0</v>
      </c>
      <c r="S656" s="656">
        <f t="shared" si="668"/>
        <v>0</v>
      </c>
      <c r="T656" s="658" t="e">
        <f>+VLOOKUP($L656,Data_Validation!$A:$D,1,0)</f>
        <v>#N/A</v>
      </c>
      <c r="U656" s="658" t="e">
        <f>+VLOOKUP($L656,Data_Validation!$A:$D,3,0)</f>
        <v>#N/A</v>
      </c>
      <c r="V656" s="658" t="e">
        <f>+VLOOKUP($L656,Data_Validation!$A:$D,4,0)</f>
        <v>#N/A</v>
      </c>
      <c r="W656" s="658" t="e">
        <f>+VLOOKUP($L656,Data_Validation!$A:$E,5,0)</f>
        <v>#N/A</v>
      </c>
      <c r="X656" s="658" t="e">
        <f>+VLOOKUP($L656,Data_Validation!$A:$F,6,0)</f>
        <v>#N/A</v>
      </c>
    </row>
    <row r="657" spans="1:24" ht="15.75" customHeight="1">
      <c r="A657" s="716"/>
      <c r="B657" s="716"/>
      <c r="C657" s="717"/>
      <c r="D657" s="717"/>
      <c r="E657" s="717"/>
      <c r="F657" s="716"/>
      <c r="G657" s="716"/>
      <c r="H657" s="716"/>
      <c r="I657" s="718"/>
      <c r="J657" s="718"/>
      <c r="K657" s="718"/>
      <c r="L657" s="655" t="str">
        <f t="shared" si="654"/>
        <v>0</v>
      </c>
      <c r="M657" s="656">
        <f t="shared" si="520"/>
        <v>0</v>
      </c>
      <c r="N657" s="657">
        <f>+IF(OR($Q657=Parametres!$G$2,$Q657=Parametres!$G$3),I657,C657)</f>
        <v>0</v>
      </c>
      <c r="O657" s="657">
        <f>+IF(OR($Q657=Parametres!$G$2,$Q657=Parametres!$G$3),J657,D657)</f>
        <v>0</v>
      </c>
      <c r="P657" s="657">
        <f>+IF(OR($Q657=Parametres!$G$2,$Q657=Parametres!$G$3),K657,E657)</f>
        <v>0</v>
      </c>
      <c r="Q657" s="656">
        <f t="shared" ref="Q657:S657" si="669">+F657</f>
        <v>0</v>
      </c>
      <c r="R657" s="655">
        <f t="shared" si="669"/>
        <v>0</v>
      </c>
      <c r="S657" s="656">
        <f t="shared" si="669"/>
        <v>0</v>
      </c>
      <c r="T657" s="658" t="e">
        <f>+VLOOKUP($L657,Data_Validation!$A:$D,1,0)</f>
        <v>#N/A</v>
      </c>
      <c r="U657" s="658" t="e">
        <f>+VLOOKUP($L657,Data_Validation!$A:$D,3,0)</f>
        <v>#N/A</v>
      </c>
      <c r="V657" s="658" t="e">
        <f>+VLOOKUP($L657,Data_Validation!$A:$D,4,0)</f>
        <v>#N/A</v>
      </c>
      <c r="W657" s="658" t="e">
        <f>+VLOOKUP($L657,Data_Validation!$A:$E,5,0)</f>
        <v>#N/A</v>
      </c>
      <c r="X657" s="658" t="e">
        <f>+VLOOKUP($L657,Data_Validation!$A:$F,6,0)</f>
        <v>#N/A</v>
      </c>
    </row>
    <row r="658" spans="1:24" ht="15.75" customHeight="1">
      <c r="A658" s="716"/>
      <c r="B658" s="716"/>
      <c r="C658" s="717"/>
      <c r="D658" s="717"/>
      <c r="E658" s="717"/>
      <c r="F658" s="716"/>
      <c r="G658" s="716"/>
      <c r="H658" s="716"/>
      <c r="I658" s="718"/>
      <c r="J658" s="718"/>
      <c r="K658" s="718"/>
      <c r="L658" s="655" t="str">
        <f t="shared" si="654"/>
        <v>0</v>
      </c>
      <c r="M658" s="656">
        <f t="shared" si="520"/>
        <v>0</v>
      </c>
      <c r="N658" s="657">
        <f>+IF(OR($Q658=Parametres!$G$2,$Q658=Parametres!$G$3),I658,C658)</f>
        <v>0</v>
      </c>
      <c r="O658" s="657">
        <f>+IF(OR($Q658=Parametres!$G$2,$Q658=Parametres!$G$3),J658,D658)</f>
        <v>0</v>
      </c>
      <c r="P658" s="657">
        <f>+IF(OR($Q658=Parametres!$G$2,$Q658=Parametres!$G$3),K658,E658)</f>
        <v>0</v>
      </c>
      <c r="Q658" s="656">
        <f t="shared" ref="Q658:S658" si="670">+F658</f>
        <v>0</v>
      </c>
      <c r="R658" s="655">
        <f t="shared" si="670"/>
        <v>0</v>
      </c>
      <c r="S658" s="656">
        <f t="shared" si="670"/>
        <v>0</v>
      </c>
      <c r="T658" s="658" t="e">
        <f>+VLOOKUP($L658,Data_Validation!$A:$D,1,0)</f>
        <v>#N/A</v>
      </c>
      <c r="U658" s="658" t="e">
        <f>+VLOOKUP($L658,Data_Validation!$A:$D,3,0)</f>
        <v>#N/A</v>
      </c>
      <c r="V658" s="658" t="e">
        <f>+VLOOKUP($L658,Data_Validation!$A:$D,4,0)</f>
        <v>#N/A</v>
      </c>
      <c r="W658" s="658" t="e">
        <f>+VLOOKUP($L658,Data_Validation!$A:$E,5,0)</f>
        <v>#N/A</v>
      </c>
      <c r="X658" s="658" t="e">
        <f>+VLOOKUP($L658,Data_Validation!$A:$F,6,0)</f>
        <v>#N/A</v>
      </c>
    </row>
    <row r="659" spans="1:24" ht="15.75" customHeight="1">
      <c r="A659" s="716"/>
      <c r="B659" s="716"/>
      <c r="C659" s="717"/>
      <c r="D659" s="717"/>
      <c r="E659" s="717"/>
      <c r="F659" s="716"/>
      <c r="G659" s="716"/>
      <c r="H659" s="716"/>
      <c r="I659" s="718"/>
      <c r="J659" s="718"/>
      <c r="K659" s="718"/>
      <c r="L659" s="655" t="str">
        <f t="shared" si="654"/>
        <v>0</v>
      </c>
      <c r="M659" s="656">
        <f t="shared" si="520"/>
        <v>0</v>
      </c>
      <c r="N659" s="657">
        <f>+IF(OR($Q659=Parametres!$G$2,$Q659=Parametres!$G$3),I659,C659)</f>
        <v>0</v>
      </c>
      <c r="O659" s="657">
        <f>+IF(OR($Q659=Parametres!$G$2,$Q659=Parametres!$G$3),J659,D659)</f>
        <v>0</v>
      </c>
      <c r="P659" s="657">
        <f>+IF(OR($Q659=Parametres!$G$2,$Q659=Parametres!$G$3),K659,E659)</f>
        <v>0</v>
      </c>
      <c r="Q659" s="656">
        <f t="shared" ref="Q659:S659" si="671">+F659</f>
        <v>0</v>
      </c>
      <c r="R659" s="655">
        <f t="shared" si="671"/>
        <v>0</v>
      </c>
      <c r="S659" s="656">
        <f t="shared" si="671"/>
        <v>0</v>
      </c>
      <c r="T659" s="658" t="e">
        <f>+VLOOKUP($L659,Data_Validation!$A:$D,1,0)</f>
        <v>#N/A</v>
      </c>
      <c r="U659" s="658" t="e">
        <f>+VLOOKUP($L659,Data_Validation!$A:$D,3,0)</f>
        <v>#N/A</v>
      </c>
      <c r="V659" s="658" t="e">
        <f>+VLOOKUP($L659,Data_Validation!$A:$D,4,0)</f>
        <v>#N/A</v>
      </c>
      <c r="W659" s="658" t="e">
        <f>+VLOOKUP($L659,Data_Validation!$A:$E,5,0)</f>
        <v>#N/A</v>
      </c>
      <c r="X659" s="658" t="e">
        <f>+VLOOKUP($L659,Data_Validation!$A:$F,6,0)</f>
        <v>#N/A</v>
      </c>
    </row>
    <row r="660" spans="1:24" ht="15.75" customHeight="1">
      <c r="A660" s="716"/>
      <c r="B660" s="716"/>
      <c r="C660" s="717"/>
      <c r="D660" s="717"/>
      <c r="E660" s="717"/>
      <c r="F660" s="716"/>
      <c r="G660" s="716"/>
      <c r="H660" s="716"/>
      <c r="I660" s="718"/>
      <c r="J660" s="718"/>
      <c r="K660" s="718"/>
      <c r="L660" s="655" t="str">
        <f t="shared" si="654"/>
        <v>0</v>
      </c>
      <c r="M660" s="656">
        <f t="shared" si="520"/>
        <v>0</v>
      </c>
      <c r="N660" s="657">
        <f>+IF(OR($Q660=Parametres!$G$2,$Q660=Parametres!$G$3),I660,C660)</f>
        <v>0</v>
      </c>
      <c r="O660" s="657">
        <f>+IF(OR($Q660=Parametres!$G$2,$Q660=Parametres!$G$3),J660,D660)</f>
        <v>0</v>
      </c>
      <c r="P660" s="657">
        <f>+IF(OR($Q660=Parametres!$G$2,$Q660=Parametres!$G$3),K660,E660)</f>
        <v>0</v>
      </c>
      <c r="Q660" s="656">
        <f t="shared" ref="Q660:S660" si="672">+F660</f>
        <v>0</v>
      </c>
      <c r="R660" s="655">
        <f t="shared" si="672"/>
        <v>0</v>
      </c>
      <c r="S660" s="656">
        <f t="shared" si="672"/>
        <v>0</v>
      </c>
      <c r="T660" s="658" t="e">
        <f>+VLOOKUP($L660,Data_Validation!$A:$D,1,0)</f>
        <v>#N/A</v>
      </c>
      <c r="U660" s="658" t="e">
        <f>+VLOOKUP($L660,Data_Validation!$A:$D,3,0)</f>
        <v>#N/A</v>
      </c>
      <c r="V660" s="658" t="e">
        <f>+VLOOKUP($L660,Data_Validation!$A:$D,4,0)</f>
        <v>#N/A</v>
      </c>
      <c r="W660" s="658" t="e">
        <f>+VLOOKUP($L660,Data_Validation!$A:$E,5,0)</f>
        <v>#N/A</v>
      </c>
      <c r="X660" s="658" t="e">
        <f>+VLOOKUP($L660,Data_Validation!$A:$F,6,0)</f>
        <v>#N/A</v>
      </c>
    </row>
    <row r="661" spans="1:24" ht="15.75" customHeight="1">
      <c r="A661" s="716"/>
      <c r="B661" s="716"/>
      <c r="C661" s="717"/>
      <c r="D661" s="717"/>
      <c r="E661" s="717"/>
      <c r="F661" s="716"/>
      <c r="G661" s="716"/>
      <c r="H661" s="716"/>
      <c r="I661" s="718"/>
      <c r="J661" s="718"/>
      <c r="K661" s="718"/>
      <c r="L661" s="655" t="str">
        <f t="shared" si="654"/>
        <v>0</v>
      </c>
      <c r="M661" s="656">
        <f t="shared" si="520"/>
        <v>0</v>
      </c>
      <c r="N661" s="657">
        <f>+IF(OR($Q661=Parametres!$G$2,$Q661=Parametres!$G$3),I661,C661)</f>
        <v>0</v>
      </c>
      <c r="O661" s="657">
        <f>+IF(OR($Q661=Parametres!$G$2,$Q661=Parametres!$G$3),J661,D661)</f>
        <v>0</v>
      </c>
      <c r="P661" s="657">
        <f>+IF(OR($Q661=Parametres!$G$2,$Q661=Parametres!$G$3),K661,E661)</f>
        <v>0</v>
      </c>
      <c r="Q661" s="656">
        <f t="shared" ref="Q661:S661" si="673">+F661</f>
        <v>0</v>
      </c>
      <c r="R661" s="655">
        <f t="shared" si="673"/>
        <v>0</v>
      </c>
      <c r="S661" s="656">
        <f t="shared" si="673"/>
        <v>0</v>
      </c>
      <c r="T661" s="658" t="e">
        <f>+VLOOKUP($L661,Data_Validation!$A:$D,1,0)</f>
        <v>#N/A</v>
      </c>
      <c r="U661" s="658" t="e">
        <f>+VLOOKUP($L661,Data_Validation!$A:$D,3,0)</f>
        <v>#N/A</v>
      </c>
      <c r="V661" s="658" t="e">
        <f>+VLOOKUP($L661,Data_Validation!$A:$D,4,0)</f>
        <v>#N/A</v>
      </c>
      <c r="W661" s="658" t="e">
        <f>+VLOOKUP($L661,Data_Validation!$A:$E,5,0)</f>
        <v>#N/A</v>
      </c>
      <c r="X661" s="658" t="e">
        <f>+VLOOKUP($L661,Data_Validation!$A:$F,6,0)</f>
        <v>#N/A</v>
      </c>
    </row>
    <row r="662" spans="1:24" ht="15.75" customHeight="1">
      <c r="A662" s="716"/>
      <c r="B662" s="716"/>
      <c r="C662" s="717"/>
      <c r="D662" s="717"/>
      <c r="E662" s="717"/>
      <c r="F662" s="716"/>
      <c r="G662" s="716"/>
      <c r="H662" s="716"/>
      <c r="I662" s="718"/>
      <c r="J662" s="718"/>
      <c r="K662" s="718"/>
      <c r="L662" s="655" t="str">
        <f t="shared" si="654"/>
        <v>0</v>
      </c>
      <c r="M662" s="656">
        <f t="shared" si="520"/>
        <v>0</v>
      </c>
      <c r="N662" s="657">
        <f>+IF(OR($Q662=Parametres!$G$2,$Q662=Parametres!$G$3),I662,C662)</f>
        <v>0</v>
      </c>
      <c r="O662" s="715">
        <f>+IF(OR($Q662=Parametres!$G$2,$Q662=Parametres!$G$3),J662,D662)</f>
        <v>0</v>
      </c>
      <c r="P662" s="657">
        <f>+IF(OR($Q662=Parametres!$G$2,$Q662=Parametres!$G$3),K662,E662)</f>
        <v>0</v>
      </c>
      <c r="Q662" s="656">
        <f t="shared" ref="Q662:S662" si="674">+F662</f>
        <v>0</v>
      </c>
      <c r="R662" s="655">
        <f t="shared" si="674"/>
        <v>0</v>
      </c>
      <c r="S662" s="656">
        <f t="shared" si="674"/>
        <v>0</v>
      </c>
      <c r="T662" s="658" t="e">
        <f>+VLOOKUP($L662,Data_Validation!$A:$D,1,0)</f>
        <v>#N/A</v>
      </c>
      <c r="U662" s="658" t="e">
        <f>+VLOOKUP($L662,Data_Validation!$A:$D,3,0)</f>
        <v>#N/A</v>
      </c>
      <c r="V662" s="658" t="e">
        <f>+VLOOKUP($L662,Data_Validation!$A:$D,4,0)</f>
        <v>#N/A</v>
      </c>
      <c r="W662" s="658" t="e">
        <f>+VLOOKUP($L662,Data_Validation!$A:$E,5,0)</f>
        <v>#N/A</v>
      </c>
      <c r="X662" s="658" t="e">
        <f>+VLOOKUP($L662,Data_Validation!$A:$F,6,0)</f>
        <v>#N/A</v>
      </c>
    </row>
    <row r="663" spans="1:24" ht="15.75" customHeight="1">
      <c r="A663" s="716"/>
      <c r="B663" s="716"/>
      <c r="C663" s="717"/>
      <c r="D663" s="717"/>
      <c r="E663" s="717"/>
      <c r="F663" s="716"/>
      <c r="G663" s="716"/>
      <c r="H663" s="716"/>
      <c r="I663" s="718"/>
      <c r="J663" s="718"/>
      <c r="K663" s="718"/>
      <c r="L663" s="655" t="str">
        <f t="shared" si="654"/>
        <v>0</v>
      </c>
      <c r="M663" s="656">
        <f t="shared" si="520"/>
        <v>0</v>
      </c>
      <c r="N663" s="657">
        <f>+IF(OR($Q663=Parametres!$G$2,$Q663=Parametres!$G$3),I663,C663)</f>
        <v>0</v>
      </c>
      <c r="O663" s="657">
        <f>+IF(OR($Q663=Parametres!$G$2,$Q663=Parametres!$G$3),J663,D663)</f>
        <v>0</v>
      </c>
      <c r="P663" s="657">
        <f>+IF(OR($Q663=Parametres!$G$2,$Q663=Parametres!$G$3),K663,E663)</f>
        <v>0</v>
      </c>
      <c r="Q663" s="656">
        <f t="shared" ref="Q663:S663" si="675">+F663</f>
        <v>0</v>
      </c>
      <c r="R663" s="655">
        <f t="shared" si="675"/>
        <v>0</v>
      </c>
      <c r="S663" s="656">
        <f t="shared" si="675"/>
        <v>0</v>
      </c>
      <c r="T663" s="658" t="e">
        <f>+VLOOKUP($L663,Data_Validation!$A:$D,1,0)</f>
        <v>#N/A</v>
      </c>
      <c r="U663" s="658" t="e">
        <f>+VLOOKUP($L663,Data_Validation!$A:$D,3,0)</f>
        <v>#N/A</v>
      </c>
      <c r="V663" s="658" t="e">
        <f>+VLOOKUP($L663,Data_Validation!$A:$D,4,0)</f>
        <v>#N/A</v>
      </c>
      <c r="W663" s="658" t="e">
        <f>+VLOOKUP($L663,Data_Validation!$A:$E,5,0)</f>
        <v>#N/A</v>
      </c>
      <c r="X663" s="658" t="e">
        <f>+VLOOKUP($L663,Data_Validation!$A:$F,6,0)</f>
        <v>#N/A</v>
      </c>
    </row>
    <row r="664" spans="1:24" ht="15.75" customHeight="1">
      <c r="A664" s="716"/>
      <c r="B664" s="716"/>
      <c r="C664" s="717"/>
      <c r="D664" s="717"/>
      <c r="E664" s="717"/>
      <c r="F664" s="716"/>
      <c r="G664" s="716"/>
      <c r="H664" s="716"/>
      <c r="I664" s="718"/>
      <c r="J664" s="718"/>
      <c r="K664" s="718"/>
      <c r="L664" s="655" t="str">
        <f t="shared" si="654"/>
        <v>0</v>
      </c>
      <c r="M664" s="656">
        <f t="shared" si="520"/>
        <v>0</v>
      </c>
      <c r="N664" s="657">
        <f>+IF(OR($Q664=Parametres!$G$2,$Q664=Parametres!$G$3),I664,C664)</f>
        <v>0</v>
      </c>
      <c r="O664" s="657">
        <f>+IF(OR($Q664=Parametres!$G$2,$Q664=Parametres!$G$3),J664,D664)</f>
        <v>0</v>
      </c>
      <c r="P664" s="657">
        <f>+IF(OR($Q664=Parametres!$G$2,$Q664=Parametres!$G$3),K664,E664)</f>
        <v>0</v>
      </c>
      <c r="Q664" s="656">
        <f t="shared" ref="Q664:S664" si="676">+F664</f>
        <v>0</v>
      </c>
      <c r="R664" s="655">
        <f t="shared" si="676"/>
        <v>0</v>
      </c>
      <c r="S664" s="656">
        <f t="shared" si="676"/>
        <v>0</v>
      </c>
      <c r="T664" s="658" t="e">
        <f>+VLOOKUP($L664,Data_Validation!$A:$D,1,0)</f>
        <v>#N/A</v>
      </c>
      <c r="U664" s="658" t="e">
        <f>+VLOOKUP($L664,Data_Validation!$A:$D,3,0)</f>
        <v>#N/A</v>
      </c>
      <c r="V664" s="658" t="e">
        <f>+VLOOKUP($L664,Data_Validation!$A:$D,4,0)</f>
        <v>#N/A</v>
      </c>
      <c r="W664" s="658" t="e">
        <f>+VLOOKUP($L664,Data_Validation!$A:$E,5,0)</f>
        <v>#N/A</v>
      </c>
      <c r="X664" s="658" t="e">
        <f>+VLOOKUP($L664,Data_Validation!$A:$F,6,0)</f>
        <v>#N/A</v>
      </c>
    </row>
    <row r="665" spans="1:24" ht="15.75" customHeight="1">
      <c r="A665" s="716"/>
      <c r="B665" s="716"/>
      <c r="C665" s="717"/>
      <c r="D665" s="717"/>
      <c r="E665" s="717"/>
      <c r="F665" s="716"/>
      <c r="G665" s="716"/>
      <c r="H665" s="716"/>
      <c r="I665" s="718"/>
      <c r="J665" s="718"/>
      <c r="K665" s="718"/>
      <c r="L665" s="655" t="str">
        <f t="shared" si="654"/>
        <v>0</v>
      </c>
      <c r="M665" s="656">
        <f t="shared" si="520"/>
        <v>0</v>
      </c>
      <c r="N665" s="657">
        <f>+IF(OR($Q665=Parametres!$G$2,$Q665=Parametres!$G$3),I665,C665)</f>
        <v>0</v>
      </c>
      <c r="O665" s="657">
        <f>+IF(OR($Q665=Parametres!$G$2,$Q665=Parametres!$G$3),J665,D665)</f>
        <v>0</v>
      </c>
      <c r="P665" s="657">
        <f>+IF(OR($Q665=Parametres!$G$2,$Q665=Parametres!$G$3),K665,E665)</f>
        <v>0</v>
      </c>
      <c r="Q665" s="656">
        <f t="shared" ref="Q665:S665" si="677">+F665</f>
        <v>0</v>
      </c>
      <c r="R665" s="655">
        <f t="shared" si="677"/>
        <v>0</v>
      </c>
      <c r="S665" s="656">
        <f t="shared" si="677"/>
        <v>0</v>
      </c>
      <c r="T665" s="658" t="e">
        <f>+VLOOKUP($L665,Data_Validation!$A:$D,1,0)</f>
        <v>#N/A</v>
      </c>
      <c r="U665" s="658" t="e">
        <f>+VLOOKUP($L665,Data_Validation!$A:$D,3,0)</f>
        <v>#N/A</v>
      </c>
      <c r="V665" s="658" t="e">
        <f>+VLOOKUP($L665,Data_Validation!$A:$D,4,0)</f>
        <v>#N/A</v>
      </c>
      <c r="W665" s="658" t="e">
        <f>+VLOOKUP($L665,Data_Validation!$A:$E,5,0)</f>
        <v>#N/A</v>
      </c>
      <c r="X665" s="658" t="e">
        <f>+VLOOKUP($L665,Data_Validation!$A:$F,6,0)</f>
        <v>#N/A</v>
      </c>
    </row>
    <row r="666" spans="1:24" ht="15.75" customHeight="1">
      <c r="A666" s="716"/>
      <c r="B666" s="716"/>
      <c r="C666" s="717"/>
      <c r="D666" s="717"/>
      <c r="E666" s="717"/>
      <c r="F666" s="716"/>
      <c r="G666" s="716"/>
      <c r="H666" s="716"/>
      <c r="I666" s="718"/>
      <c r="J666" s="718"/>
      <c r="K666" s="718"/>
      <c r="L666" s="655" t="str">
        <f t="shared" si="654"/>
        <v>0</v>
      </c>
      <c r="M666" s="656">
        <f t="shared" si="520"/>
        <v>0</v>
      </c>
      <c r="N666" s="657">
        <f>+IF(OR($Q666=Parametres!$G$2,$Q666=Parametres!$G$3),I666,C666)</f>
        <v>0</v>
      </c>
      <c r="O666" s="657">
        <f>+IF(OR($Q666=Parametres!$G$2,$Q666=Parametres!$G$3),J666,D666)</f>
        <v>0</v>
      </c>
      <c r="P666" s="657">
        <f>+IF(OR($Q666=Parametres!$G$2,$Q666=Parametres!$G$3),K666,E666)</f>
        <v>0</v>
      </c>
      <c r="Q666" s="656">
        <f t="shared" ref="Q666:S666" si="678">+F666</f>
        <v>0</v>
      </c>
      <c r="R666" s="655">
        <f t="shared" si="678"/>
        <v>0</v>
      </c>
      <c r="S666" s="656">
        <f t="shared" si="678"/>
        <v>0</v>
      </c>
      <c r="T666" s="658" t="e">
        <f>+VLOOKUP($L666,Data_Validation!$A:$D,1,0)</f>
        <v>#N/A</v>
      </c>
      <c r="U666" s="658" t="e">
        <f>+VLOOKUP($L666,Data_Validation!$A:$D,3,0)</f>
        <v>#N/A</v>
      </c>
      <c r="V666" s="658" t="e">
        <f>+VLOOKUP($L666,Data_Validation!$A:$D,4,0)</f>
        <v>#N/A</v>
      </c>
      <c r="W666" s="658" t="e">
        <f>+VLOOKUP($L666,Data_Validation!$A:$E,5,0)</f>
        <v>#N/A</v>
      </c>
      <c r="X666" s="658" t="e">
        <f>+VLOOKUP($L666,Data_Validation!$A:$F,6,0)</f>
        <v>#N/A</v>
      </c>
    </row>
    <row r="667" spans="1:24" ht="15.75" customHeight="1">
      <c r="A667" s="716"/>
      <c r="B667" s="716"/>
      <c r="C667" s="717"/>
      <c r="D667" s="717"/>
      <c r="E667" s="717"/>
      <c r="F667" s="716"/>
      <c r="G667" s="716"/>
      <c r="H667" s="716"/>
      <c r="I667" s="718"/>
      <c r="J667" s="718"/>
      <c r="K667" s="718"/>
      <c r="L667" s="655" t="str">
        <f t="shared" si="654"/>
        <v>0</v>
      </c>
      <c r="M667" s="656">
        <f t="shared" si="520"/>
        <v>0</v>
      </c>
      <c r="N667" s="657">
        <f>+IF(OR($Q667=Parametres!$G$2,$Q667=Parametres!$G$3),I667,C667)</f>
        <v>0</v>
      </c>
      <c r="O667" s="657">
        <f>+IF(OR($Q667=Parametres!$G$2,$Q667=Parametres!$G$3),J667,D667)</f>
        <v>0</v>
      </c>
      <c r="P667" s="657">
        <f>+IF(OR($Q667=Parametres!$G$2,$Q667=Parametres!$G$3),K667,E667)</f>
        <v>0</v>
      </c>
      <c r="Q667" s="656">
        <f t="shared" ref="Q667:S667" si="679">+F667</f>
        <v>0</v>
      </c>
      <c r="R667" s="655">
        <f t="shared" si="679"/>
        <v>0</v>
      </c>
      <c r="S667" s="656">
        <f t="shared" si="679"/>
        <v>0</v>
      </c>
      <c r="T667" s="658" t="e">
        <f>+VLOOKUP($L667,Data_Validation!$A:$D,1,0)</f>
        <v>#N/A</v>
      </c>
      <c r="U667" s="658" t="e">
        <f>+VLOOKUP($L667,Data_Validation!$A:$D,3,0)</f>
        <v>#N/A</v>
      </c>
      <c r="V667" s="658" t="e">
        <f>+VLOOKUP($L667,Data_Validation!$A:$D,4,0)</f>
        <v>#N/A</v>
      </c>
      <c r="W667" s="658" t="e">
        <f>+VLOOKUP($L667,Data_Validation!$A:$E,5,0)</f>
        <v>#N/A</v>
      </c>
      <c r="X667" s="658" t="e">
        <f>+VLOOKUP($L667,Data_Validation!$A:$F,6,0)</f>
        <v>#N/A</v>
      </c>
    </row>
    <row r="668" spans="1:24" ht="15.75" customHeight="1">
      <c r="A668" s="716"/>
      <c r="B668" s="716"/>
      <c r="C668" s="717"/>
      <c r="D668" s="717"/>
      <c r="E668" s="717"/>
      <c r="F668" s="716"/>
      <c r="G668" s="716"/>
      <c r="H668" s="716"/>
      <c r="I668" s="718"/>
      <c r="J668" s="718"/>
      <c r="K668" s="718"/>
      <c r="L668" s="655" t="str">
        <f t="shared" si="654"/>
        <v>0</v>
      </c>
      <c r="M668" s="656">
        <f t="shared" si="520"/>
        <v>0</v>
      </c>
      <c r="N668" s="657">
        <f>+IF(OR($Q668=Parametres!$G$2,$Q668=Parametres!$G$3),I668,C668)</f>
        <v>0</v>
      </c>
      <c r="O668" s="657">
        <f>+IF(OR($Q668=Parametres!$G$2,$Q668=Parametres!$G$3),J668,D668)</f>
        <v>0</v>
      </c>
      <c r="P668" s="657">
        <f>+IF(OR($Q668=Parametres!$G$2,$Q668=Parametres!$G$3),K668,E668)</f>
        <v>0</v>
      </c>
      <c r="Q668" s="656">
        <f t="shared" ref="Q668:S668" si="680">+F668</f>
        <v>0</v>
      </c>
      <c r="R668" s="655">
        <f t="shared" si="680"/>
        <v>0</v>
      </c>
      <c r="S668" s="656">
        <f t="shared" si="680"/>
        <v>0</v>
      </c>
      <c r="T668" s="658" t="e">
        <f>+VLOOKUP($L668,Data_Validation!$A:$D,1,0)</f>
        <v>#N/A</v>
      </c>
      <c r="U668" s="658" t="e">
        <f>+VLOOKUP($L668,Data_Validation!$A:$D,3,0)</f>
        <v>#N/A</v>
      </c>
      <c r="V668" s="658" t="e">
        <f>+VLOOKUP($L668,Data_Validation!$A:$D,4,0)</f>
        <v>#N/A</v>
      </c>
      <c r="W668" s="658" t="e">
        <f>+VLOOKUP($L668,Data_Validation!$A:$E,5,0)</f>
        <v>#N/A</v>
      </c>
      <c r="X668" s="658" t="e">
        <f>+VLOOKUP($L668,Data_Validation!$A:$F,6,0)</f>
        <v>#N/A</v>
      </c>
    </row>
    <row r="669" spans="1:24" ht="15.75" customHeight="1">
      <c r="A669" s="716"/>
      <c r="B669" s="716"/>
      <c r="C669" s="717"/>
      <c r="D669" s="717"/>
      <c r="E669" s="717"/>
      <c r="F669" s="716"/>
      <c r="G669" s="716"/>
      <c r="H669" s="716"/>
      <c r="I669" s="718"/>
      <c r="J669" s="718"/>
      <c r="K669" s="718"/>
      <c r="L669" s="655" t="str">
        <f t="shared" si="654"/>
        <v>0</v>
      </c>
      <c r="M669" s="656">
        <f t="shared" si="520"/>
        <v>0</v>
      </c>
      <c r="N669" s="657">
        <f>+IF(OR($Q669=Parametres!$G$2,$Q669=Parametres!$G$3),I669,C669)</f>
        <v>0</v>
      </c>
      <c r="O669" s="657">
        <f>+IF(OR($Q669=Parametres!$G$2,$Q669=Parametres!$G$3),J669,D669)</f>
        <v>0</v>
      </c>
      <c r="P669" s="657">
        <f>+IF(OR($Q669=Parametres!$G$2,$Q669=Parametres!$G$3),K669,E669)</f>
        <v>0</v>
      </c>
      <c r="Q669" s="656">
        <f t="shared" ref="Q669:S669" si="681">+F669</f>
        <v>0</v>
      </c>
      <c r="R669" s="655">
        <f t="shared" si="681"/>
        <v>0</v>
      </c>
      <c r="S669" s="656">
        <f t="shared" si="681"/>
        <v>0</v>
      </c>
      <c r="T669" s="658" t="e">
        <f>+VLOOKUP($L669,Data_Validation!$A:$D,1,0)</f>
        <v>#N/A</v>
      </c>
      <c r="U669" s="658" t="e">
        <f>+VLOOKUP($L669,Data_Validation!$A:$D,3,0)</f>
        <v>#N/A</v>
      </c>
      <c r="V669" s="658" t="e">
        <f>+VLOOKUP($L669,Data_Validation!$A:$D,4,0)</f>
        <v>#N/A</v>
      </c>
      <c r="W669" s="658" t="e">
        <f>+VLOOKUP($L669,Data_Validation!$A:$E,5,0)</f>
        <v>#N/A</v>
      </c>
      <c r="X669" s="658" t="e">
        <f>+VLOOKUP($L669,Data_Validation!$A:$F,6,0)</f>
        <v>#N/A</v>
      </c>
    </row>
    <row r="670" spans="1:24" ht="15.75" customHeight="1">
      <c r="A670" s="716"/>
      <c r="B670" s="716"/>
      <c r="C670" s="717"/>
      <c r="D670" s="717"/>
      <c r="E670" s="717"/>
      <c r="F670" s="716"/>
      <c r="G670" s="716"/>
      <c r="H670" s="716"/>
      <c r="I670" s="718"/>
      <c r="J670" s="718"/>
      <c r="K670" s="718"/>
      <c r="L670" s="655" t="str">
        <f t="shared" si="654"/>
        <v>0</v>
      </c>
      <c r="M670" s="656">
        <f t="shared" si="520"/>
        <v>0</v>
      </c>
      <c r="N670" s="657">
        <f>+IF(OR($Q670=Parametres!$G$2,$Q670=Parametres!$G$3),I670,C670)</f>
        <v>0</v>
      </c>
      <c r="O670" s="657">
        <f>+IF(OR($Q670=Parametres!$G$2,$Q670=Parametres!$G$3),J670,D670)</f>
        <v>0</v>
      </c>
      <c r="P670" s="657">
        <f>+IF(OR($Q670=Parametres!$G$2,$Q670=Parametres!$G$3),K670,E670)</f>
        <v>0</v>
      </c>
      <c r="Q670" s="656">
        <f t="shared" ref="Q670:S670" si="682">+F670</f>
        <v>0</v>
      </c>
      <c r="R670" s="655">
        <f t="shared" si="682"/>
        <v>0</v>
      </c>
      <c r="S670" s="656">
        <f t="shared" si="682"/>
        <v>0</v>
      </c>
      <c r="T670" s="658" t="e">
        <f>+VLOOKUP($L670,Data_Validation!$A:$D,1,0)</f>
        <v>#N/A</v>
      </c>
      <c r="U670" s="658" t="e">
        <f>+VLOOKUP($L670,Data_Validation!$A:$D,3,0)</f>
        <v>#N/A</v>
      </c>
      <c r="V670" s="658" t="e">
        <f>+VLOOKUP($L670,Data_Validation!$A:$D,4,0)</f>
        <v>#N/A</v>
      </c>
      <c r="W670" s="658" t="e">
        <f>+VLOOKUP($L670,Data_Validation!$A:$E,5,0)</f>
        <v>#N/A</v>
      </c>
      <c r="X670" s="658" t="e">
        <f>+VLOOKUP($L670,Data_Validation!$A:$F,6,0)</f>
        <v>#N/A</v>
      </c>
    </row>
    <row r="671" spans="1:24" ht="15.75" customHeight="1">
      <c r="A671" s="716"/>
      <c r="B671" s="716"/>
      <c r="C671" s="717"/>
      <c r="D671" s="717"/>
      <c r="E671" s="717"/>
      <c r="F671" s="716"/>
      <c r="G671" s="716"/>
      <c r="H671" s="716"/>
      <c r="I671" s="718"/>
      <c r="J671" s="718"/>
      <c r="K671" s="718"/>
      <c r="L671" s="655" t="str">
        <f t="shared" si="654"/>
        <v>0</v>
      </c>
      <c r="M671" s="656">
        <f t="shared" si="520"/>
        <v>0</v>
      </c>
      <c r="N671" s="657">
        <f>+IF(OR($Q671=Parametres!$G$2,$Q671=Parametres!$G$3),I671,C671)</f>
        <v>0</v>
      </c>
      <c r="O671" s="657">
        <f>+IF(OR($Q671=Parametres!$G$2,$Q671=Parametres!$G$3),J671,D671)</f>
        <v>0</v>
      </c>
      <c r="P671" s="657">
        <f>+IF(OR($Q671=Parametres!$G$2,$Q671=Parametres!$G$3),K671,E671)</f>
        <v>0</v>
      </c>
      <c r="Q671" s="656">
        <f t="shared" ref="Q671:S671" si="683">+F671</f>
        <v>0</v>
      </c>
      <c r="R671" s="655">
        <f t="shared" si="683"/>
        <v>0</v>
      </c>
      <c r="S671" s="656">
        <f t="shared" si="683"/>
        <v>0</v>
      </c>
      <c r="T671" s="658" t="e">
        <f>+VLOOKUP($L671,Data_Validation!$A:$D,1,0)</f>
        <v>#N/A</v>
      </c>
      <c r="U671" s="658" t="e">
        <f>+VLOOKUP($L671,Data_Validation!$A:$D,3,0)</f>
        <v>#N/A</v>
      </c>
      <c r="V671" s="658" t="e">
        <f>+VLOOKUP($L671,Data_Validation!$A:$D,4,0)</f>
        <v>#N/A</v>
      </c>
      <c r="W671" s="658" t="e">
        <f>+VLOOKUP($L671,Data_Validation!$A:$E,5,0)</f>
        <v>#N/A</v>
      </c>
      <c r="X671" s="658" t="e">
        <f>+VLOOKUP($L671,Data_Validation!$A:$F,6,0)</f>
        <v>#N/A</v>
      </c>
    </row>
    <row r="672" spans="1:24" ht="15.75" customHeight="1">
      <c r="A672" s="716"/>
      <c r="B672" s="716"/>
      <c r="C672" s="717"/>
      <c r="D672" s="717"/>
      <c r="E672" s="717"/>
      <c r="F672" s="716"/>
      <c r="G672" s="716"/>
      <c r="H672" s="716"/>
      <c r="I672" s="718"/>
      <c r="J672" s="718"/>
      <c r="K672" s="718"/>
      <c r="L672" s="655" t="str">
        <f t="shared" si="654"/>
        <v>0</v>
      </c>
      <c r="M672" s="656">
        <f t="shared" si="520"/>
        <v>0</v>
      </c>
      <c r="N672" s="657">
        <f>+IF(OR($Q672=Parametres!$G$2,$Q672=Parametres!$G$3),I672,C672)</f>
        <v>0</v>
      </c>
      <c r="O672" s="657">
        <f>+IF(OR($Q672=Parametres!$G$2,$Q672=Parametres!$G$3),J672,D672)</f>
        <v>0</v>
      </c>
      <c r="P672" s="657">
        <f>+IF(OR($Q672=Parametres!$G$2,$Q672=Parametres!$G$3),K672,E672)</f>
        <v>0</v>
      </c>
      <c r="Q672" s="656">
        <f t="shared" ref="Q672:S672" si="684">+F672</f>
        <v>0</v>
      </c>
      <c r="R672" s="655">
        <f t="shared" si="684"/>
        <v>0</v>
      </c>
      <c r="S672" s="656">
        <f t="shared" si="684"/>
        <v>0</v>
      </c>
      <c r="T672" s="658" t="e">
        <f>+VLOOKUP($L672,Data_Validation!$A:$D,1,0)</f>
        <v>#N/A</v>
      </c>
      <c r="U672" s="658" t="e">
        <f>+VLOOKUP($L672,Data_Validation!$A:$D,3,0)</f>
        <v>#N/A</v>
      </c>
      <c r="V672" s="658" t="e">
        <f>+VLOOKUP($L672,Data_Validation!$A:$D,4,0)</f>
        <v>#N/A</v>
      </c>
      <c r="W672" s="658" t="e">
        <f>+VLOOKUP($L672,Data_Validation!$A:$E,5,0)</f>
        <v>#N/A</v>
      </c>
      <c r="X672" s="658" t="e">
        <f>+VLOOKUP($L672,Data_Validation!$A:$F,6,0)</f>
        <v>#N/A</v>
      </c>
    </row>
    <row r="673" spans="1:24" ht="15.75" customHeight="1">
      <c r="A673" s="716"/>
      <c r="B673" s="716"/>
      <c r="C673" s="717"/>
      <c r="D673" s="717"/>
      <c r="E673" s="717"/>
      <c r="F673" s="716"/>
      <c r="G673" s="716"/>
      <c r="H673" s="716"/>
      <c r="I673" s="718"/>
      <c r="J673" s="718"/>
      <c r="K673" s="718"/>
      <c r="L673" s="655" t="str">
        <f t="shared" si="654"/>
        <v>0</v>
      </c>
      <c r="M673" s="656">
        <f t="shared" si="520"/>
        <v>0</v>
      </c>
      <c r="N673" s="657">
        <f>+IF(OR($Q673=Parametres!$G$2,$Q673=Parametres!$G$3),I673,C673)</f>
        <v>0</v>
      </c>
      <c r="O673" s="657">
        <f>+IF(OR($Q673=Parametres!$G$2,$Q673=Parametres!$G$3),J673,D673)</f>
        <v>0</v>
      </c>
      <c r="P673" s="657">
        <f>+IF(OR($Q673=Parametres!$G$2,$Q673=Parametres!$G$3),K673,E673)</f>
        <v>0</v>
      </c>
      <c r="Q673" s="656">
        <f t="shared" ref="Q673:S673" si="685">+F673</f>
        <v>0</v>
      </c>
      <c r="R673" s="655">
        <f t="shared" si="685"/>
        <v>0</v>
      </c>
      <c r="S673" s="656">
        <f t="shared" si="685"/>
        <v>0</v>
      </c>
      <c r="T673" s="658" t="e">
        <f>+VLOOKUP($L673,Data_Validation!$A:$D,1,0)</f>
        <v>#N/A</v>
      </c>
      <c r="U673" s="658" t="e">
        <f>+VLOOKUP($L673,Data_Validation!$A:$D,3,0)</f>
        <v>#N/A</v>
      </c>
      <c r="V673" s="658" t="e">
        <f>+VLOOKUP($L673,Data_Validation!$A:$D,4,0)</f>
        <v>#N/A</v>
      </c>
      <c r="W673" s="658" t="e">
        <f>+VLOOKUP($L673,Data_Validation!$A:$E,5,0)</f>
        <v>#N/A</v>
      </c>
      <c r="X673" s="658" t="e">
        <f>+VLOOKUP($L673,Data_Validation!$A:$F,6,0)</f>
        <v>#N/A</v>
      </c>
    </row>
    <row r="674" spans="1:24" ht="15.75" customHeight="1">
      <c r="A674" s="716"/>
      <c r="B674" s="716"/>
      <c r="C674" s="717"/>
      <c r="D674" s="717"/>
      <c r="E674" s="717"/>
      <c r="F674" s="716"/>
      <c r="G674" s="716"/>
      <c r="H674" s="716"/>
      <c r="I674" s="718"/>
      <c r="J674" s="718"/>
      <c r="K674" s="718"/>
      <c r="L674" s="655" t="str">
        <f t="shared" si="654"/>
        <v>0</v>
      </c>
      <c r="M674" s="656">
        <f t="shared" si="520"/>
        <v>0</v>
      </c>
      <c r="N674" s="657">
        <f>+IF(OR($Q674=Parametres!$G$2,$Q674=Parametres!$G$3),I674,C674)</f>
        <v>0</v>
      </c>
      <c r="O674" s="657">
        <f>+IF(OR($Q674=Parametres!$G$2,$Q674=Parametres!$G$3),J674,D674)</f>
        <v>0</v>
      </c>
      <c r="P674" s="657">
        <f>+IF(OR($Q674=Parametres!$G$2,$Q674=Parametres!$G$3),K674,E674)</f>
        <v>0</v>
      </c>
      <c r="Q674" s="656">
        <f t="shared" ref="Q674:S674" si="686">+F674</f>
        <v>0</v>
      </c>
      <c r="R674" s="655">
        <f t="shared" si="686"/>
        <v>0</v>
      </c>
      <c r="S674" s="656">
        <f t="shared" si="686"/>
        <v>0</v>
      </c>
      <c r="T674" s="658" t="e">
        <f>+VLOOKUP($L674,Data_Validation!$A:$D,1,0)</f>
        <v>#N/A</v>
      </c>
      <c r="U674" s="658" t="e">
        <f>+VLOOKUP($L674,Data_Validation!$A:$D,3,0)</f>
        <v>#N/A</v>
      </c>
      <c r="V674" s="658" t="e">
        <f>+VLOOKUP($L674,Data_Validation!$A:$D,4,0)</f>
        <v>#N/A</v>
      </c>
      <c r="W674" s="658" t="e">
        <f>+VLOOKUP($L674,Data_Validation!$A:$E,5,0)</f>
        <v>#N/A</v>
      </c>
      <c r="X674" s="658" t="e">
        <f>+VLOOKUP($L674,Data_Validation!$A:$F,6,0)</f>
        <v>#N/A</v>
      </c>
    </row>
    <row r="675" spans="1:24" ht="15.75" customHeight="1">
      <c r="A675" s="716"/>
      <c r="B675" s="716"/>
      <c r="C675" s="717"/>
      <c r="D675" s="717"/>
      <c r="E675" s="717"/>
      <c r="F675" s="716"/>
      <c r="G675" s="716"/>
      <c r="H675" s="716"/>
      <c r="I675" s="718"/>
      <c r="J675" s="718"/>
      <c r="K675" s="718"/>
      <c r="L675" s="655" t="str">
        <f t="shared" si="654"/>
        <v>0</v>
      </c>
      <c r="M675" s="656">
        <f t="shared" si="520"/>
        <v>0</v>
      </c>
      <c r="N675" s="657">
        <f>+IF(OR($Q675=Parametres!$G$2,$Q675=Parametres!$G$3),I675,C675)</f>
        <v>0</v>
      </c>
      <c r="O675" s="657">
        <f>+IF(OR($Q675=Parametres!$G$2,$Q675=Parametres!$G$3),J675,D675)</f>
        <v>0</v>
      </c>
      <c r="P675" s="657">
        <f>+IF(OR($Q675=Parametres!$G$2,$Q675=Parametres!$G$3),K675,E675)</f>
        <v>0</v>
      </c>
      <c r="Q675" s="656">
        <f t="shared" ref="Q675:S675" si="687">+F675</f>
        <v>0</v>
      </c>
      <c r="R675" s="655">
        <f t="shared" si="687"/>
        <v>0</v>
      </c>
      <c r="S675" s="656">
        <f t="shared" si="687"/>
        <v>0</v>
      </c>
      <c r="T675" s="658" t="e">
        <f>+VLOOKUP($L675,Data_Validation!$A:$D,1,0)</f>
        <v>#N/A</v>
      </c>
      <c r="U675" s="658" t="e">
        <f>+VLOOKUP($L675,Data_Validation!$A:$D,3,0)</f>
        <v>#N/A</v>
      </c>
      <c r="V675" s="658" t="e">
        <f>+VLOOKUP($L675,Data_Validation!$A:$D,4,0)</f>
        <v>#N/A</v>
      </c>
      <c r="W675" s="658" t="e">
        <f>+VLOOKUP($L675,Data_Validation!$A:$E,5,0)</f>
        <v>#N/A</v>
      </c>
      <c r="X675" s="658" t="e">
        <f>+VLOOKUP($L675,Data_Validation!$A:$F,6,0)</f>
        <v>#N/A</v>
      </c>
    </row>
    <row r="676" spans="1:24" ht="15.75" customHeight="1">
      <c r="A676" s="716"/>
      <c r="B676" s="716"/>
      <c r="C676" s="717"/>
      <c r="D676" s="717"/>
      <c r="E676" s="717"/>
      <c r="F676" s="716"/>
      <c r="G676" s="716"/>
      <c r="H676" s="716"/>
      <c r="I676" s="718"/>
      <c r="J676" s="718"/>
      <c r="K676" s="718"/>
      <c r="L676" s="655" t="str">
        <f t="shared" si="654"/>
        <v>0</v>
      </c>
      <c r="M676" s="656">
        <f t="shared" si="520"/>
        <v>0</v>
      </c>
      <c r="N676" s="657">
        <f>+IF(OR($Q676=Parametres!$G$2,$Q676=Parametres!$G$3),I676,C676)</f>
        <v>0</v>
      </c>
      <c r="O676" s="657">
        <f>+IF(OR($Q676=Parametres!$G$2,$Q676=Parametres!$G$3),J676,D676)</f>
        <v>0</v>
      </c>
      <c r="P676" s="657">
        <f>+IF(OR($Q676=Parametres!$G$2,$Q676=Parametres!$G$3),K676,E676)</f>
        <v>0</v>
      </c>
      <c r="Q676" s="656">
        <f t="shared" ref="Q676:S676" si="688">+F676</f>
        <v>0</v>
      </c>
      <c r="R676" s="655">
        <f t="shared" si="688"/>
        <v>0</v>
      </c>
      <c r="S676" s="656">
        <f t="shared" si="688"/>
        <v>0</v>
      </c>
      <c r="T676" s="658" t="e">
        <f>+VLOOKUP($L676,Data_Validation!$A:$D,1,0)</f>
        <v>#N/A</v>
      </c>
      <c r="U676" s="658" t="e">
        <f>+VLOOKUP($L676,Data_Validation!$A:$D,3,0)</f>
        <v>#N/A</v>
      </c>
      <c r="V676" s="658" t="e">
        <f>+VLOOKUP($L676,Data_Validation!$A:$D,4,0)</f>
        <v>#N/A</v>
      </c>
      <c r="W676" s="658" t="e">
        <f>+VLOOKUP($L676,Data_Validation!$A:$E,5,0)</f>
        <v>#N/A</v>
      </c>
      <c r="X676" s="658" t="e">
        <f>+VLOOKUP($L676,Data_Validation!$A:$F,6,0)</f>
        <v>#N/A</v>
      </c>
    </row>
    <row r="677" spans="1:24" ht="15.75" customHeight="1">
      <c r="A677" s="716"/>
      <c r="B677" s="716"/>
      <c r="C677" s="717"/>
      <c r="D677" s="717"/>
      <c r="E677" s="717"/>
      <c r="F677" s="716"/>
      <c r="G677" s="716"/>
      <c r="H677" s="716"/>
      <c r="I677" s="718"/>
      <c r="J677" s="718"/>
      <c r="K677" s="718"/>
      <c r="L677" s="655" t="str">
        <f t="shared" si="654"/>
        <v>0</v>
      </c>
      <c r="M677" s="656">
        <f t="shared" si="520"/>
        <v>0</v>
      </c>
      <c r="N677" s="657">
        <f>+IF(OR($Q677=Parametres!$G$2,$Q677=Parametres!$G$3),I677,C677)</f>
        <v>0</v>
      </c>
      <c r="O677" s="657">
        <f>+IF(OR($Q677=Parametres!$G$2,$Q677=Parametres!$G$3),J677,D677)</f>
        <v>0</v>
      </c>
      <c r="P677" s="657">
        <f>+IF(OR($Q677=Parametres!$G$2,$Q677=Parametres!$G$3),K677,E677)</f>
        <v>0</v>
      </c>
      <c r="Q677" s="656">
        <f t="shared" ref="Q677:S677" si="689">+F677</f>
        <v>0</v>
      </c>
      <c r="R677" s="655">
        <f t="shared" si="689"/>
        <v>0</v>
      </c>
      <c r="S677" s="656">
        <f t="shared" si="689"/>
        <v>0</v>
      </c>
      <c r="T677" s="658" t="e">
        <f>+VLOOKUP($L677,Data_Validation!$A:$D,1,0)</f>
        <v>#N/A</v>
      </c>
      <c r="U677" s="658" t="e">
        <f>+VLOOKUP($L677,Data_Validation!$A:$D,3,0)</f>
        <v>#N/A</v>
      </c>
      <c r="V677" s="658" t="e">
        <f>+VLOOKUP($L677,Data_Validation!$A:$D,4,0)</f>
        <v>#N/A</v>
      </c>
      <c r="W677" s="658" t="e">
        <f>+VLOOKUP($L677,Data_Validation!$A:$E,5,0)</f>
        <v>#N/A</v>
      </c>
      <c r="X677" s="658" t="e">
        <f>+VLOOKUP($L677,Data_Validation!$A:$F,6,0)</f>
        <v>#N/A</v>
      </c>
    </row>
    <row r="678" spans="1:24" ht="15.75" customHeight="1">
      <c r="A678" s="716"/>
      <c r="B678" s="716"/>
      <c r="C678" s="717"/>
      <c r="D678" s="717"/>
      <c r="E678" s="717"/>
      <c r="F678" s="716"/>
      <c r="G678" s="716"/>
      <c r="H678" s="716"/>
      <c r="I678" s="718"/>
      <c r="J678" s="718"/>
      <c r="K678" s="718"/>
      <c r="L678" s="655" t="str">
        <f t="shared" si="654"/>
        <v>0</v>
      </c>
      <c r="M678" s="656">
        <f t="shared" si="520"/>
        <v>0</v>
      </c>
      <c r="N678" s="657">
        <f>+IF(OR($Q678=Parametres!$G$2,$Q678=Parametres!$G$3),I678,C678)</f>
        <v>0</v>
      </c>
      <c r="O678" s="657">
        <f>+IF(OR($Q678=Parametres!$G$2,$Q678=Parametres!$G$3),J678,D678)</f>
        <v>0</v>
      </c>
      <c r="P678" s="657">
        <f>+IF(OR($Q678=Parametres!$G$2,$Q678=Parametres!$G$3),K678,E678)</f>
        <v>0</v>
      </c>
      <c r="Q678" s="656">
        <f t="shared" ref="Q678:S678" si="690">+F678</f>
        <v>0</v>
      </c>
      <c r="R678" s="655">
        <f t="shared" si="690"/>
        <v>0</v>
      </c>
      <c r="S678" s="656">
        <f t="shared" si="690"/>
        <v>0</v>
      </c>
      <c r="T678" s="658" t="e">
        <f>+VLOOKUP($L678,Data_Validation!$A:$D,1,0)</f>
        <v>#N/A</v>
      </c>
      <c r="U678" s="658" t="e">
        <f>+VLOOKUP($L678,Data_Validation!$A:$D,3,0)</f>
        <v>#N/A</v>
      </c>
      <c r="V678" s="658" t="e">
        <f>+VLOOKUP($L678,Data_Validation!$A:$D,4,0)</f>
        <v>#N/A</v>
      </c>
      <c r="W678" s="658" t="e">
        <f>+VLOOKUP($L678,Data_Validation!$A:$E,5,0)</f>
        <v>#N/A</v>
      </c>
      <c r="X678" s="658" t="e">
        <f>+VLOOKUP($L678,Data_Validation!$A:$F,6,0)</f>
        <v>#N/A</v>
      </c>
    </row>
    <row r="679" spans="1:24" ht="15.75" customHeight="1">
      <c r="A679" s="716"/>
      <c r="B679" s="716"/>
      <c r="C679" s="717"/>
      <c r="D679" s="717"/>
      <c r="E679" s="717"/>
      <c r="F679" s="716"/>
      <c r="G679" s="716"/>
      <c r="H679" s="716"/>
      <c r="I679" s="718"/>
      <c r="J679" s="718"/>
      <c r="K679" s="718"/>
      <c r="L679" s="655" t="str">
        <f t="shared" si="654"/>
        <v>0</v>
      </c>
      <c r="M679" s="656">
        <f t="shared" si="520"/>
        <v>0</v>
      </c>
      <c r="N679" s="657">
        <f>+IF(OR($Q679=Parametres!$G$2,$Q679=Parametres!$G$3),I679,C679)</f>
        <v>0</v>
      </c>
      <c r="O679" s="657">
        <f>+IF(OR($Q679=Parametres!$G$2,$Q679=Parametres!$G$3),J679,D679)</f>
        <v>0</v>
      </c>
      <c r="P679" s="657">
        <f>+IF(OR($Q679=Parametres!$G$2,$Q679=Parametres!$G$3),K679,E679)</f>
        <v>0</v>
      </c>
      <c r="Q679" s="656">
        <f t="shared" ref="Q679:S679" si="691">+F679</f>
        <v>0</v>
      </c>
      <c r="R679" s="655">
        <f t="shared" si="691"/>
        <v>0</v>
      </c>
      <c r="S679" s="656">
        <f t="shared" si="691"/>
        <v>0</v>
      </c>
      <c r="T679" s="658" t="e">
        <f>+VLOOKUP($L679,Data_Validation!$A:$D,1,0)</f>
        <v>#N/A</v>
      </c>
      <c r="U679" s="658" t="e">
        <f>+VLOOKUP($L679,Data_Validation!$A:$D,3,0)</f>
        <v>#N/A</v>
      </c>
      <c r="V679" s="658" t="e">
        <f>+VLOOKUP($L679,Data_Validation!$A:$D,4,0)</f>
        <v>#N/A</v>
      </c>
      <c r="W679" s="658" t="e">
        <f>+VLOOKUP($L679,Data_Validation!$A:$E,5,0)</f>
        <v>#N/A</v>
      </c>
      <c r="X679" s="658" t="e">
        <f>+VLOOKUP($L679,Data_Validation!$A:$F,6,0)</f>
        <v>#N/A</v>
      </c>
    </row>
    <row r="680" spans="1:24" ht="15.75" customHeight="1">
      <c r="A680" s="716"/>
      <c r="B680" s="716"/>
      <c r="C680" s="717"/>
      <c r="D680" s="717"/>
      <c r="E680" s="717"/>
      <c r="F680" s="716"/>
      <c r="G680" s="716"/>
      <c r="H680" s="716"/>
      <c r="I680" s="718"/>
      <c r="J680" s="718"/>
      <c r="K680" s="718"/>
      <c r="L680" s="655" t="str">
        <f t="shared" si="654"/>
        <v>0</v>
      </c>
      <c r="M680" s="656">
        <f t="shared" si="520"/>
        <v>0</v>
      </c>
      <c r="N680" s="657">
        <f>+IF(OR($Q680=Parametres!$G$2,$Q680=Parametres!$G$3),I680,C680)</f>
        <v>0</v>
      </c>
      <c r="O680" s="657">
        <f>+IF(OR($Q680=Parametres!$G$2,$Q680=Parametres!$G$3),J680,D680)</f>
        <v>0</v>
      </c>
      <c r="P680" s="657">
        <f>+IF(OR($Q680=Parametres!$G$2,$Q680=Parametres!$G$3),K680,E680)</f>
        <v>0</v>
      </c>
      <c r="Q680" s="656">
        <f t="shared" ref="Q680:S680" si="692">+F680</f>
        <v>0</v>
      </c>
      <c r="R680" s="655">
        <f t="shared" si="692"/>
        <v>0</v>
      </c>
      <c r="S680" s="656">
        <f t="shared" si="692"/>
        <v>0</v>
      </c>
      <c r="T680" s="658" t="e">
        <f>+VLOOKUP($L680,Data_Validation!$A:$D,1,0)</f>
        <v>#N/A</v>
      </c>
      <c r="U680" s="658" t="e">
        <f>+VLOOKUP($L680,Data_Validation!$A:$D,3,0)</f>
        <v>#N/A</v>
      </c>
      <c r="V680" s="658" t="e">
        <f>+VLOOKUP($L680,Data_Validation!$A:$D,4,0)</f>
        <v>#N/A</v>
      </c>
      <c r="W680" s="658" t="e">
        <f>+VLOOKUP($L680,Data_Validation!$A:$E,5,0)</f>
        <v>#N/A</v>
      </c>
      <c r="X680" s="658" t="e">
        <f>+VLOOKUP($L680,Data_Validation!$A:$F,6,0)</f>
        <v>#N/A</v>
      </c>
    </row>
    <row r="681" spans="1:24" ht="15.75" customHeight="1">
      <c r="A681" s="716"/>
      <c r="B681" s="716"/>
      <c r="C681" s="717"/>
      <c r="D681" s="717"/>
      <c r="E681" s="717"/>
      <c r="F681" s="716"/>
      <c r="G681" s="716"/>
      <c r="H681" s="716"/>
      <c r="I681" s="718"/>
      <c r="J681" s="718"/>
      <c r="K681" s="718"/>
      <c r="L681" s="655" t="str">
        <f t="shared" si="654"/>
        <v>0</v>
      </c>
      <c r="M681" s="656">
        <f t="shared" si="520"/>
        <v>0</v>
      </c>
      <c r="N681" s="657">
        <f>+IF(OR($Q681=Parametres!$G$2,$Q681=Parametres!$G$3),I681,C681)</f>
        <v>0</v>
      </c>
      <c r="O681" s="657">
        <f>+IF(OR($Q681=Parametres!$G$2,$Q681=Parametres!$G$3),J681,D681)</f>
        <v>0</v>
      </c>
      <c r="P681" s="657">
        <f>+IF(OR($Q681=Parametres!$G$2,$Q681=Parametres!$G$3),K681,E681)</f>
        <v>0</v>
      </c>
      <c r="Q681" s="656">
        <f t="shared" ref="Q681:S681" si="693">+F681</f>
        <v>0</v>
      </c>
      <c r="R681" s="655">
        <f t="shared" si="693"/>
        <v>0</v>
      </c>
      <c r="S681" s="656">
        <f t="shared" si="693"/>
        <v>0</v>
      </c>
      <c r="T681" s="658" t="e">
        <f>+VLOOKUP($L681,Data_Validation!$A:$D,1,0)</f>
        <v>#N/A</v>
      </c>
      <c r="U681" s="658" t="e">
        <f>+VLOOKUP($L681,Data_Validation!$A:$D,3,0)</f>
        <v>#N/A</v>
      </c>
      <c r="V681" s="658" t="e">
        <f>+VLOOKUP($L681,Data_Validation!$A:$D,4,0)</f>
        <v>#N/A</v>
      </c>
      <c r="W681" s="658" t="e">
        <f>+VLOOKUP($L681,Data_Validation!$A:$E,5,0)</f>
        <v>#N/A</v>
      </c>
      <c r="X681" s="658" t="e">
        <f>+VLOOKUP($L681,Data_Validation!$A:$F,6,0)</f>
        <v>#N/A</v>
      </c>
    </row>
    <row r="682" spans="1:24" ht="15.75" customHeight="1">
      <c r="A682" s="716"/>
      <c r="B682" s="716"/>
      <c r="C682" s="717"/>
      <c r="D682" s="717"/>
      <c r="E682" s="717"/>
      <c r="F682" s="716"/>
      <c r="G682" s="716"/>
      <c r="H682" s="716"/>
      <c r="I682" s="718"/>
      <c r="J682" s="718"/>
      <c r="K682" s="718"/>
      <c r="L682" s="655" t="str">
        <f t="shared" si="654"/>
        <v>0</v>
      </c>
      <c r="M682" s="656">
        <f t="shared" si="520"/>
        <v>0</v>
      </c>
      <c r="N682" s="657">
        <f>+IF(OR($Q682=Parametres!$G$2,$Q682=Parametres!$G$3),I682,C682)</f>
        <v>0</v>
      </c>
      <c r="O682" s="657">
        <f>+IF(OR($Q682=Parametres!$G$2,$Q682=Parametres!$G$3),J682,D682)</f>
        <v>0</v>
      </c>
      <c r="P682" s="657">
        <f>+IF(OR($Q682=Parametres!$G$2,$Q682=Parametres!$G$3),K682,E682)</f>
        <v>0</v>
      </c>
      <c r="Q682" s="656">
        <f t="shared" ref="Q682:S682" si="694">+F682</f>
        <v>0</v>
      </c>
      <c r="R682" s="655">
        <f t="shared" si="694"/>
        <v>0</v>
      </c>
      <c r="S682" s="656">
        <f t="shared" si="694"/>
        <v>0</v>
      </c>
      <c r="T682" s="658" t="e">
        <f>+VLOOKUP($L682,Data_Validation!$A:$D,1,0)</f>
        <v>#N/A</v>
      </c>
      <c r="U682" s="658" t="e">
        <f>+VLOOKUP($L682,Data_Validation!$A:$D,3,0)</f>
        <v>#N/A</v>
      </c>
      <c r="V682" s="658" t="e">
        <f>+VLOOKUP($L682,Data_Validation!$A:$D,4,0)</f>
        <v>#N/A</v>
      </c>
      <c r="W682" s="658" t="e">
        <f>+VLOOKUP($L682,Data_Validation!$A:$E,5,0)</f>
        <v>#N/A</v>
      </c>
      <c r="X682" s="658" t="e">
        <f>+VLOOKUP($L682,Data_Validation!$A:$F,6,0)</f>
        <v>#N/A</v>
      </c>
    </row>
    <row r="683" spans="1:24" ht="15.75" customHeight="1">
      <c r="A683" s="716"/>
      <c r="B683" s="716"/>
      <c r="C683" s="717"/>
      <c r="D683" s="717"/>
      <c r="E683" s="717"/>
      <c r="F683" s="716"/>
      <c r="G683" s="716"/>
      <c r="H683" s="716"/>
      <c r="I683" s="718"/>
      <c r="J683" s="718"/>
      <c r="K683" s="718"/>
      <c r="L683" s="655" t="str">
        <f t="shared" si="654"/>
        <v>0</v>
      </c>
      <c r="M683" s="656">
        <f t="shared" si="520"/>
        <v>0</v>
      </c>
      <c r="N683" s="657">
        <f>+IF(OR($Q683=Parametres!$G$2,$Q683=Parametres!$G$3),I683,C683)</f>
        <v>0</v>
      </c>
      <c r="O683" s="657">
        <f>+IF(OR($Q683=Parametres!$G$2,$Q683=Parametres!$G$3),J683,D683)</f>
        <v>0</v>
      </c>
      <c r="P683" s="657">
        <f>+IF(OR($Q683=Parametres!$G$2,$Q683=Parametres!$G$3),K683,E683)</f>
        <v>0</v>
      </c>
      <c r="Q683" s="656">
        <f t="shared" ref="Q683:S683" si="695">+F683</f>
        <v>0</v>
      </c>
      <c r="R683" s="655">
        <f t="shared" si="695"/>
        <v>0</v>
      </c>
      <c r="S683" s="656">
        <f t="shared" si="695"/>
        <v>0</v>
      </c>
      <c r="T683" s="658" t="e">
        <f>+VLOOKUP($L683,Data_Validation!$A:$D,1,0)</f>
        <v>#N/A</v>
      </c>
      <c r="U683" s="658" t="e">
        <f>+VLOOKUP($L683,Data_Validation!$A:$D,3,0)</f>
        <v>#N/A</v>
      </c>
      <c r="V683" s="658" t="e">
        <f>+VLOOKUP($L683,Data_Validation!$A:$D,4,0)</f>
        <v>#N/A</v>
      </c>
      <c r="W683" s="658" t="e">
        <f>+VLOOKUP($L683,Data_Validation!$A:$E,5,0)</f>
        <v>#N/A</v>
      </c>
      <c r="X683" s="658" t="e">
        <f>+VLOOKUP($L683,Data_Validation!$A:$F,6,0)</f>
        <v>#N/A</v>
      </c>
    </row>
    <row r="684" spans="1:24" ht="15.75" customHeight="1">
      <c r="A684" s="716"/>
      <c r="B684" s="716"/>
      <c r="C684" s="717"/>
      <c r="D684" s="717"/>
      <c r="E684" s="717"/>
      <c r="F684" s="716"/>
      <c r="G684" s="716"/>
      <c r="H684" s="716"/>
      <c r="I684" s="718"/>
      <c r="J684" s="718"/>
      <c r="K684" s="718"/>
      <c r="L684" s="655" t="str">
        <f t="shared" si="654"/>
        <v>0</v>
      </c>
      <c r="M684" s="656">
        <f t="shared" si="520"/>
        <v>0</v>
      </c>
      <c r="N684" s="657">
        <f>+IF(OR($Q684=Parametres!$G$2,$Q684=Parametres!$G$3),I684,C684)</f>
        <v>0</v>
      </c>
      <c r="O684" s="657">
        <f>+IF(OR($Q684=Parametres!$G$2,$Q684=Parametres!$G$3),J684,D684)</f>
        <v>0</v>
      </c>
      <c r="P684" s="657">
        <f>+IF(OR($Q684=Parametres!$G$2,$Q684=Parametres!$G$3),K684,E684)</f>
        <v>0</v>
      </c>
      <c r="Q684" s="656">
        <f t="shared" ref="Q684:S684" si="696">+F684</f>
        <v>0</v>
      </c>
      <c r="R684" s="655">
        <f t="shared" si="696"/>
        <v>0</v>
      </c>
      <c r="S684" s="656">
        <f t="shared" si="696"/>
        <v>0</v>
      </c>
      <c r="T684" s="658" t="e">
        <f>+VLOOKUP($L684,Data_Validation!$A:$D,1,0)</f>
        <v>#N/A</v>
      </c>
      <c r="U684" s="658" t="e">
        <f>+VLOOKUP($L684,Data_Validation!$A:$D,3,0)</f>
        <v>#N/A</v>
      </c>
      <c r="V684" s="658" t="e">
        <f>+VLOOKUP($L684,Data_Validation!$A:$D,4,0)</f>
        <v>#N/A</v>
      </c>
      <c r="W684" s="658" t="e">
        <f>+VLOOKUP($L684,Data_Validation!$A:$E,5,0)</f>
        <v>#N/A</v>
      </c>
      <c r="X684" s="658" t="e">
        <f>+VLOOKUP($L684,Data_Validation!$A:$F,6,0)</f>
        <v>#N/A</v>
      </c>
    </row>
    <row r="685" spans="1:24" ht="15.75" customHeight="1">
      <c r="A685" s="716"/>
      <c r="B685" s="716"/>
      <c r="C685" s="717"/>
      <c r="D685" s="717"/>
      <c r="E685" s="717"/>
      <c r="F685" s="716"/>
      <c r="G685" s="716"/>
      <c r="H685" s="716"/>
      <c r="I685" s="718"/>
      <c r="J685" s="718"/>
      <c r="K685" s="718"/>
      <c r="L685" s="655" t="str">
        <f t="shared" si="654"/>
        <v>0</v>
      </c>
      <c r="M685" s="656">
        <f t="shared" si="520"/>
        <v>0</v>
      </c>
      <c r="N685" s="657">
        <f>+IF(OR($Q685=Parametres!$G$2,$Q685=Parametres!$G$3),I685,C685)</f>
        <v>0</v>
      </c>
      <c r="O685" s="657">
        <f>+IF(OR($Q685=Parametres!$G$2,$Q685=Parametres!$G$3),J685,D685)</f>
        <v>0</v>
      </c>
      <c r="P685" s="657">
        <f>+IF(OR($Q685=Parametres!$G$2,$Q685=Parametres!$G$3),K685,E685)</f>
        <v>0</v>
      </c>
      <c r="Q685" s="656">
        <f t="shared" ref="Q685:S685" si="697">+F685</f>
        <v>0</v>
      </c>
      <c r="R685" s="655">
        <f t="shared" si="697"/>
        <v>0</v>
      </c>
      <c r="S685" s="656">
        <f t="shared" si="697"/>
        <v>0</v>
      </c>
      <c r="T685" s="658" t="e">
        <f>+VLOOKUP($L685,Data_Validation!$A:$D,1,0)</f>
        <v>#N/A</v>
      </c>
      <c r="U685" s="658" t="e">
        <f>+VLOOKUP($L685,Data_Validation!$A:$D,3,0)</f>
        <v>#N/A</v>
      </c>
      <c r="V685" s="658" t="e">
        <f>+VLOOKUP($L685,Data_Validation!$A:$D,4,0)</f>
        <v>#N/A</v>
      </c>
      <c r="W685" s="658" t="e">
        <f>+VLOOKUP($L685,Data_Validation!$A:$E,5,0)</f>
        <v>#N/A</v>
      </c>
      <c r="X685" s="658" t="e">
        <f>+VLOOKUP($L685,Data_Validation!$A:$F,6,0)</f>
        <v>#N/A</v>
      </c>
    </row>
    <row r="686" spans="1:24" ht="15.75" customHeight="1">
      <c r="A686" s="716"/>
      <c r="B686" s="716"/>
      <c r="C686" s="717"/>
      <c r="D686" s="717"/>
      <c r="E686" s="717"/>
      <c r="F686" s="716"/>
      <c r="G686" s="716"/>
      <c r="H686" s="716"/>
      <c r="I686" s="718"/>
      <c r="J686" s="718"/>
      <c r="K686" s="718"/>
      <c r="L686" s="655" t="str">
        <f t="shared" si="654"/>
        <v>0</v>
      </c>
      <c r="M686" s="656">
        <f t="shared" si="520"/>
        <v>0</v>
      </c>
      <c r="N686" s="657">
        <f>+IF(OR($Q686=Parametres!$G$2,$Q686=Parametres!$G$3),I686,C686)</f>
        <v>0</v>
      </c>
      <c r="O686" s="657">
        <f>+IF(OR($Q686=Parametres!$G$2,$Q686=Parametres!$G$3),J686,D686)</f>
        <v>0</v>
      </c>
      <c r="P686" s="657">
        <f>+IF(OR($Q686=Parametres!$G$2,$Q686=Parametres!$G$3),K686,E686)</f>
        <v>0</v>
      </c>
      <c r="Q686" s="656">
        <f t="shared" ref="Q686:S686" si="698">+F686</f>
        <v>0</v>
      </c>
      <c r="R686" s="655">
        <f t="shared" si="698"/>
        <v>0</v>
      </c>
      <c r="S686" s="656">
        <f t="shared" si="698"/>
        <v>0</v>
      </c>
      <c r="T686" s="658" t="e">
        <f>+VLOOKUP($L686,Data_Validation!$A:$D,1,0)</f>
        <v>#N/A</v>
      </c>
      <c r="U686" s="658" t="e">
        <f>+VLOOKUP($L686,Data_Validation!$A:$D,3,0)</f>
        <v>#N/A</v>
      </c>
      <c r="V686" s="658" t="e">
        <f>+VLOOKUP($L686,Data_Validation!$A:$D,4,0)</f>
        <v>#N/A</v>
      </c>
      <c r="W686" s="658" t="e">
        <f>+VLOOKUP($L686,Data_Validation!$A:$E,5,0)</f>
        <v>#N/A</v>
      </c>
      <c r="X686" s="658" t="e">
        <f>+VLOOKUP($L686,Data_Validation!$A:$F,6,0)</f>
        <v>#N/A</v>
      </c>
    </row>
    <row r="687" spans="1:24" ht="15.75" customHeight="1">
      <c r="A687" s="716"/>
      <c r="B687" s="716"/>
      <c r="C687" s="717"/>
      <c r="D687" s="717"/>
      <c r="E687" s="717"/>
      <c r="F687" s="716"/>
      <c r="G687" s="716"/>
      <c r="H687" s="716"/>
      <c r="I687" s="718"/>
      <c r="J687" s="718"/>
      <c r="K687" s="718"/>
      <c r="L687" s="655" t="str">
        <f t="shared" si="654"/>
        <v>0</v>
      </c>
      <c r="M687" s="656">
        <f t="shared" si="520"/>
        <v>0</v>
      </c>
      <c r="N687" s="657">
        <f>+IF(OR($Q687=Parametres!$G$2,$Q687=Parametres!$G$3),I687,C687)</f>
        <v>0</v>
      </c>
      <c r="O687" s="657">
        <f>+IF(OR($Q687=Parametres!$G$2,$Q687=Parametres!$G$3),J687,D687)</f>
        <v>0</v>
      </c>
      <c r="P687" s="657">
        <f>+IF(OR($Q687=Parametres!$G$2,$Q687=Parametres!$G$3),K687,E687)</f>
        <v>0</v>
      </c>
      <c r="Q687" s="656">
        <f t="shared" ref="Q687:S687" si="699">+F687</f>
        <v>0</v>
      </c>
      <c r="R687" s="655">
        <f t="shared" si="699"/>
        <v>0</v>
      </c>
      <c r="S687" s="656">
        <f t="shared" si="699"/>
        <v>0</v>
      </c>
      <c r="T687" s="658" t="e">
        <f>+VLOOKUP($L687,Data_Validation!$A:$D,1,0)</f>
        <v>#N/A</v>
      </c>
      <c r="U687" s="658" t="e">
        <f>+VLOOKUP($L687,Data_Validation!$A:$D,3,0)</f>
        <v>#N/A</v>
      </c>
      <c r="V687" s="658" t="e">
        <f>+VLOOKUP($L687,Data_Validation!$A:$D,4,0)</f>
        <v>#N/A</v>
      </c>
      <c r="W687" s="658" t="e">
        <f>+VLOOKUP($L687,Data_Validation!$A:$E,5,0)</f>
        <v>#N/A</v>
      </c>
      <c r="X687" s="658" t="e">
        <f>+VLOOKUP($L687,Data_Validation!$A:$F,6,0)</f>
        <v>#N/A</v>
      </c>
    </row>
    <row r="688" spans="1:24" ht="15.75" customHeight="1">
      <c r="A688" s="716"/>
      <c r="B688" s="716"/>
      <c r="C688" s="717"/>
      <c r="D688" s="717"/>
      <c r="E688" s="717"/>
      <c r="F688" s="716"/>
      <c r="G688" s="716"/>
      <c r="H688" s="716"/>
      <c r="I688" s="718"/>
      <c r="J688" s="718"/>
      <c r="K688" s="718"/>
      <c r="L688" s="655" t="str">
        <f t="shared" si="654"/>
        <v>0</v>
      </c>
      <c r="M688" s="656">
        <f t="shared" si="520"/>
        <v>0</v>
      </c>
      <c r="N688" s="657">
        <f>+IF(OR($Q688=Parametres!$G$2,$Q688=Parametres!$G$3),I688,C688)</f>
        <v>0</v>
      </c>
      <c r="O688" s="657">
        <f>+IF(OR($Q688=Parametres!$G$2,$Q688=Parametres!$G$3),J688,D688)</f>
        <v>0</v>
      </c>
      <c r="P688" s="657">
        <f>+IF(OR($Q688=Parametres!$G$2,$Q688=Parametres!$G$3),K688,E688)</f>
        <v>0</v>
      </c>
      <c r="Q688" s="656">
        <f t="shared" ref="Q688:S688" si="700">+F688</f>
        <v>0</v>
      </c>
      <c r="R688" s="655">
        <f t="shared" si="700"/>
        <v>0</v>
      </c>
      <c r="S688" s="656">
        <f t="shared" si="700"/>
        <v>0</v>
      </c>
      <c r="T688" s="658" t="e">
        <f>+VLOOKUP($L688,Data_Validation!$A:$D,1,0)</f>
        <v>#N/A</v>
      </c>
      <c r="U688" s="658" t="e">
        <f>+VLOOKUP($L688,Data_Validation!$A:$D,3,0)</f>
        <v>#N/A</v>
      </c>
      <c r="V688" s="658" t="e">
        <f>+VLOOKUP($L688,Data_Validation!$A:$D,4,0)</f>
        <v>#N/A</v>
      </c>
      <c r="W688" s="658" t="e">
        <f>+VLOOKUP($L688,Data_Validation!$A:$E,5,0)</f>
        <v>#N/A</v>
      </c>
      <c r="X688" s="658" t="e">
        <f>+VLOOKUP($L688,Data_Validation!$A:$F,6,0)</f>
        <v>#N/A</v>
      </c>
    </row>
    <row r="689" spans="1:24" ht="15.75" customHeight="1">
      <c r="A689" s="716"/>
      <c r="B689" s="716"/>
      <c r="C689" s="717"/>
      <c r="D689" s="717"/>
      <c r="E689" s="717"/>
      <c r="F689" s="716"/>
      <c r="G689" s="716"/>
      <c r="H689" s="716"/>
      <c r="I689" s="718"/>
      <c r="J689" s="718"/>
      <c r="K689" s="718"/>
      <c r="L689" s="655" t="str">
        <f t="shared" si="654"/>
        <v>0</v>
      </c>
      <c r="M689" s="656">
        <f t="shared" si="520"/>
        <v>0</v>
      </c>
      <c r="N689" s="657">
        <f>+IF(OR($Q689=Parametres!$G$2,$Q689=Parametres!$G$3),I689,C689)</f>
        <v>0</v>
      </c>
      <c r="O689" s="657">
        <f>+IF(OR($Q689=Parametres!$G$2,$Q689=Parametres!$G$3),J689,D689)</f>
        <v>0</v>
      </c>
      <c r="P689" s="657">
        <f>+IF(OR($Q689=Parametres!$G$2,$Q689=Parametres!$G$3),K689,E689)</f>
        <v>0</v>
      </c>
      <c r="Q689" s="656">
        <f t="shared" ref="Q689:S689" si="701">+F689</f>
        <v>0</v>
      </c>
      <c r="R689" s="655">
        <f t="shared" si="701"/>
        <v>0</v>
      </c>
      <c r="S689" s="656">
        <f t="shared" si="701"/>
        <v>0</v>
      </c>
      <c r="T689" s="658" t="e">
        <f>+VLOOKUP($L689,Data_Validation!$A:$D,1,0)</f>
        <v>#N/A</v>
      </c>
      <c r="U689" s="658" t="e">
        <f>+VLOOKUP($L689,Data_Validation!$A:$D,3,0)</f>
        <v>#N/A</v>
      </c>
      <c r="V689" s="658" t="e">
        <f>+VLOOKUP($L689,Data_Validation!$A:$D,4,0)</f>
        <v>#N/A</v>
      </c>
      <c r="W689" s="658" t="e">
        <f>+VLOOKUP($L689,Data_Validation!$A:$E,5,0)</f>
        <v>#N/A</v>
      </c>
      <c r="X689" s="658" t="e">
        <f>+VLOOKUP($L689,Data_Validation!$A:$F,6,0)</f>
        <v>#N/A</v>
      </c>
    </row>
    <row r="690" spans="1:24" ht="15.75" customHeight="1">
      <c r="A690" s="716"/>
      <c r="B690" s="716"/>
      <c r="C690" s="717"/>
      <c r="D690" s="717"/>
      <c r="E690" s="717"/>
      <c r="F690" s="716"/>
      <c r="G690" s="716"/>
      <c r="H690" s="716"/>
      <c r="I690" s="718"/>
      <c r="J690" s="718"/>
      <c r="K690" s="718"/>
      <c r="L690" s="655" t="str">
        <f t="shared" si="654"/>
        <v>0</v>
      </c>
      <c r="M690" s="656">
        <f t="shared" si="520"/>
        <v>0</v>
      </c>
      <c r="N690" s="657">
        <f>+IF(OR($Q690=Parametres!$G$2,$Q690=Parametres!$G$3),I690,C690)</f>
        <v>0</v>
      </c>
      <c r="O690" s="657">
        <f>+IF(OR($Q690=Parametres!$G$2,$Q690=Parametres!$G$3),J690,D690)</f>
        <v>0</v>
      </c>
      <c r="P690" s="657">
        <f>+IF(OR($Q690=Parametres!$G$2,$Q690=Parametres!$G$3),K690,E690)</f>
        <v>0</v>
      </c>
      <c r="Q690" s="656">
        <f t="shared" ref="Q690:S690" si="702">+F690</f>
        <v>0</v>
      </c>
      <c r="R690" s="655">
        <f t="shared" si="702"/>
        <v>0</v>
      </c>
      <c r="S690" s="656">
        <f t="shared" si="702"/>
        <v>0</v>
      </c>
      <c r="T690" s="658" t="e">
        <f>+VLOOKUP($L690,Data_Validation!$A:$D,1,0)</f>
        <v>#N/A</v>
      </c>
      <c r="U690" s="658" t="e">
        <f>+VLOOKUP($L690,Data_Validation!$A:$D,3,0)</f>
        <v>#N/A</v>
      </c>
      <c r="V690" s="658" t="e">
        <f>+VLOOKUP($L690,Data_Validation!$A:$D,4,0)</f>
        <v>#N/A</v>
      </c>
      <c r="W690" s="658" t="e">
        <f>+VLOOKUP($L690,Data_Validation!$A:$E,5,0)</f>
        <v>#N/A</v>
      </c>
      <c r="X690" s="658" t="e">
        <f>+VLOOKUP($L690,Data_Validation!$A:$F,6,0)</f>
        <v>#N/A</v>
      </c>
    </row>
    <row r="691" spans="1:24" ht="15.75" customHeight="1">
      <c r="A691" s="716"/>
      <c r="B691" s="716"/>
      <c r="C691" s="717"/>
      <c r="D691" s="717"/>
      <c r="E691" s="717"/>
      <c r="F691" s="716"/>
      <c r="G691" s="716"/>
      <c r="H691" s="716"/>
      <c r="I691" s="718"/>
      <c r="J691" s="718"/>
      <c r="K691" s="718"/>
      <c r="L691" s="655" t="str">
        <f t="shared" si="654"/>
        <v>0</v>
      </c>
      <c r="M691" s="656">
        <f t="shared" si="520"/>
        <v>0</v>
      </c>
      <c r="N691" s="657">
        <f>+IF(OR($Q691=Parametres!$G$2,$Q691=Parametres!$G$3),I691,C691)</f>
        <v>0</v>
      </c>
      <c r="O691" s="657">
        <f>+IF(OR($Q691=Parametres!$G$2,$Q691=Parametres!$G$3),J691,D691)</f>
        <v>0</v>
      </c>
      <c r="P691" s="657">
        <f>+IF(OR($Q691=Parametres!$G$2,$Q691=Parametres!$G$3),K691,E691)</f>
        <v>0</v>
      </c>
      <c r="Q691" s="656">
        <f t="shared" ref="Q691:S691" si="703">+F691</f>
        <v>0</v>
      </c>
      <c r="R691" s="655">
        <f t="shared" si="703"/>
        <v>0</v>
      </c>
      <c r="S691" s="656">
        <f t="shared" si="703"/>
        <v>0</v>
      </c>
      <c r="T691" s="658" t="e">
        <f>+VLOOKUP($L691,Data_Validation!$A:$D,1,0)</f>
        <v>#N/A</v>
      </c>
      <c r="U691" s="658" t="e">
        <f>+VLOOKUP($L691,Data_Validation!$A:$D,3,0)</f>
        <v>#N/A</v>
      </c>
      <c r="V691" s="658" t="e">
        <f>+VLOOKUP($L691,Data_Validation!$A:$D,4,0)</f>
        <v>#N/A</v>
      </c>
      <c r="W691" s="658" t="e">
        <f>+VLOOKUP($L691,Data_Validation!$A:$E,5,0)</f>
        <v>#N/A</v>
      </c>
      <c r="X691" s="658" t="e">
        <f>+VLOOKUP($L691,Data_Validation!$A:$F,6,0)</f>
        <v>#N/A</v>
      </c>
    </row>
    <row r="692" spans="1:24" ht="15.75" customHeight="1">
      <c r="A692" s="716"/>
      <c r="B692" s="716"/>
      <c r="C692" s="717"/>
      <c r="D692" s="717"/>
      <c r="E692" s="717"/>
      <c r="F692" s="716"/>
      <c r="G692" s="716"/>
      <c r="H692" s="716"/>
      <c r="I692" s="718"/>
      <c r="J692" s="718"/>
      <c r="K692" s="718"/>
      <c r="L692" s="655" t="str">
        <f t="shared" si="654"/>
        <v>0</v>
      </c>
      <c r="M692" s="656">
        <f t="shared" si="520"/>
        <v>0</v>
      </c>
      <c r="N692" s="657">
        <f>+IF(OR($Q692=Parametres!$G$2,$Q692=Parametres!$G$3),I692,C692)</f>
        <v>0</v>
      </c>
      <c r="O692" s="657">
        <f>+IF(OR($Q692=Parametres!$G$2,$Q692=Parametres!$G$3),J692,D692)</f>
        <v>0</v>
      </c>
      <c r="P692" s="657">
        <f>+IF(OR($Q692=Parametres!$G$2,$Q692=Parametres!$G$3),K692,E692)</f>
        <v>0</v>
      </c>
      <c r="Q692" s="656">
        <f t="shared" ref="Q692:S692" si="704">+F692</f>
        <v>0</v>
      </c>
      <c r="R692" s="655">
        <f t="shared" si="704"/>
        <v>0</v>
      </c>
      <c r="S692" s="656">
        <f t="shared" si="704"/>
        <v>0</v>
      </c>
      <c r="T692" s="658" t="e">
        <f>+VLOOKUP($L692,Data_Validation!$A:$D,1,0)</f>
        <v>#N/A</v>
      </c>
      <c r="U692" s="658" t="e">
        <f>+VLOOKUP($L692,Data_Validation!$A:$D,3,0)</f>
        <v>#N/A</v>
      </c>
      <c r="V692" s="658" t="e">
        <f>+VLOOKUP($L692,Data_Validation!$A:$D,4,0)</f>
        <v>#N/A</v>
      </c>
      <c r="W692" s="658" t="e">
        <f>+VLOOKUP($L692,Data_Validation!$A:$E,5,0)</f>
        <v>#N/A</v>
      </c>
      <c r="X692" s="658" t="e">
        <f>+VLOOKUP($L692,Data_Validation!$A:$F,6,0)</f>
        <v>#N/A</v>
      </c>
    </row>
    <row r="693" spans="1:24" ht="15.75" customHeight="1">
      <c r="A693" s="716"/>
      <c r="B693" s="716"/>
      <c r="C693" s="717"/>
      <c r="D693" s="717"/>
      <c r="E693" s="717"/>
      <c r="F693" s="716"/>
      <c r="G693" s="716"/>
      <c r="H693" s="716"/>
      <c r="I693" s="718"/>
      <c r="J693" s="718"/>
      <c r="K693" s="718"/>
      <c r="L693" s="655" t="str">
        <f t="shared" si="654"/>
        <v>0</v>
      </c>
      <c r="M693" s="656">
        <f t="shared" si="520"/>
        <v>0</v>
      </c>
      <c r="N693" s="657">
        <f>+IF(OR($Q693=Parametres!$G$2,$Q693=Parametres!$G$3),I693,C693)</f>
        <v>0</v>
      </c>
      <c r="O693" s="657">
        <f>+IF(OR($Q693=Parametres!$G$2,$Q693=Parametres!$G$3),J693,D693)</f>
        <v>0</v>
      </c>
      <c r="P693" s="657">
        <f>+IF(OR($Q693=Parametres!$G$2,$Q693=Parametres!$G$3),K693,E693)</f>
        <v>0</v>
      </c>
      <c r="Q693" s="656">
        <f t="shared" ref="Q693:S693" si="705">+F693</f>
        <v>0</v>
      </c>
      <c r="R693" s="655">
        <f t="shared" si="705"/>
        <v>0</v>
      </c>
      <c r="S693" s="656">
        <f t="shared" si="705"/>
        <v>0</v>
      </c>
      <c r="T693" s="658" t="e">
        <f>+VLOOKUP($L693,Data_Validation!$A:$D,1,0)</f>
        <v>#N/A</v>
      </c>
      <c r="U693" s="658" t="e">
        <f>+VLOOKUP($L693,Data_Validation!$A:$D,3,0)</f>
        <v>#N/A</v>
      </c>
      <c r="V693" s="658" t="e">
        <f>+VLOOKUP($L693,Data_Validation!$A:$D,4,0)</f>
        <v>#N/A</v>
      </c>
      <c r="W693" s="658" t="e">
        <f>+VLOOKUP($L693,Data_Validation!$A:$E,5,0)</f>
        <v>#N/A</v>
      </c>
      <c r="X693" s="658" t="e">
        <f>+VLOOKUP($L693,Data_Validation!$A:$F,6,0)</f>
        <v>#N/A</v>
      </c>
    </row>
    <row r="694" spans="1:24" ht="15.75" customHeight="1">
      <c r="A694" s="716"/>
      <c r="B694" s="716"/>
      <c r="C694" s="717"/>
      <c r="D694" s="717"/>
      <c r="E694" s="717"/>
      <c r="F694" s="716"/>
      <c r="G694" s="716"/>
      <c r="H694" s="716"/>
      <c r="I694" s="718"/>
      <c r="J694" s="718"/>
      <c r="K694" s="718"/>
      <c r="L694" s="655" t="str">
        <f t="shared" si="654"/>
        <v>0</v>
      </c>
      <c r="M694" s="656">
        <f t="shared" si="520"/>
        <v>0</v>
      </c>
      <c r="N694" s="657">
        <f>+IF(OR($Q694=Parametres!$G$2,$Q694=Parametres!$G$3),I694,C694)</f>
        <v>0</v>
      </c>
      <c r="O694" s="657">
        <f>+IF(OR($Q694=Parametres!$G$2,$Q694=Parametres!$G$3),J694,D694)</f>
        <v>0</v>
      </c>
      <c r="P694" s="657">
        <f>+IF(OR($Q694=Parametres!$G$2,$Q694=Parametres!$G$3),K694,E694)</f>
        <v>0</v>
      </c>
      <c r="Q694" s="656">
        <f t="shared" ref="Q694:S694" si="706">+F694</f>
        <v>0</v>
      </c>
      <c r="R694" s="655">
        <f t="shared" si="706"/>
        <v>0</v>
      </c>
      <c r="S694" s="656">
        <f t="shared" si="706"/>
        <v>0</v>
      </c>
      <c r="T694" s="658" t="e">
        <f>+VLOOKUP($L694,Data_Validation!$A:$D,1,0)</f>
        <v>#N/A</v>
      </c>
      <c r="U694" s="658" t="e">
        <f>+VLOOKUP($L694,Data_Validation!$A:$D,3,0)</f>
        <v>#N/A</v>
      </c>
      <c r="V694" s="658" t="e">
        <f>+VLOOKUP($L694,Data_Validation!$A:$D,4,0)</f>
        <v>#N/A</v>
      </c>
      <c r="W694" s="658" t="e">
        <f>+VLOOKUP($L694,Data_Validation!$A:$E,5,0)</f>
        <v>#N/A</v>
      </c>
      <c r="X694" s="658" t="e">
        <f>+VLOOKUP($L694,Data_Validation!$A:$F,6,0)</f>
        <v>#N/A</v>
      </c>
    </row>
    <row r="695" spans="1:24" ht="15.75" customHeight="1">
      <c r="A695" s="716"/>
      <c r="B695" s="716"/>
      <c r="C695" s="717"/>
      <c r="D695" s="717"/>
      <c r="E695" s="717"/>
      <c r="F695" s="716"/>
      <c r="G695" s="716"/>
      <c r="H695" s="716"/>
      <c r="I695" s="718"/>
      <c r="J695" s="718"/>
      <c r="K695" s="718"/>
      <c r="L695" s="655" t="str">
        <f t="shared" si="654"/>
        <v>0</v>
      </c>
      <c r="M695" s="656">
        <f t="shared" si="520"/>
        <v>0</v>
      </c>
      <c r="N695" s="657">
        <f>+IF(OR($Q695=Parametres!$G$2,$Q695=Parametres!$G$3),I695,C695)</f>
        <v>0</v>
      </c>
      <c r="O695" s="657">
        <f>+IF(OR($Q695=Parametres!$G$2,$Q695=Parametres!$G$3),J695,D695)</f>
        <v>0</v>
      </c>
      <c r="P695" s="657">
        <f>+IF(OR($Q695=Parametres!$G$2,$Q695=Parametres!$G$3),K695,E695)</f>
        <v>0</v>
      </c>
      <c r="Q695" s="656">
        <f t="shared" ref="Q695:S695" si="707">+F695</f>
        <v>0</v>
      </c>
      <c r="R695" s="655">
        <f t="shared" si="707"/>
        <v>0</v>
      </c>
      <c r="S695" s="656">
        <f t="shared" si="707"/>
        <v>0</v>
      </c>
      <c r="T695" s="658" t="e">
        <f>+VLOOKUP($L695,Data_Validation!$A:$D,1,0)</f>
        <v>#N/A</v>
      </c>
      <c r="U695" s="658" t="e">
        <f>+VLOOKUP($L695,Data_Validation!$A:$D,3,0)</f>
        <v>#N/A</v>
      </c>
      <c r="V695" s="658" t="e">
        <f>+VLOOKUP($L695,Data_Validation!$A:$D,4,0)</f>
        <v>#N/A</v>
      </c>
      <c r="W695" s="658" t="e">
        <f>+VLOOKUP($L695,Data_Validation!$A:$E,5,0)</f>
        <v>#N/A</v>
      </c>
      <c r="X695" s="658" t="e">
        <f>+VLOOKUP($L695,Data_Validation!$A:$F,6,0)</f>
        <v>#N/A</v>
      </c>
    </row>
    <row r="696" spans="1:24" ht="15.75" customHeight="1">
      <c r="A696" s="716"/>
      <c r="B696" s="716"/>
      <c r="C696" s="717"/>
      <c r="D696" s="717"/>
      <c r="E696" s="717"/>
      <c r="F696" s="716"/>
      <c r="G696" s="716"/>
      <c r="H696" s="716"/>
      <c r="I696" s="718"/>
      <c r="J696" s="718"/>
      <c r="K696" s="718"/>
      <c r="L696" s="655" t="str">
        <f t="shared" si="654"/>
        <v>0</v>
      </c>
      <c r="M696" s="656">
        <f t="shared" si="520"/>
        <v>0</v>
      </c>
      <c r="N696" s="657">
        <f>+IF(OR($Q696=Parametres!$G$2,$Q696=Parametres!$G$3),I696,C696)</f>
        <v>0</v>
      </c>
      <c r="O696" s="657">
        <f>+IF(OR($Q696=Parametres!$G$2,$Q696=Parametres!$G$3),J696,D696)</f>
        <v>0</v>
      </c>
      <c r="P696" s="657">
        <f>+IF(OR($Q696=Parametres!$G$2,$Q696=Parametres!$G$3),K696,E696)</f>
        <v>0</v>
      </c>
      <c r="Q696" s="656">
        <f t="shared" ref="Q696:S696" si="708">+F696</f>
        <v>0</v>
      </c>
      <c r="R696" s="655">
        <f t="shared" si="708"/>
        <v>0</v>
      </c>
      <c r="S696" s="656">
        <f t="shared" si="708"/>
        <v>0</v>
      </c>
      <c r="T696" s="658" t="e">
        <f>+VLOOKUP($L696,Data_Validation!$A:$D,1,0)</f>
        <v>#N/A</v>
      </c>
      <c r="U696" s="658" t="e">
        <f>+VLOOKUP($L696,Data_Validation!$A:$D,3,0)</f>
        <v>#N/A</v>
      </c>
      <c r="V696" s="658" t="e">
        <f>+VLOOKUP($L696,Data_Validation!$A:$D,4,0)</f>
        <v>#N/A</v>
      </c>
      <c r="W696" s="658" t="e">
        <f>+VLOOKUP($L696,Data_Validation!$A:$E,5,0)</f>
        <v>#N/A</v>
      </c>
      <c r="X696" s="658" t="e">
        <f>+VLOOKUP($L696,Data_Validation!$A:$F,6,0)</f>
        <v>#N/A</v>
      </c>
    </row>
    <row r="697" spans="1:24" ht="15.75" customHeight="1">
      <c r="A697" s="718"/>
      <c r="B697" s="656"/>
      <c r="C697" s="719"/>
      <c r="D697" s="718"/>
      <c r="E697" s="718"/>
      <c r="F697" s="718"/>
      <c r="G697" s="718"/>
      <c r="H697" s="718"/>
      <c r="I697" s="718"/>
      <c r="J697" s="718"/>
      <c r="K697" s="718"/>
      <c r="L697" s="655" t="str">
        <f t="shared" si="654"/>
        <v>0</v>
      </c>
      <c r="M697" s="656">
        <f t="shared" si="520"/>
        <v>0</v>
      </c>
      <c r="N697" s="657">
        <f>+IF(OR($Q697=Parametres!$G$2,$Q697=Parametres!$G$3),I697,C697)</f>
        <v>0</v>
      </c>
      <c r="O697" s="657">
        <f>+IF(OR($Q697=Parametres!$G$2,$Q697=Parametres!$G$3),J697,D697)</f>
        <v>0</v>
      </c>
      <c r="P697" s="657">
        <f>+IF(OR($Q697=Parametres!$G$2,$Q697=Parametres!$G$3),K697,E697)</f>
        <v>0</v>
      </c>
      <c r="Q697" s="656">
        <f t="shared" ref="Q697:S697" si="709">+F697</f>
        <v>0</v>
      </c>
      <c r="R697" s="655">
        <f t="shared" si="709"/>
        <v>0</v>
      </c>
      <c r="S697" s="656">
        <f t="shared" si="709"/>
        <v>0</v>
      </c>
      <c r="T697" s="658" t="e">
        <f>+VLOOKUP($L697,Data_Validation!$A:$D,1,0)</f>
        <v>#N/A</v>
      </c>
      <c r="U697" s="658" t="e">
        <f>+VLOOKUP($L697,Data_Validation!$A:$D,3,0)</f>
        <v>#N/A</v>
      </c>
      <c r="V697" s="658" t="e">
        <f>+VLOOKUP($L697,Data_Validation!$A:$D,4,0)</f>
        <v>#N/A</v>
      </c>
      <c r="W697" s="658" t="e">
        <f>+VLOOKUP($L697,Data_Validation!$A:$E,5,0)</f>
        <v>#N/A</v>
      </c>
    </row>
    <row r="698" spans="1:24" ht="15.75" customHeight="1">
      <c r="A698" s="718"/>
      <c r="B698" s="656"/>
      <c r="C698" s="719"/>
      <c r="D698" s="718"/>
      <c r="E698" s="718"/>
      <c r="F698" s="718"/>
      <c r="G698" s="718"/>
      <c r="H698" s="718"/>
      <c r="I698" s="718"/>
      <c r="J698" s="718"/>
      <c r="K698" s="718"/>
      <c r="L698" s="655" t="str">
        <f t="shared" si="654"/>
        <v>0</v>
      </c>
      <c r="M698" s="656">
        <f t="shared" si="520"/>
        <v>0</v>
      </c>
      <c r="N698" s="657">
        <f>+IF(OR($Q698=Parametres!$G$2,$Q698=Parametres!$G$3),I698,C698)</f>
        <v>0</v>
      </c>
      <c r="O698" s="657">
        <f>+IF(OR($Q698=Parametres!$G$2,$Q698=Parametres!$G$3),J698,D698)</f>
        <v>0</v>
      </c>
      <c r="P698" s="657">
        <f>+IF(OR($Q698=Parametres!$G$2,$Q698=Parametres!$G$3),K698,E698)</f>
        <v>0</v>
      </c>
      <c r="Q698" s="656">
        <f t="shared" ref="Q698:S698" si="710">+F698</f>
        <v>0</v>
      </c>
      <c r="R698" s="655">
        <f t="shared" si="710"/>
        <v>0</v>
      </c>
      <c r="S698" s="656">
        <f t="shared" si="710"/>
        <v>0</v>
      </c>
      <c r="T698" s="658" t="e">
        <f>+VLOOKUP($L698,Data_Validation!$A:$D,1,0)</f>
        <v>#N/A</v>
      </c>
      <c r="U698" s="658" t="e">
        <f>+VLOOKUP($L698,Data_Validation!$A:$D,3,0)</f>
        <v>#N/A</v>
      </c>
      <c r="V698" s="658" t="e">
        <f>+VLOOKUP($L698,Data_Validation!$A:$D,4,0)</f>
        <v>#N/A</v>
      </c>
      <c r="W698" s="658" t="e">
        <f>+VLOOKUP($L698,Data_Validation!$A:$E,5,0)</f>
        <v>#N/A</v>
      </c>
    </row>
    <row r="699" spans="1:24" ht="15.75" customHeight="1">
      <c r="A699" s="718"/>
      <c r="B699" s="656"/>
      <c r="C699" s="719"/>
      <c r="D699" s="718"/>
      <c r="E699" s="718"/>
      <c r="F699" s="718"/>
      <c r="G699" s="718"/>
      <c r="H699" s="718"/>
      <c r="I699" s="718"/>
      <c r="J699" s="718"/>
      <c r="K699" s="718"/>
      <c r="L699" s="655" t="str">
        <f t="shared" si="654"/>
        <v>0</v>
      </c>
      <c r="M699" s="656">
        <f t="shared" si="520"/>
        <v>0</v>
      </c>
      <c r="N699" s="657">
        <f>+IF(OR($Q699=Parametres!$G$2,$Q699=Parametres!$G$3),I699,C699)</f>
        <v>0</v>
      </c>
      <c r="O699" s="657">
        <f>+IF(OR($Q699=Parametres!$G$2,$Q699=Parametres!$G$3),J699,D699)</f>
        <v>0</v>
      </c>
      <c r="P699" s="657">
        <f>+IF(OR($Q699=Parametres!$G$2,$Q699=Parametres!$G$3),K699,E699)</f>
        <v>0</v>
      </c>
      <c r="Q699" s="656">
        <f t="shared" ref="Q699:S699" si="711">+F699</f>
        <v>0</v>
      </c>
      <c r="R699" s="655">
        <f t="shared" si="711"/>
        <v>0</v>
      </c>
      <c r="S699" s="656">
        <f t="shared" si="711"/>
        <v>0</v>
      </c>
      <c r="T699" s="658" t="e">
        <f>+VLOOKUP($L699,Data_Validation!$A:$D,1,0)</f>
        <v>#N/A</v>
      </c>
      <c r="U699" s="658" t="e">
        <f>+VLOOKUP($L699,Data_Validation!$A:$D,3,0)</f>
        <v>#N/A</v>
      </c>
      <c r="V699" s="658" t="e">
        <f>+VLOOKUP($L699,Data_Validation!$A:$D,4,0)</f>
        <v>#N/A</v>
      </c>
      <c r="W699" s="658" t="e">
        <f>+VLOOKUP($L699,Data_Validation!$A:$E,5,0)</f>
        <v>#N/A</v>
      </c>
    </row>
    <row r="700" spans="1:24" ht="15.75" customHeight="1">
      <c r="A700" s="718"/>
      <c r="B700" s="656"/>
      <c r="C700" s="719"/>
      <c r="D700" s="718"/>
      <c r="E700" s="718"/>
      <c r="F700" s="718"/>
      <c r="G700" s="718"/>
      <c r="H700" s="718"/>
      <c r="I700" s="718"/>
      <c r="J700" s="718"/>
      <c r="K700" s="718"/>
      <c r="L700" s="655" t="str">
        <f t="shared" si="654"/>
        <v>0</v>
      </c>
      <c r="M700" s="656">
        <f t="shared" si="520"/>
        <v>0</v>
      </c>
      <c r="N700" s="657">
        <f>+IF(OR($Q700=Parametres!$G$2,$Q700=Parametres!$G$3),I700,C700)</f>
        <v>0</v>
      </c>
      <c r="O700" s="657">
        <f>+IF(OR($Q700=Parametres!$G$2,$Q700=Parametres!$G$3),J700,D700)</f>
        <v>0</v>
      </c>
      <c r="P700" s="657">
        <f>+IF(OR($Q700=Parametres!$G$2,$Q700=Parametres!$G$3),K700,E700)</f>
        <v>0</v>
      </c>
      <c r="Q700" s="656">
        <f t="shared" ref="Q700:S700" si="712">+F700</f>
        <v>0</v>
      </c>
      <c r="R700" s="655">
        <f t="shared" si="712"/>
        <v>0</v>
      </c>
      <c r="S700" s="656">
        <f t="shared" si="712"/>
        <v>0</v>
      </c>
      <c r="T700" s="658" t="e">
        <f>+VLOOKUP($L700,Data_Validation!$A:$D,1,0)</f>
        <v>#N/A</v>
      </c>
      <c r="U700" s="658" t="e">
        <f>+VLOOKUP($L700,Data_Validation!$A:$D,3,0)</f>
        <v>#N/A</v>
      </c>
      <c r="V700" s="658" t="e">
        <f>+VLOOKUP($L700,Data_Validation!$A:$D,4,0)</f>
        <v>#N/A</v>
      </c>
      <c r="W700" s="658" t="e">
        <f>+VLOOKUP($L700,Data_Validation!$A:$E,5,0)</f>
        <v>#N/A</v>
      </c>
    </row>
    <row r="701" spans="1:24" ht="15.75" customHeight="1">
      <c r="A701" s="718"/>
      <c r="B701" s="656"/>
      <c r="C701" s="719"/>
      <c r="D701" s="718"/>
      <c r="E701" s="718"/>
      <c r="F701" s="718"/>
      <c r="G701" s="718"/>
      <c r="H701" s="718"/>
      <c r="I701" s="718"/>
      <c r="J701" s="718"/>
      <c r="K701" s="718"/>
      <c r="L701" s="655" t="str">
        <f t="shared" si="654"/>
        <v>0</v>
      </c>
      <c r="M701" s="656">
        <f t="shared" si="520"/>
        <v>0</v>
      </c>
      <c r="N701" s="657">
        <f>+IF(OR($Q701=Parametres!$G$2,$Q701=Parametres!$G$3),I701,C701)</f>
        <v>0</v>
      </c>
      <c r="O701" s="657">
        <f>+IF(OR($Q701=Parametres!$G$2,$Q701=Parametres!$G$3),J701,D701)</f>
        <v>0</v>
      </c>
      <c r="P701" s="657">
        <f>+IF(OR($Q701=Parametres!$G$2,$Q701=Parametres!$G$3),K701,E701)</f>
        <v>0</v>
      </c>
      <c r="Q701" s="656">
        <f t="shared" ref="Q701:S701" si="713">+F701</f>
        <v>0</v>
      </c>
      <c r="R701" s="655">
        <f t="shared" si="713"/>
        <v>0</v>
      </c>
      <c r="S701" s="656">
        <f t="shared" si="713"/>
        <v>0</v>
      </c>
      <c r="T701" s="658" t="e">
        <f>+VLOOKUP($L701,Data_Validation!$A:$D,1,0)</f>
        <v>#N/A</v>
      </c>
      <c r="U701" s="658" t="e">
        <f>+VLOOKUP($L701,Data_Validation!$A:$D,3,0)</f>
        <v>#N/A</v>
      </c>
      <c r="V701" s="658" t="e">
        <f>+VLOOKUP($L701,Data_Validation!$A:$D,4,0)</f>
        <v>#N/A</v>
      </c>
      <c r="W701" s="658" t="e">
        <f>+VLOOKUP($L701,Data_Validation!$A:$E,5,0)</f>
        <v>#N/A</v>
      </c>
    </row>
    <row r="702" spans="1:24" ht="15.75" customHeight="1">
      <c r="A702" s="718"/>
      <c r="B702" s="656"/>
      <c r="C702" s="719"/>
      <c r="D702" s="718"/>
      <c r="E702" s="718"/>
      <c r="F702" s="718"/>
      <c r="G702" s="718"/>
      <c r="H702" s="718"/>
      <c r="I702" s="718"/>
      <c r="J702" s="718"/>
      <c r="K702" s="718"/>
      <c r="L702" s="655" t="str">
        <f t="shared" si="654"/>
        <v>0</v>
      </c>
      <c r="M702" s="656">
        <f t="shared" si="520"/>
        <v>0</v>
      </c>
      <c r="N702" s="657">
        <f>+IF(OR($Q702=Parametres!$G$2,$Q702=Parametres!$G$3),I702,C702)</f>
        <v>0</v>
      </c>
      <c r="O702" s="657">
        <f>+IF(OR($Q702=Parametres!$G$2,$Q702=Parametres!$G$3),J702,D702)</f>
        <v>0</v>
      </c>
      <c r="P702" s="657">
        <f>+IF(OR($Q702=Parametres!$G$2,$Q702=Parametres!$G$3),K702,E702)</f>
        <v>0</v>
      </c>
      <c r="Q702" s="656">
        <f t="shared" ref="Q702:S702" si="714">+F702</f>
        <v>0</v>
      </c>
      <c r="R702" s="655">
        <f t="shared" si="714"/>
        <v>0</v>
      </c>
      <c r="S702" s="656">
        <f t="shared" si="714"/>
        <v>0</v>
      </c>
      <c r="T702" s="658" t="e">
        <f>+VLOOKUP($L702,Data_Validation!$A:$D,1,0)</f>
        <v>#N/A</v>
      </c>
      <c r="U702" s="658" t="e">
        <f>+VLOOKUP($L702,Data_Validation!$A:$D,3,0)</f>
        <v>#N/A</v>
      </c>
      <c r="V702" s="658" t="e">
        <f>+VLOOKUP($L702,Data_Validation!$A:$D,4,0)</f>
        <v>#N/A</v>
      </c>
      <c r="W702" s="658" t="e">
        <f>+VLOOKUP($L702,Data_Validation!$A:$E,5,0)</f>
        <v>#N/A</v>
      </c>
    </row>
    <row r="703" spans="1:24" ht="15.75" customHeight="1">
      <c r="A703" s="718"/>
      <c r="B703" s="656"/>
      <c r="C703" s="719"/>
      <c r="D703" s="718"/>
      <c r="E703" s="718"/>
      <c r="F703" s="718"/>
      <c r="G703" s="718"/>
      <c r="H703" s="718"/>
      <c r="I703" s="718"/>
      <c r="J703" s="718"/>
      <c r="K703" s="718"/>
      <c r="L703" s="655" t="str">
        <f t="shared" si="654"/>
        <v>0</v>
      </c>
      <c r="M703" s="656">
        <f t="shared" si="520"/>
        <v>0</v>
      </c>
      <c r="N703" s="657">
        <f>+IF(OR($Q703=Parametres!$G$2,$Q703=Parametres!$G$3),I703,C703)</f>
        <v>0</v>
      </c>
      <c r="O703" s="657">
        <f>+IF(OR($Q703=Parametres!$G$2,$Q703=Parametres!$G$3),J703,D703)</f>
        <v>0</v>
      </c>
      <c r="P703" s="657">
        <f>+IF(OR($Q703=Parametres!$G$2,$Q703=Parametres!$G$3),K703,E703)</f>
        <v>0</v>
      </c>
      <c r="Q703" s="656">
        <f t="shared" ref="Q703:S703" si="715">+F703</f>
        <v>0</v>
      </c>
      <c r="R703" s="655">
        <f t="shared" si="715"/>
        <v>0</v>
      </c>
      <c r="S703" s="656">
        <f t="shared" si="715"/>
        <v>0</v>
      </c>
      <c r="T703" s="658" t="e">
        <f>+VLOOKUP($L703,Data_Validation!$A:$D,1,0)</f>
        <v>#N/A</v>
      </c>
      <c r="U703" s="658" t="e">
        <f>+VLOOKUP($L703,Data_Validation!$A:$D,3,0)</f>
        <v>#N/A</v>
      </c>
      <c r="V703" s="658" t="e">
        <f>+VLOOKUP($L703,Data_Validation!$A:$D,4,0)</f>
        <v>#N/A</v>
      </c>
      <c r="W703" s="658" t="e">
        <f>+VLOOKUP($L703,Data_Validation!$A:$E,5,0)</f>
        <v>#N/A</v>
      </c>
    </row>
    <row r="704" spans="1:24" ht="15.75" customHeight="1">
      <c r="A704" s="718"/>
      <c r="B704" s="656"/>
      <c r="C704" s="719"/>
      <c r="D704" s="718"/>
      <c r="E704" s="718"/>
      <c r="F704" s="718"/>
      <c r="G704" s="718"/>
      <c r="H704" s="718"/>
      <c r="I704" s="718"/>
      <c r="J704" s="718"/>
      <c r="K704" s="718"/>
      <c r="L704" s="655" t="str">
        <f t="shared" si="654"/>
        <v>0</v>
      </c>
      <c r="M704" s="656">
        <f t="shared" si="520"/>
        <v>0</v>
      </c>
      <c r="N704" s="657">
        <f>+IF(OR($Q704=Parametres!$G$2,$Q704=Parametres!$G$3),I704,C704)</f>
        <v>0</v>
      </c>
      <c r="O704" s="657">
        <f>+IF(OR($Q704=Parametres!$G$2,$Q704=Parametres!$G$3),J704,D704)</f>
        <v>0</v>
      </c>
      <c r="P704" s="657">
        <f>+IF(OR($Q704=Parametres!$G$2,$Q704=Parametres!$G$3),K704,E704)</f>
        <v>0</v>
      </c>
      <c r="Q704" s="656">
        <f t="shared" ref="Q704:S704" si="716">+F704</f>
        <v>0</v>
      </c>
      <c r="R704" s="655">
        <f t="shared" si="716"/>
        <v>0</v>
      </c>
      <c r="S704" s="656">
        <f t="shared" si="716"/>
        <v>0</v>
      </c>
      <c r="T704" s="658" t="e">
        <f>+VLOOKUP($L704,Data_Validation!$A:$D,1,0)</f>
        <v>#N/A</v>
      </c>
      <c r="U704" s="658" t="e">
        <f>+VLOOKUP($L704,Data_Validation!$A:$D,3,0)</f>
        <v>#N/A</v>
      </c>
      <c r="V704" s="658" t="e">
        <f>+VLOOKUP($L704,Data_Validation!$A:$D,4,0)</f>
        <v>#N/A</v>
      </c>
      <c r="W704" s="658" t="e">
        <f>+VLOOKUP($L704,Data_Validation!$A:$E,5,0)</f>
        <v>#N/A</v>
      </c>
    </row>
    <row r="705" spans="1:23" ht="15.75" customHeight="1">
      <c r="A705" s="718"/>
      <c r="B705" s="656"/>
      <c r="C705" s="719"/>
      <c r="D705" s="718"/>
      <c r="E705" s="718"/>
      <c r="F705" s="718"/>
      <c r="G705" s="718"/>
      <c r="H705" s="718"/>
      <c r="I705" s="718"/>
      <c r="J705" s="718"/>
      <c r="K705" s="718"/>
      <c r="L705" s="655" t="str">
        <f t="shared" si="654"/>
        <v>0</v>
      </c>
      <c r="M705" s="656">
        <f t="shared" si="520"/>
        <v>0</v>
      </c>
      <c r="N705" s="657">
        <f>+IF(OR($Q705=Parametres!$G$2,$Q705=Parametres!$G$3),I705,C705)</f>
        <v>0</v>
      </c>
      <c r="O705" s="657">
        <f>+IF(OR($Q705=Parametres!$G$2,$Q705=Parametres!$G$3),J705,D705)</f>
        <v>0</v>
      </c>
      <c r="P705" s="657">
        <f>+IF(OR($Q705=Parametres!$G$2,$Q705=Parametres!$G$3),K705,E705)</f>
        <v>0</v>
      </c>
      <c r="Q705" s="656">
        <f t="shared" ref="Q705:S705" si="717">+F705</f>
        <v>0</v>
      </c>
      <c r="R705" s="655">
        <f t="shared" si="717"/>
        <v>0</v>
      </c>
      <c r="S705" s="656">
        <f t="shared" si="717"/>
        <v>0</v>
      </c>
      <c r="T705" s="658" t="e">
        <f>+VLOOKUP($L705,Data_Validation!$A:$D,1,0)</f>
        <v>#N/A</v>
      </c>
      <c r="U705" s="658" t="e">
        <f>+VLOOKUP($L705,Data_Validation!$A:$D,3,0)</f>
        <v>#N/A</v>
      </c>
      <c r="V705" s="658" t="e">
        <f>+VLOOKUP($L705,Data_Validation!$A:$D,4,0)</f>
        <v>#N/A</v>
      </c>
      <c r="W705" s="658" t="e">
        <f>+VLOOKUP($L705,Data_Validation!$A:$E,5,0)</f>
        <v>#N/A</v>
      </c>
    </row>
    <row r="706" spans="1:23" ht="15.75" customHeight="1">
      <c r="A706" s="718"/>
      <c r="B706" s="656"/>
      <c r="C706" s="719"/>
      <c r="D706" s="718"/>
      <c r="E706" s="718"/>
      <c r="F706" s="718"/>
      <c r="G706" s="718"/>
      <c r="H706" s="718"/>
      <c r="I706" s="718"/>
      <c r="J706" s="718"/>
      <c r="K706" s="718"/>
      <c r="L706" s="655" t="str">
        <f t="shared" si="654"/>
        <v>0</v>
      </c>
      <c r="M706" s="656">
        <f t="shared" si="520"/>
        <v>0</v>
      </c>
      <c r="N706" s="657">
        <f>+IF(OR($Q706=Parametres!$G$2,$Q706=Parametres!$G$3),I706,C706)</f>
        <v>0</v>
      </c>
      <c r="O706" s="657">
        <f>+IF(OR($Q706=Parametres!$G$2,$Q706=Parametres!$G$3),J706,D706)</f>
        <v>0</v>
      </c>
      <c r="P706" s="657">
        <f>+IF(OR($Q706=Parametres!$G$2,$Q706=Parametres!$G$3),K706,E706)</f>
        <v>0</v>
      </c>
      <c r="Q706" s="656">
        <f t="shared" ref="Q706:S706" si="718">+F706</f>
        <v>0</v>
      </c>
      <c r="R706" s="655">
        <f t="shared" si="718"/>
        <v>0</v>
      </c>
      <c r="S706" s="656">
        <f t="shared" si="718"/>
        <v>0</v>
      </c>
      <c r="T706" s="658" t="e">
        <f>+VLOOKUP($L706,Data_Validation!$A:$D,1,0)</f>
        <v>#N/A</v>
      </c>
      <c r="U706" s="658" t="e">
        <f>+VLOOKUP($L706,Data_Validation!$A:$D,3,0)</f>
        <v>#N/A</v>
      </c>
      <c r="V706" s="658" t="e">
        <f>+VLOOKUP($L706,Data_Validation!$A:$D,4,0)</f>
        <v>#N/A</v>
      </c>
      <c r="W706" s="658" t="e">
        <f>+VLOOKUP($L706,Data_Validation!$A:$E,5,0)</f>
        <v>#N/A</v>
      </c>
    </row>
    <row r="707" spans="1:23" ht="15.75" customHeight="1">
      <c r="A707" s="718"/>
      <c r="B707" s="656"/>
      <c r="C707" s="719"/>
      <c r="D707" s="718"/>
      <c r="E707" s="718"/>
      <c r="F707" s="718"/>
      <c r="G707" s="718"/>
      <c r="H707" s="718"/>
      <c r="I707" s="718"/>
      <c r="J707" s="718"/>
      <c r="K707" s="718"/>
      <c r="L707" s="655" t="str">
        <f t="shared" ref="L707:L770" si="719">TEXT(B707,0)</f>
        <v>0</v>
      </c>
      <c r="M707" s="656">
        <f t="shared" si="520"/>
        <v>0</v>
      </c>
      <c r="N707" s="657">
        <f>+IF(OR($Q707=Parametres!$G$2,$Q707=Parametres!$G$3),I707,C707)</f>
        <v>0</v>
      </c>
      <c r="O707" s="657">
        <f>+IF(OR($Q707=Parametres!$G$2,$Q707=Parametres!$G$3),J707,D707)</f>
        <v>0</v>
      </c>
      <c r="P707" s="657">
        <f>+IF(OR($Q707=Parametres!$G$2,$Q707=Parametres!$G$3),K707,E707)</f>
        <v>0</v>
      </c>
      <c r="Q707" s="656">
        <f t="shared" ref="Q707:S707" si="720">+F707</f>
        <v>0</v>
      </c>
      <c r="R707" s="655">
        <f t="shared" si="720"/>
        <v>0</v>
      </c>
      <c r="S707" s="656">
        <f t="shared" si="720"/>
        <v>0</v>
      </c>
      <c r="T707" s="658" t="e">
        <f>+VLOOKUP($L707,Data_Validation!$A:$D,1,0)</f>
        <v>#N/A</v>
      </c>
      <c r="U707" s="658" t="e">
        <f>+VLOOKUP($L707,Data_Validation!$A:$D,3,0)</f>
        <v>#N/A</v>
      </c>
      <c r="V707" s="658" t="e">
        <f>+VLOOKUP($L707,Data_Validation!$A:$D,4,0)</f>
        <v>#N/A</v>
      </c>
      <c r="W707" s="658" t="e">
        <f>+VLOOKUP($L707,Data_Validation!$A:$E,5,0)</f>
        <v>#N/A</v>
      </c>
    </row>
    <row r="708" spans="1:23" ht="15.75" customHeight="1">
      <c r="A708" s="718"/>
      <c r="B708" s="656"/>
      <c r="C708" s="719"/>
      <c r="D708" s="718"/>
      <c r="E708" s="718"/>
      <c r="F708" s="718"/>
      <c r="G708" s="718"/>
      <c r="H708" s="718"/>
      <c r="I708" s="718"/>
      <c r="J708" s="718"/>
      <c r="K708" s="718"/>
      <c r="L708" s="655" t="str">
        <f t="shared" si="719"/>
        <v>0</v>
      </c>
      <c r="M708" s="656">
        <f t="shared" si="520"/>
        <v>0</v>
      </c>
      <c r="N708" s="657">
        <f>+IF(OR($Q708=Parametres!$G$2,$Q708=Parametres!$G$3),I708,C708)</f>
        <v>0</v>
      </c>
      <c r="O708" s="657">
        <f>+IF(OR($Q708=Parametres!$G$2,$Q708=Parametres!$G$3),J708,D708)</f>
        <v>0</v>
      </c>
      <c r="P708" s="657">
        <f>+IF(OR($Q708=Parametres!$G$2,$Q708=Parametres!$G$3),K708,E708)</f>
        <v>0</v>
      </c>
      <c r="Q708" s="656">
        <f t="shared" ref="Q708:S708" si="721">+F708</f>
        <v>0</v>
      </c>
      <c r="R708" s="655">
        <f t="shared" si="721"/>
        <v>0</v>
      </c>
      <c r="S708" s="656">
        <f t="shared" si="721"/>
        <v>0</v>
      </c>
      <c r="T708" s="658" t="e">
        <f>+VLOOKUP($L708,Data_Validation!$A:$D,1,0)</f>
        <v>#N/A</v>
      </c>
      <c r="U708" s="658" t="e">
        <f>+VLOOKUP($L708,Data_Validation!$A:$D,3,0)</f>
        <v>#N/A</v>
      </c>
      <c r="V708" s="658" t="e">
        <f>+VLOOKUP($L708,Data_Validation!$A:$D,4,0)</f>
        <v>#N/A</v>
      </c>
      <c r="W708" s="658" t="e">
        <f>+VLOOKUP($L708,Data_Validation!$A:$E,5,0)</f>
        <v>#N/A</v>
      </c>
    </row>
    <row r="709" spans="1:23" ht="15.75" customHeight="1">
      <c r="A709" s="718"/>
      <c r="B709" s="656"/>
      <c r="C709" s="719"/>
      <c r="D709" s="718"/>
      <c r="E709" s="718"/>
      <c r="F709" s="718"/>
      <c r="G709" s="718"/>
      <c r="H709" s="718"/>
      <c r="I709" s="718"/>
      <c r="J709" s="718"/>
      <c r="K709" s="718"/>
      <c r="L709" s="655" t="str">
        <f t="shared" si="719"/>
        <v>0</v>
      </c>
      <c r="M709" s="656">
        <f t="shared" si="520"/>
        <v>0</v>
      </c>
      <c r="N709" s="657">
        <f>+IF(OR($Q709=Parametres!$G$2,$Q709=Parametres!$G$3),I709,C709)</f>
        <v>0</v>
      </c>
      <c r="O709" s="657">
        <f>+IF(OR($Q709=Parametres!$G$2,$Q709=Parametres!$G$3),J709,D709)</f>
        <v>0</v>
      </c>
      <c r="P709" s="657">
        <f>+IF(OR($Q709=Parametres!$G$2,$Q709=Parametres!$G$3),K709,E709)</f>
        <v>0</v>
      </c>
      <c r="Q709" s="656">
        <f t="shared" ref="Q709:S709" si="722">+F709</f>
        <v>0</v>
      </c>
      <c r="R709" s="655">
        <f t="shared" si="722"/>
        <v>0</v>
      </c>
      <c r="S709" s="656">
        <f t="shared" si="722"/>
        <v>0</v>
      </c>
      <c r="T709" s="658" t="e">
        <f>+VLOOKUP($L709,Data_Validation!$A:$D,1,0)</f>
        <v>#N/A</v>
      </c>
      <c r="U709" s="658" t="e">
        <f>+VLOOKUP($L709,Data_Validation!$A:$D,3,0)</f>
        <v>#N/A</v>
      </c>
      <c r="V709" s="658" t="e">
        <f>+VLOOKUP($L709,Data_Validation!$A:$D,4,0)</f>
        <v>#N/A</v>
      </c>
      <c r="W709" s="658" t="e">
        <f>+VLOOKUP($L709,Data_Validation!$A:$E,5,0)</f>
        <v>#N/A</v>
      </c>
    </row>
    <row r="710" spans="1:23" ht="15.75" customHeight="1">
      <c r="A710" s="718"/>
      <c r="B710" s="656"/>
      <c r="C710" s="719"/>
      <c r="D710" s="718"/>
      <c r="E710" s="718"/>
      <c r="F710" s="718"/>
      <c r="G710" s="718"/>
      <c r="H710" s="718"/>
      <c r="I710" s="718"/>
      <c r="J710" s="718"/>
      <c r="K710" s="718"/>
      <c r="L710" s="655" t="str">
        <f t="shared" si="719"/>
        <v>0</v>
      </c>
      <c r="M710" s="656">
        <f t="shared" si="520"/>
        <v>0</v>
      </c>
      <c r="N710" s="657">
        <f>+IF(OR($Q710=Parametres!$G$2,$Q710=Parametres!$G$3),I710,C710)</f>
        <v>0</v>
      </c>
      <c r="O710" s="657">
        <f>+IF(OR($Q710=Parametres!$G$2,$Q710=Parametres!$G$3),J710,D710)</f>
        <v>0</v>
      </c>
      <c r="P710" s="657">
        <f>+IF(OR($Q710=Parametres!$G$2,$Q710=Parametres!$G$3),K710,E710)</f>
        <v>0</v>
      </c>
      <c r="Q710" s="656">
        <f t="shared" ref="Q710:S710" si="723">+F710</f>
        <v>0</v>
      </c>
      <c r="R710" s="655">
        <f t="shared" si="723"/>
        <v>0</v>
      </c>
      <c r="S710" s="656">
        <f t="shared" si="723"/>
        <v>0</v>
      </c>
      <c r="T710" s="658" t="e">
        <f>+VLOOKUP($L710,Data_Validation!$A:$D,1,0)</f>
        <v>#N/A</v>
      </c>
      <c r="U710" s="658" t="e">
        <f>+VLOOKUP($L710,Data_Validation!$A:$D,3,0)</f>
        <v>#N/A</v>
      </c>
      <c r="V710" s="658" t="e">
        <f>+VLOOKUP($L710,Data_Validation!$A:$D,4,0)</f>
        <v>#N/A</v>
      </c>
      <c r="W710" s="658" t="e">
        <f>+VLOOKUP($L710,Data_Validation!$A:$E,5,0)</f>
        <v>#N/A</v>
      </c>
    </row>
    <row r="711" spans="1:23" ht="15.75" customHeight="1">
      <c r="A711" s="718"/>
      <c r="B711" s="656"/>
      <c r="C711" s="719"/>
      <c r="D711" s="718"/>
      <c r="E711" s="718"/>
      <c r="F711" s="718"/>
      <c r="G711" s="718"/>
      <c r="H711" s="718"/>
      <c r="I711" s="718"/>
      <c r="J711" s="718"/>
      <c r="K711" s="718"/>
      <c r="L711" s="655" t="str">
        <f t="shared" si="719"/>
        <v>0</v>
      </c>
      <c r="M711" s="656">
        <f t="shared" si="520"/>
        <v>0</v>
      </c>
      <c r="N711" s="657">
        <f>+IF(OR($Q711=Parametres!$G$2,$Q711=Parametres!$G$3),I711,C711)</f>
        <v>0</v>
      </c>
      <c r="O711" s="657">
        <f>+IF(OR($Q711=Parametres!$G$2,$Q711=Parametres!$G$3),J711,D711)</f>
        <v>0</v>
      </c>
      <c r="P711" s="657">
        <f>+IF(OR($Q711=Parametres!$G$2,$Q711=Parametres!$G$3),K711,E711)</f>
        <v>0</v>
      </c>
      <c r="Q711" s="656">
        <f t="shared" ref="Q711:S711" si="724">+F711</f>
        <v>0</v>
      </c>
      <c r="R711" s="655">
        <f t="shared" si="724"/>
        <v>0</v>
      </c>
      <c r="S711" s="656">
        <f t="shared" si="724"/>
        <v>0</v>
      </c>
      <c r="T711" s="658" t="e">
        <f>+VLOOKUP($L711,Data_Validation!$A:$D,1,0)</f>
        <v>#N/A</v>
      </c>
      <c r="U711" s="658" t="e">
        <f>+VLOOKUP($L711,Data_Validation!$A:$D,3,0)</f>
        <v>#N/A</v>
      </c>
      <c r="V711" s="658" t="e">
        <f>+VLOOKUP($L711,Data_Validation!$A:$D,4,0)</f>
        <v>#N/A</v>
      </c>
      <c r="W711" s="658" t="e">
        <f>+VLOOKUP($L711,Data_Validation!$A:$E,5,0)</f>
        <v>#N/A</v>
      </c>
    </row>
    <row r="712" spans="1:23" ht="15.75" customHeight="1">
      <c r="A712" s="718"/>
      <c r="B712" s="656"/>
      <c r="C712" s="719"/>
      <c r="D712" s="718"/>
      <c r="E712" s="718"/>
      <c r="F712" s="718"/>
      <c r="G712" s="718"/>
      <c r="H712" s="718"/>
      <c r="I712" s="718"/>
      <c r="J712" s="718"/>
      <c r="K712" s="718"/>
      <c r="L712" s="655" t="str">
        <f t="shared" si="719"/>
        <v>0</v>
      </c>
      <c r="M712" s="656">
        <f t="shared" si="520"/>
        <v>0</v>
      </c>
      <c r="N712" s="657">
        <f>+IF(OR($Q712=Parametres!$G$2,$Q712=Parametres!$G$3),I712,C712)</f>
        <v>0</v>
      </c>
      <c r="O712" s="657">
        <f>+IF(OR($Q712=Parametres!$G$2,$Q712=Parametres!$G$3),J712,D712)</f>
        <v>0</v>
      </c>
      <c r="P712" s="657">
        <f>+IF(OR($Q712=Parametres!$G$2,$Q712=Parametres!$G$3),K712,E712)</f>
        <v>0</v>
      </c>
      <c r="Q712" s="656">
        <f t="shared" ref="Q712:S712" si="725">+F712</f>
        <v>0</v>
      </c>
      <c r="R712" s="655">
        <f t="shared" si="725"/>
        <v>0</v>
      </c>
      <c r="S712" s="656">
        <f t="shared" si="725"/>
        <v>0</v>
      </c>
      <c r="T712" s="658" t="e">
        <f>+VLOOKUP($L712,Data_Validation!$A:$D,1,0)</f>
        <v>#N/A</v>
      </c>
      <c r="U712" s="658" t="e">
        <f>+VLOOKUP($L712,Data_Validation!$A:$D,3,0)</f>
        <v>#N/A</v>
      </c>
      <c r="V712" s="658" t="e">
        <f>+VLOOKUP($L712,Data_Validation!$A:$D,4,0)</f>
        <v>#N/A</v>
      </c>
      <c r="W712" s="658" t="e">
        <f>+VLOOKUP($L712,Data_Validation!$A:$E,5,0)</f>
        <v>#N/A</v>
      </c>
    </row>
    <row r="713" spans="1:23" ht="15.75" customHeight="1">
      <c r="A713" s="718"/>
      <c r="B713" s="656"/>
      <c r="C713" s="719"/>
      <c r="D713" s="718"/>
      <c r="E713" s="718"/>
      <c r="F713" s="718"/>
      <c r="G713" s="718"/>
      <c r="H713" s="718"/>
      <c r="I713" s="718"/>
      <c r="J713" s="718"/>
      <c r="K713" s="718"/>
      <c r="L713" s="655" t="str">
        <f t="shared" si="719"/>
        <v>0</v>
      </c>
      <c r="M713" s="656">
        <f t="shared" si="520"/>
        <v>0</v>
      </c>
      <c r="N713" s="657">
        <f>+IF(OR($Q713=Parametres!$G$2,$Q713=Parametres!$G$3),I713,C713)</f>
        <v>0</v>
      </c>
      <c r="O713" s="657">
        <f>+IF(OR($Q713=Parametres!$G$2,$Q713=Parametres!$G$3),J713,D713)</f>
        <v>0</v>
      </c>
      <c r="P713" s="657">
        <f>+IF(OR($Q713=Parametres!$G$2,$Q713=Parametres!$G$3),K713,E713)</f>
        <v>0</v>
      </c>
      <c r="Q713" s="656">
        <f t="shared" ref="Q713:S713" si="726">+F713</f>
        <v>0</v>
      </c>
      <c r="R713" s="655">
        <f t="shared" si="726"/>
        <v>0</v>
      </c>
      <c r="S713" s="656">
        <f t="shared" si="726"/>
        <v>0</v>
      </c>
      <c r="T713" s="658" t="e">
        <f>+VLOOKUP($L713,Data_Validation!$A:$D,1,0)</f>
        <v>#N/A</v>
      </c>
      <c r="U713" s="658" t="e">
        <f>+VLOOKUP($L713,Data_Validation!$A:$D,3,0)</f>
        <v>#N/A</v>
      </c>
      <c r="V713" s="658" t="e">
        <f>+VLOOKUP($L713,Data_Validation!$A:$D,4,0)</f>
        <v>#N/A</v>
      </c>
      <c r="W713" s="658" t="e">
        <f>+VLOOKUP($L713,Data_Validation!$A:$E,5,0)</f>
        <v>#N/A</v>
      </c>
    </row>
    <row r="714" spans="1:23" ht="15.75" customHeight="1">
      <c r="A714" s="718"/>
      <c r="B714" s="656"/>
      <c r="C714" s="719"/>
      <c r="D714" s="718"/>
      <c r="E714" s="718"/>
      <c r="F714" s="718"/>
      <c r="G714" s="718"/>
      <c r="H714" s="718"/>
      <c r="I714" s="718"/>
      <c r="J714" s="718"/>
      <c r="K714" s="718"/>
      <c r="L714" s="655" t="str">
        <f t="shared" si="719"/>
        <v>0</v>
      </c>
      <c r="M714" s="656">
        <f t="shared" si="520"/>
        <v>0</v>
      </c>
      <c r="N714" s="657">
        <f>+IF(OR($Q714=Parametres!$G$2,$Q714=Parametres!$G$3),I714,C714)</f>
        <v>0</v>
      </c>
      <c r="O714" s="657">
        <f>+IF(OR($Q714=Parametres!$G$2,$Q714=Parametres!$G$3),J714,D714)</f>
        <v>0</v>
      </c>
      <c r="P714" s="657">
        <f>+IF(OR($Q714=Parametres!$G$2,$Q714=Parametres!$G$3),K714,E714)</f>
        <v>0</v>
      </c>
      <c r="Q714" s="656">
        <f t="shared" ref="Q714:S714" si="727">+F714</f>
        <v>0</v>
      </c>
      <c r="R714" s="655">
        <f t="shared" si="727"/>
        <v>0</v>
      </c>
      <c r="S714" s="656">
        <f t="shared" si="727"/>
        <v>0</v>
      </c>
      <c r="T714" s="658" t="e">
        <f>+VLOOKUP($L714,Data_Validation!$A:$D,1,0)</f>
        <v>#N/A</v>
      </c>
      <c r="U714" s="658" t="e">
        <f>+VLOOKUP($L714,Data_Validation!$A:$D,3,0)</f>
        <v>#N/A</v>
      </c>
      <c r="V714" s="658" t="e">
        <f>+VLOOKUP($L714,Data_Validation!$A:$D,4,0)</f>
        <v>#N/A</v>
      </c>
      <c r="W714" s="658" t="e">
        <f>+VLOOKUP($L714,Data_Validation!$A:$E,5,0)</f>
        <v>#N/A</v>
      </c>
    </row>
    <row r="715" spans="1:23" ht="15.75" customHeight="1">
      <c r="A715" s="718"/>
      <c r="B715" s="656"/>
      <c r="C715" s="719"/>
      <c r="D715" s="718"/>
      <c r="E715" s="718"/>
      <c r="F715" s="718"/>
      <c r="G715" s="718"/>
      <c r="H715" s="718"/>
      <c r="I715" s="718"/>
      <c r="J715" s="718"/>
      <c r="K715" s="718"/>
      <c r="L715" s="655" t="str">
        <f t="shared" si="719"/>
        <v>0</v>
      </c>
      <c r="M715" s="656">
        <f t="shared" si="520"/>
        <v>0</v>
      </c>
      <c r="N715" s="657">
        <f>+IF(OR($Q715=Parametres!$G$2,$Q715=Parametres!$G$3),I715,C715)</f>
        <v>0</v>
      </c>
      <c r="O715" s="657">
        <f>+IF(OR($Q715=Parametres!$G$2,$Q715=Parametres!$G$3),J715,D715)</f>
        <v>0</v>
      </c>
      <c r="P715" s="657">
        <f>+IF(OR($Q715=Parametres!$G$2,$Q715=Parametres!$G$3),K715,E715)</f>
        <v>0</v>
      </c>
      <c r="Q715" s="656">
        <f t="shared" ref="Q715:S715" si="728">+F715</f>
        <v>0</v>
      </c>
      <c r="R715" s="655">
        <f t="shared" si="728"/>
        <v>0</v>
      </c>
      <c r="S715" s="656">
        <f t="shared" si="728"/>
        <v>0</v>
      </c>
      <c r="T715" s="658" t="e">
        <f>+VLOOKUP($L715,Data_Validation!$A:$D,1,0)</f>
        <v>#N/A</v>
      </c>
      <c r="U715" s="658" t="e">
        <f>+VLOOKUP($L715,Data_Validation!$A:$D,3,0)</f>
        <v>#N/A</v>
      </c>
      <c r="V715" s="658" t="e">
        <f>+VLOOKUP($L715,Data_Validation!$A:$D,4,0)</f>
        <v>#N/A</v>
      </c>
      <c r="W715" s="658" t="e">
        <f>+VLOOKUP($L715,Data_Validation!$A:$E,5,0)</f>
        <v>#N/A</v>
      </c>
    </row>
    <row r="716" spans="1:23" ht="15.75" customHeight="1">
      <c r="A716" s="718"/>
      <c r="B716" s="656"/>
      <c r="C716" s="719"/>
      <c r="D716" s="718"/>
      <c r="E716" s="718"/>
      <c r="F716" s="718"/>
      <c r="G716" s="718"/>
      <c r="H716" s="718"/>
      <c r="I716" s="718"/>
      <c r="J716" s="718"/>
      <c r="K716" s="718"/>
      <c r="L716" s="655" t="str">
        <f t="shared" si="719"/>
        <v>0</v>
      </c>
      <c r="M716" s="656">
        <f t="shared" si="520"/>
        <v>0</v>
      </c>
      <c r="N716" s="657">
        <f>+IF(OR($Q716=Parametres!$G$2,$Q716=Parametres!$G$3),I716,C716)</f>
        <v>0</v>
      </c>
      <c r="O716" s="657">
        <f>+IF(OR($Q716=Parametres!$G$2,$Q716=Parametres!$G$3),J716,D716)</f>
        <v>0</v>
      </c>
      <c r="P716" s="657">
        <f>+IF(OR($Q716=Parametres!$G$2,$Q716=Parametres!$G$3),K716,E716)</f>
        <v>0</v>
      </c>
      <c r="Q716" s="656">
        <f t="shared" ref="Q716:S716" si="729">+F716</f>
        <v>0</v>
      </c>
      <c r="R716" s="655">
        <f t="shared" si="729"/>
        <v>0</v>
      </c>
      <c r="S716" s="656">
        <f t="shared" si="729"/>
        <v>0</v>
      </c>
      <c r="T716" s="658" t="e">
        <f>+VLOOKUP($L716,Data_Validation!$A:$D,1,0)</f>
        <v>#N/A</v>
      </c>
      <c r="U716" s="658" t="e">
        <f>+VLOOKUP($L716,Data_Validation!$A:$D,3,0)</f>
        <v>#N/A</v>
      </c>
      <c r="V716" s="658" t="e">
        <f>+VLOOKUP($L716,Data_Validation!$A:$D,4,0)</f>
        <v>#N/A</v>
      </c>
      <c r="W716" s="658" t="e">
        <f>+VLOOKUP($L716,Data_Validation!$A:$E,5,0)</f>
        <v>#N/A</v>
      </c>
    </row>
    <row r="717" spans="1:23" ht="15.75" customHeight="1">
      <c r="A717" s="718"/>
      <c r="B717" s="656"/>
      <c r="C717" s="719"/>
      <c r="D717" s="718"/>
      <c r="E717" s="718"/>
      <c r="F717" s="718"/>
      <c r="G717" s="718"/>
      <c r="H717" s="718"/>
      <c r="I717" s="718"/>
      <c r="J717" s="718"/>
      <c r="K717" s="718"/>
      <c r="L717" s="655" t="str">
        <f t="shared" si="719"/>
        <v>0</v>
      </c>
      <c r="M717" s="656">
        <f t="shared" si="520"/>
        <v>0</v>
      </c>
      <c r="N717" s="657">
        <f>+IF(OR($Q717=Parametres!$G$2,$Q717=Parametres!$G$3),I717,C717)</f>
        <v>0</v>
      </c>
      <c r="O717" s="657">
        <f>+IF(OR($Q717=Parametres!$G$2,$Q717=Parametres!$G$3),J717,D717)</f>
        <v>0</v>
      </c>
      <c r="P717" s="657">
        <f>+IF(OR($Q717=Parametres!$G$2,$Q717=Parametres!$G$3),K717,E717)</f>
        <v>0</v>
      </c>
      <c r="Q717" s="656">
        <f t="shared" ref="Q717:S717" si="730">+F717</f>
        <v>0</v>
      </c>
      <c r="R717" s="655">
        <f t="shared" si="730"/>
        <v>0</v>
      </c>
      <c r="S717" s="656">
        <f t="shared" si="730"/>
        <v>0</v>
      </c>
      <c r="T717" s="658" t="e">
        <f>+VLOOKUP($L717,Data_Validation!$A:$D,1,0)</f>
        <v>#N/A</v>
      </c>
      <c r="U717" s="658" t="e">
        <f>+VLOOKUP($L717,Data_Validation!$A:$D,3,0)</f>
        <v>#N/A</v>
      </c>
      <c r="V717" s="658" t="e">
        <f>+VLOOKUP($L717,Data_Validation!$A:$D,4,0)</f>
        <v>#N/A</v>
      </c>
      <c r="W717" s="658" t="e">
        <f>+VLOOKUP($L717,Data_Validation!$A:$E,5,0)</f>
        <v>#N/A</v>
      </c>
    </row>
    <row r="718" spans="1:23" ht="15.75" customHeight="1">
      <c r="A718" s="718"/>
      <c r="B718" s="656"/>
      <c r="C718" s="719"/>
      <c r="D718" s="718"/>
      <c r="E718" s="718"/>
      <c r="F718" s="718"/>
      <c r="G718" s="718"/>
      <c r="H718" s="718"/>
      <c r="I718" s="718"/>
      <c r="J718" s="718"/>
      <c r="K718" s="718"/>
      <c r="L718" s="655" t="str">
        <f t="shared" si="719"/>
        <v>0</v>
      </c>
      <c r="M718" s="656">
        <f t="shared" si="520"/>
        <v>0</v>
      </c>
      <c r="N718" s="657">
        <f>+IF(OR($Q718=Parametres!$G$2,$Q718=Parametres!$G$3),I718,C718)</f>
        <v>0</v>
      </c>
      <c r="O718" s="657">
        <f>+IF(OR($Q718=Parametres!$G$2,$Q718=Parametres!$G$3),J718,D718)</f>
        <v>0</v>
      </c>
      <c r="P718" s="657">
        <f>+IF(OR($Q718=Parametres!$G$2,$Q718=Parametres!$G$3),K718,E718)</f>
        <v>0</v>
      </c>
      <c r="Q718" s="656">
        <f t="shared" ref="Q718:S718" si="731">+F718</f>
        <v>0</v>
      </c>
      <c r="R718" s="655">
        <f t="shared" si="731"/>
        <v>0</v>
      </c>
      <c r="S718" s="656">
        <f t="shared" si="731"/>
        <v>0</v>
      </c>
      <c r="T718" s="658" t="e">
        <f>+VLOOKUP($L718,Data_Validation!$A:$D,1,0)</f>
        <v>#N/A</v>
      </c>
      <c r="U718" s="658" t="e">
        <f>+VLOOKUP($L718,Data_Validation!$A:$D,3,0)</f>
        <v>#N/A</v>
      </c>
      <c r="V718" s="658" t="e">
        <f>+VLOOKUP($L718,Data_Validation!$A:$D,4,0)</f>
        <v>#N/A</v>
      </c>
      <c r="W718" s="658" t="e">
        <f>+VLOOKUP($L718,Data_Validation!$A:$E,5,0)</f>
        <v>#N/A</v>
      </c>
    </row>
    <row r="719" spans="1:23" ht="15.75" customHeight="1">
      <c r="A719" s="718"/>
      <c r="B719" s="656"/>
      <c r="C719" s="719"/>
      <c r="D719" s="718"/>
      <c r="E719" s="718"/>
      <c r="F719" s="718"/>
      <c r="G719" s="718"/>
      <c r="H719" s="718"/>
      <c r="I719" s="718"/>
      <c r="J719" s="718"/>
      <c r="K719" s="718"/>
      <c r="L719" s="655" t="str">
        <f t="shared" si="719"/>
        <v>0</v>
      </c>
      <c r="M719" s="656">
        <f t="shared" si="520"/>
        <v>0</v>
      </c>
      <c r="N719" s="657">
        <f>+IF(OR($Q719=Parametres!$G$2,$Q719=Parametres!$G$3),I719,C719)</f>
        <v>0</v>
      </c>
      <c r="O719" s="657">
        <f>+IF(OR($Q719=Parametres!$G$2,$Q719=Parametres!$G$3),J719,D719)</f>
        <v>0</v>
      </c>
      <c r="P719" s="657">
        <f>+IF(OR($Q719=Parametres!$G$2,$Q719=Parametres!$G$3),K719,E719)</f>
        <v>0</v>
      </c>
      <c r="Q719" s="656">
        <f t="shared" ref="Q719:S719" si="732">+F719</f>
        <v>0</v>
      </c>
      <c r="R719" s="655">
        <f t="shared" si="732"/>
        <v>0</v>
      </c>
      <c r="S719" s="656">
        <f t="shared" si="732"/>
        <v>0</v>
      </c>
      <c r="T719" s="658" t="e">
        <f>+VLOOKUP($L719,Data_Validation!$A:$D,1,0)</f>
        <v>#N/A</v>
      </c>
      <c r="U719" s="658" t="e">
        <f>+VLOOKUP($L719,Data_Validation!$A:$D,3,0)</f>
        <v>#N/A</v>
      </c>
      <c r="V719" s="658" t="e">
        <f>+VLOOKUP($L719,Data_Validation!$A:$D,4,0)</f>
        <v>#N/A</v>
      </c>
      <c r="W719" s="658" t="e">
        <f>+VLOOKUP($L719,Data_Validation!$A:$E,5,0)</f>
        <v>#N/A</v>
      </c>
    </row>
    <row r="720" spans="1:23" ht="15.75" customHeight="1">
      <c r="A720" s="718"/>
      <c r="B720" s="656"/>
      <c r="C720" s="719"/>
      <c r="D720" s="718"/>
      <c r="E720" s="718"/>
      <c r="F720" s="718"/>
      <c r="G720" s="718"/>
      <c r="H720" s="718"/>
      <c r="I720" s="718"/>
      <c r="J720" s="718"/>
      <c r="K720" s="718"/>
      <c r="L720" s="655" t="str">
        <f t="shared" si="719"/>
        <v>0</v>
      </c>
      <c r="M720" s="656">
        <f t="shared" si="520"/>
        <v>0</v>
      </c>
      <c r="N720" s="657">
        <f>+IF(OR($Q720=Parametres!$G$2,$Q720=Parametres!$G$3),I720,C720)</f>
        <v>0</v>
      </c>
      <c r="O720" s="657">
        <f>+IF(OR($Q720=Parametres!$G$2,$Q720=Parametres!$G$3),J720,D720)</f>
        <v>0</v>
      </c>
      <c r="P720" s="657">
        <f>+IF(OR($Q720=Parametres!$G$2,$Q720=Parametres!$G$3),K720,E720)</f>
        <v>0</v>
      </c>
      <c r="Q720" s="656">
        <f t="shared" ref="Q720:S720" si="733">+F720</f>
        <v>0</v>
      </c>
      <c r="R720" s="655">
        <f t="shared" si="733"/>
        <v>0</v>
      </c>
      <c r="S720" s="656">
        <f t="shared" si="733"/>
        <v>0</v>
      </c>
      <c r="T720" s="658" t="e">
        <f>+VLOOKUP($L720,Data_Validation!$A:$D,1,0)</f>
        <v>#N/A</v>
      </c>
      <c r="U720" s="658" t="e">
        <f>+VLOOKUP($L720,Data_Validation!$A:$D,3,0)</f>
        <v>#N/A</v>
      </c>
      <c r="V720" s="658" t="e">
        <f>+VLOOKUP($L720,Data_Validation!$A:$D,4,0)</f>
        <v>#N/A</v>
      </c>
      <c r="W720" s="658" t="e">
        <f>+VLOOKUP($L720,Data_Validation!$A:$E,5,0)</f>
        <v>#N/A</v>
      </c>
    </row>
    <row r="721" spans="1:23" ht="15.75" customHeight="1">
      <c r="A721" s="718"/>
      <c r="B721" s="656"/>
      <c r="C721" s="719"/>
      <c r="D721" s="718"/>
      <c r="E721" s="718"/>
      <c r="F721" s="718"/>
      <c r="G721" s="718"/>
      <c r="H721" s="718"/>
      <c r="I721" s="718"/>
      <c r="J721" s="718"/>
      <c r="K721" s="718"/>
      <c r="L721" s="655" t="str">
        <f t="shared" si="719"/>
        <v>0</v>
      </c>
      <c r="M721" s="656">
        <f t="shared" si="520"/>
        <v>0</v>
      </c>
      <c r="N721" s="657">
        <f>+IF(OR($Q721=Parametres!$G$2,$Q721=Parametres!$G$3),I721,C721)</f>
        <v>0</v>
      </c>
      <c r="O721" s="657">
        <f>+IF(OR($Q721=Parametres!$G$2,$Q721=Parametres!$G$3),J721,D721)</f>
        <v>0</v>
      </c>
      <c r="P721" s="657">
        <f>+IF(OR($Q721=Parametres!$G$2,$Q721=Parametres!$G$3),K721,E721)</f>
        <v>0</v>
      </c>
      <c r="Q721" s="656">
        <f t="shared" ref="Q721:S721" si="734">+F721</f>
        <v>0</v>
      </c>
      <c r="R721" s="655">
        <f t="shared" si="734"/>
        <v>0</v>
      </c>
      <c r="S721" s="656">
        <f t="shared" si="734"/>
        <v>0</v>
      </c>
      <c r="T721" s="658" t="e">
        <f>+VLOOKUP($L721,Data_Validation!$A:$D,1,0)</f>
        <v>#N/A</v>
      </c>
      <c r="U721" s="658" t="e">
        <f>+VLOOKUP($L721,Data_Validation!$A:$D,3,0)</f>
        <v>#N/A</v>
      </c>
      <c r="V721" s="658" t="e">
        <f>+VLOOKUP($L721,Data_Validation!$A:$D,4,0)</f>
        <v>#N/A</v>
      </c>
      <c r="W721" s="658" t="e">
        <f>+VLOOKUP($L721,Data_Validation!$A:$E,5,0)</f>
        <v>#N/A</v>
      </c>
    </row>
    <row r="722" spans="1:23" ht="15.75" customHeight="1">
      <c r="A722" s="718"/>
      <c r="B722" s="656"/>
      <c r="C722" s="719"/>
      <c r="D722" s="718"/>
      <c r="E722" s="718"/>
      <c r="F722" s="718"/>
      <c r="G722" s="718"/>
      <c r="H722" s="718"/>
      <c r="I722" s="718"/>
      <c r="J722" s="718"/>
      <c r="K722" s="718"/>
      <c r="L722" s="655" t="str">
        <f t="shared" si="719"/>
        <v>0</v>
      </c>
      <c r="M722" s="656">
        <f t="shared" si="520"/>
        <v>0</v>
      </c>
      <c r="N722" s="657">
        <f>+IF(OR($Q722=Parametres!$G$2,$Q722=Parametres!$G$3),I722,C722)</f>
        <v>0</v>
      </c>
      <c r="O722" s="657">
        <f>+IF(OR($Q722=Parametres!$G$2,$Q722=Parametres!$G$3),J722,D722)</f>
        <v>0</v>
      </c>
      <c r="P722" s="657">
        <f>+IF(OR($Q722=Parametres!$G$2,$Q722=Parametres!$G$3),K722,E722)</f>
        <v>0</v>
      </c>
      <c r="Q722" s="656">
        <f t="shared" ref="Q722:S722" si="735">+F722</f>
        <v>0</v>
      </c>
      <c r="R722" s="655">
        <f t="shared" si="735"/>
        <v>0</v>
      </c>
      <c r="S722" s="656">
        <f t="shared" si="735"/>
        <v>0</v>
      </c>
      <c r="T722" s="658" t="e">
        <f>+VLOOKUP($L722,Data_Validation!$A:$D,1,0)</f>
        <v>#N/A</v>
      </c>
      <c r="U722" s="658" t="e">
        <f>+VLOOKUP($L722,Data_Validation!$A:$D,3,0)</f>
        <v>#N/A</v>
      </c>
      <c r="V722" s="658" t="e">
        <f>+VLOOKUP($L722,Data_Validation!$A:$D,4,0)</f>
        <v>#N/A</v>
      </c>
      <c r="W722" s="658" t="e">
        <f>+VLOOKUP($L722,Data_Validation!$A:$E,5,0)</f>
        <v>#N/A</v>
      </c>
    </row>
    <row r="723" spans="1:23" ht="15.75" customHeight="1">
      <c r="A723" s="718"/>
      <c r="B723" s="656"/>
      <c r="C723" s="719"/>
      <c r="D723" s="718"/>
      <c r="E723" s="718"/>
      <c r="F723" s="718"/>
      <c r="G723" s="718"/>
      <c r="H723" s="718"/>
      <c r="I723" s="718"/>
      <c r="J723" s="718"/>
      <c r="K723" s="718"/>
      <c r="L723" s="655" t="str">
        <f t="shared" si="719"/>
        <v>0</v>
      </c>
      <c r="M723" s="656">
        <f t="shared" si="520"/>
        <v>0</v>
      </c>
      <c r="N723" s="657">
        <f>+IF(OR($Q723=Parametres!$G$2,$Q723=Parametres!$G$3),I723,C723)</f>
        <v>0</v>
      </c>
      <c r="O723" s="657">
        <f>+IF(OR($Q723=Parametres!$G$2,$Q723=Parametres!$G$3),J723,D723)</f>
        <v>0</v>
      </c>
      <c r="P723" s="657">
        <f>+IF(OR($Q723=Parametres!$G$2,$Q723=Parametres!$G$3),K723,E723)</f>
        <v>0</v>
      </c>
      <c r="Q723" s="656">
        <f t="shared" ref="Q723:S723" si="736">+F723</f>
        <v>0</v>
      </c>
      <c r="R723" s="655">
        <f t="shared" si="736"/>
        <v>0</v>
      </c>
      <c r="S723" s="656">
        <f t="shared" si="736"/>
        <v>0</v>
      </c>
      <c r="T723" s="658" t="e">
        <f>+VLOOKUP($L723,Data_Validation!$A:$D,1,0)</f>
        <v>#N/A</v>
      </c>
      <c r="U723" s="658" t="e">
        <f>+VLOOKUP($L723,Data_Validation!$A:$D,3,0)</f>
        <v>#N/A</v>
      </c>
      <c r="V723" s="658" t="e">
        <f>+VLOOKUP($L723,Data_Validation!$A:$D,4,0)</f>
        <v>#N/A</v>
      </c>
      <c r="W723" s="658" t="e">
        <f>+VLOOKUP($L723,Data_Validation!$A:$E,5,0)</f>
        <v>#N/A</v>
      </c>
    </row>
    <row r="724" spans="1:23" ht="15.75" customHeight="1">
      <c r="A724" s="718"/>
      <c r="B724" s="656"/>
      <c r="C724" s="719"/>
      <c r="D724" s="718"/>
      <c r="E724" s="718"/>
      <c r="F724" s="718"/>
      <c r="G724" s="718"/>
      <c r="H724" s="718"/>
      <c r="I724" s="718"/>
      <c r="J724" s="718"/>
      <c r="K724" s="718"/>
      <c r="L724" s="655" t="str">
        <f t="shared" si="719"/>
        <v>0</v>
      </c>
      <c r="M724" s="656">
        <f t="shared" si="520"/>
        <v>0</v>
      </c>
      <c r="N724" s="657">
        <f>+IF(OR($Q724=Parametres!$G$2,$Q724=Parametres!$G$3),I724,C724)</f>
        <v>0</v>
      </c>
      <c r="O724" s="657">
        <f>+IF(OR($Q724=Parametres!$G$2,$Q724=Parametres!$G$3),J724,D724)</f>
        <v>0</v>
      </c>
      <c r="P724" s="657">
        <f>+IF(OR($Q724=Parametres!$G$2,$Q724=Parametres!$G$3),K724,E724)</f>
        <v>0</v>
      </c>
      <c r="Q724" s="656">
        <f t="shared" ref="Q724:S724" si="737">+F724</f>
        <v>0</v>
      </c>
      <c r="R724" s="655">
        <f t="shared" si="737"/>
        <v>0</v>
      </c>
      <c r="S724" s="656">
        <f t="shared" si="737"/>
        <v>0</v>
      </c>
      <c r="T724" s="658" t="e">
        <f>+VLOOKUP($L724,Data_Validation!$A:$D,1,0)</f>
        <v>#N/A</v>
      </c>
      <c r="U724" s="658" t="e">
        <f>+VLOOKUP($L724,Data_Validation!$A:$D,3,0)</f>
        <v>#N/A</v>
      </c>
      <c r="V724" s="658" t="e">
        <f>+VLOOKUP($L724,Data_Validation!$A:$D,4,0)</f>
        <v>#N/A</v>
      </c>
      <c r="W724" s="658" t="e">
        <f>+VLOOKUP($L724,Data_Validation!$A:$E,5,0)</f>
        <v>#N/A</v>
      </c>
    </row>
    <row r="725" spans="1:23" ht="15.75" customHeight="1">
      <c r="A725" s="718"/>
      <c r="B725" s="656"/>
      <c r="C725" s="719"/>
      <c r="D725" s="718"/>
      <c r="E725" s="718"/>
      <c r="F725" s="718"/>
      <c r="G725" s="718"/>
      <c r="H725" s="718"/>
      <c r="I725" s="718"/>
      <c r="J725" s="718"/>
      <c r="K725" s="718"/>
      <c r="L725" s="655" t="str">
        <f t="shared" si="719"/>
        <v>0</v>
      </c>
      <c r="M725" s="656">
        <f t="shared" si="520"/>
        <v>0</v>
      </c>
      <c r="N725" s="657">
        <f>+IF(OR($Q725=Parametres!$G$2,$Q725=Parametres!$G$3),I725,C725)</f>
        <v>0</v>
      </c>
      <c r="O725" s="657">
        <f>+IF(OR($Q725=Parametres!$G$2,$Q725=Parametres!$G$3),J725,D725)</f>
        <v>0</v>
      </c>
      <c r="P725" s="657">
        <f>+IF(OR($Q725=Parametres!$G$2,$Q725=Parametres!$G$3),K725,E725)</f>
        <v>0</v>
      </c>
      <c r="Q725" s="656">
        <f t="shared" ref="Q725:S725" si="738">+F725</f>
        <v>0</v>
      </c>
      <c r="R725" s="655">
        <f t="shared" si="738"/>
        <v>0</v>
      </c>
      <c r="S725" s="656">
        <f t="shared" si="738"/>
        <v>0</v>
      </c>
      <c r="T725" s="658" t="e">
        <f>+VLOOKUP($L725,Data_Validation!$A:$D,1,0)</f>
        <v>#N/A</v>
      </c>
      <c r="U725" s="658" t="e">
        <f>+VLOOKUP($L725,Data_Validation!$A:$D,3,0)</f>
        <v>#N/A</v>
      </c>
      <c r="V725" s="658" t="e">
        <f>+VLOOKUP($L725,Data_Validation!$A:$D,4,0)</f>
        <v>#N/A</v>
      </c>
      <c r="W725" s="658" t="e">
        <f>+VLOOKUP($L725,Data_Validation!$A:$E,5,0)</f>
        <v>#N/A</v>
      </c>
    </row>
    <row r="726" spans="1:23" ht="15.75" customHeight="1">
      <c r="A726" s="718"/>
      <c r="B726" s="656"/>
      <c r="C726" s="719"/>
      <c r="D726" s="718"/>
      <c r="E726" s="718"/>
      <c r="F726" s="718"/>
      <c r="G726" s="718"/>
      <c r="H726" s="718"/>
      <c r="I726" s="718"/>
      <c r="J726" s="718"/>
      <c r="K726" s="718"/>
      <c r="L726" s="655" t="str">
        <f t="shared" si="719"/>
        <v>0</v>
      </c>
      <c r="M726" s="656">
        <f t="shared" si="520"/>
        <v>0</v>
      </c>
      <c r="N726" s="657">
        <f>+IF(OR($Q726=Parametres!$G$2,$Q726=Parametres!$G$3),I726,C726)</f>
        <v>0</v>
      </c>
      <c r="O726" s="657">
        <f>+IF(OR($Q726=Parametres!$G$2,$Q726=Parametres!$G$3),J726,D726)</f>
        <v>0</v>
      </c>
      <c r="P726" s="657">
        <f>+IF(OR($Q726=Parametres!$G$2,$Q726=Parametres!$G$3),K726,E726)</f>
        <v>0</v>
      </c>
      <c r="Q726" s="656">
        <f t="shared" ref="Q726:S726" si="739">+F726</f>
        <v>0</v>
      </c>
      <c r="R726" s="655">
        <f t="shared" si="739"/>
        <v>0</v>
      </c>
      <c r="S726" s="656">
        <f t="shared" si="739"/>
        <v>0</v>
      </c>
      <c r="T726" s="658" t="e">
        <f>+VLOOKUP($L726,Data_Validation!$A:$D,1,0)</f>
        <v>#N/A</v>
      </c>
      <c r="U726" s="658" t="e">
        <f>+VLOOKUP($L726,Data_Validation!$A:$D,3,0)</f>
        <v>#N/A</v>
      </c>
      <c r="V726" s="658" t="e">
        <f>+VLOOKUP($L726,Data_Validation!$A:$D,4,0)</f>
        <v>#N/A</v>
      </c>
      <c r="W726" s="658" t="e">
        <f>+VLOOKUP($L726,Data_Validation!$A:$E,5,0)</f>
        <v>#N/A</v>
      </c>
    </row>
    <row r="727" spans="1:23" ht="15.75" customHeight="1">
      <c r="A727" s="718"/>
      <c r="B727" s="656"/>
      <c r="C727" s="719"/>
      <c r="D727" s="718"/>
      <c r="E727" s="718"/>
      <c r="F727" s="718"/>
      <c r="G727" s="718"/>
      <c r="H727" s="718"/>
      <c r="I727" s="718"/>
      <c r="J727" s="718"/>
      <c r="K727" s="718"/>
      <c r="L727" s="655" t="str">
        <f t="shared" si="719"/>
        <v>0</v>
      </c>
      <c r="M727" s="656">
        <f t="shared" si="520"/>
        <v>0</v>
      </c>
      <c r="N727" s="657">
        <f>+IF(OR($Q727=Parametres!$G$2,$Q727=Parametres!$G$3),I727,C727)</f>
        <v>0</v>
      </c>
      <c r="O727" s="657">
        <f>+IF(OR($Q727=Parametres!$G$2,$Q727=Parametres!$G$3),J727,D727)</f>
        <v>0</v>
      </c>
      <c r="P727" s="657">
        <f>+IF(OR($Q727=Parametres!$G$2,$Q727=Parametres!$G$3),K727,E727)</f>
        <v>0</v>
      </c>
      <c r="Q727" s="656">
        <f t="shared" ref="Q727:S727" si="740">+F727</f>
        <v>0</v>
      </c>
      <c r="R727" s="655">
        <f t="shared" si="740"/>
        <v>0</v>
      </c>
      <c r="S727" s="656">
        <f t="shared" si="740"/>
        <v>0</v>
      </c>
      <c r="T727" s="658" t="e">
        <f>+VLOOKUP($L727,Data_Validation!$A:$D,1,0)</f>
        <v>#N/A</v>
      </c>
      <c r="U727" s="658" t="e">
        <f>+VLOOKUP($L727,Data_Validation!$A:$D,3,0)</f>
        <v>#N/A</v>
      </c>
      <c r="V727" s="658" t="e">
        <f>+VLOOKUP($L727,Data_Validation!$A:$D,4,0)</f>
        <v>#N/A</v>
      </c>
      <c r="W727" s="658" t="e">
        <f>+VLOOKUP($L727,Data_Validation!$A:$E,5,0)</f>
        <v>#N/A</v>
      </c>
    </row>
    <row r="728" spans="1:23" ht="15.75" customHeight="1">
      <c r="A728" s="718"/>
      <c r="B728" s="656"/>
      <c r="C728" s="719"/>
      <c r="D728" s="718"/>
      <c r="E728" s="718"/>
      <c r="F728" s="718"/>
      <c r="G728" s="718"/>
      <c r="H728" s="718"/>
      <c r="I728" s="718"/>
      <c r="J728" s="718"/>
      <c r="K728" s="718"/>
      <c r="L728" s="655" t="str">
        <f t="shared" si="719"/>
        <v>0</v>
      </c>
      <c r="M728" s="656">
        <f t="shared" si="520"/>
        <v>0</v>
      </c>
      <c r="N728" s="657">
        <f>+IF(OR($Q728=Parametres!$G$2,$Q728=Parametres!$G$3),I728,C728)</f>
        <v>0</v>
      </c>
      <c r="O728" s="657">
        <f>+IF(OR($Q728=Parametres!$G$2,$Q728=Parametres!$G$3),J728,D728)</f>
        <v>0</v>
      </c>
      <c r="P728" s="657">
        <f>+IF(OR($Q728=Parametres!$G$2,$Q728=Parametres!$G$3),K728,E728)</f>
        <v>0</v>
      </c>
      <c r="Q728" s="656">
        <f t="shared" ref="Q728:S728" si="741">+F728</f>
        <v>0</v>
      </c>
      <c r="R728" s="655">
        <f t="shared" si="741"/>
        <v>0</v>
      </c>
      <c r="S728" s="656">
        <f t="shared" si="741"/>
        <v>0</v>
      </c>
      <c r="T728" s="658" t="e">
        <f>+VLOOKUP($L728,Data_Validation!$A:$D,1,0)</f>
        <v>#N/A</v>
      </c>
      <c r="U728" s="658" t="e">
        <f>+VLOOKUP($L728,Data_Validation!$A:$D,3,0)</f>
        <v>#N/A</v>
      </c>
      <c r="V728" s="658" t="e">
        <f>+VLOOKUP($L728,Data_Validation!$A:$D,4,0)</f>
        <v>#N/A</v>
      </c>
      <c r="W728" s="658" t="e">
        <f>+VLOOKUP($L728,Data_Validation!$A:$E,5,0)</f>
        <v>#N/A</v>
      </c>
    </row>
    <row r="729" spans="1:23" ht="15.75" customHeight="1">
      <c r="A729" s="718"/>
      <c r="B729" s="656"/>
      <c r="C729" s="719"/>
      <c r="D729" s="718"/>
      <c r="E729" s="718"/>
      <c r="F729" s="718"/>
      <c r="G729" s="718"/>
      <c r="H729" s="718"/>
      <c r="I729" s="718"/>
      <c r="J729" s="718"/>
      <c r="K729" s="718"/>
      <c r="L729" s="655" t="str">
        <f t="shared" si="719"/>
        <v>0</v>
      </c>
      <c r="M729" s="656">
        <f t="shared" si="520"/>
        <v>0</v>
      </c>
      <c r="N729" s="657">
        <f>+IF(OR($Q729=Parametres!$G$2,$Q729=Parametres!$G$3),I729,C729)</f>
        <v>0</v>
      </c>
      <c r="O729" s="657">
        <f>+IF(OR($Q729=Parametres!$G$2,$Q729=Parametres!$G$3),J729,D729)</f>
        <v>0</v>
      </c>
      <c r="P729" s="657">
        <f>+IF(OR($Q729=Parametres!$G$2,$Q729=Parametres!$G$3),K729,E729)</f>
        <v>0</v>
      </c>
      <c r="Q729" s="656">
        <f t="shared" ref="Q729:S729" si="742">+F729</f>
        <v>0</v>
      </c>
      <c r="R729" s="655">
        <f t="shared" si="742"/>
        <v>0</v>
      </c>
      <c r="S729" s="656">
        <f t="shared" si="742"/>
        <v>0</v>
      </c>
      <c r="T729" s="658" t="e">
        <f>+VLOOKUP($L729,Data_Validation!$A:$D,1,0)</f>
        <v>#N/A</v>
      </c>
      <c r="U729" s="658" t="e">
        <f>+VLOOKUP($L729,Data_Validation!$A:$D,3,0)</f>
        <v>#N/A</v>
      </c>
      <c r="V729" s="658" t="e">
        <f>+VLOOKUP($L729,Data_Validation!$A:$D,4,0)</f>
        <v>#N/A</v>
      </c>
      <c r="W729" s="658" t="e">
        <f>+VLOOKUP($L729,Data_Validation!$A:$E,5,0)</f>
        <v>#N/A</v>
      </c>
    </row>
    <row r="730" spans="1:23" ht="15.75" customHeight="1">
      <c r="A730" s="718"/>
      <c r="B730" s="656"/>
      <c r="C730" s="719"/>
      <c r="D730" s="718"/>
      <c r="E730" s="718"/>
      <c r="F730" s="718"/>
      <c r="G730" s="718"/>
      <c r="H730" s="718"/>
      <c r="I730" s="718"/>
      <c r="J730" s="718"/>
      <c r="K730" s="718"/>
      <c r="L730" s="655" t="str">
        <f t="shared" si="719"/>
        <v>0</v>
      </c>
      <c r="M730" s="656">
        <f t="shared" si="520"/>
        <v>0</v>
      </c>
      <c r="N730" s="657">
        <f>+IF(OR($Q730=Parametres!$G$2,$Q730=Parametres!$G$3),I730,C730)</f>
        <v>0</v>
      </c>
      <c r="O730" s="657">
        <f>+IF(OR($Q730=Parametres!$G$2,$Q730=Parametres!$G$3),J730,D730)</f>
        <v>0</v>
      </c>
      <c r="P730" s="657">
        <f>+IF(OR($Q730=Parametres!$G$2,$Q730=Parametres!$G$3),K730,E730)</f>
        <v>0</v>
      </c>
      <c r="Q730" s="656">
        <f t="shared" ref="Q730:S730" si="743">+F730</f>
        <v>0</v>
      </c>
      <c r="R730" s="655">
        <f t="shared" si="743"/>
        <v>0</v>
      </c>
      <c r="S730" s="656">
        <f t="shared" si="743"/>
        <v>0</v>
      </c>
      <c r="T730" s="658" t="e">
        <f>+VLOOKUP($L730,Data_Validation!$A:$D,1,0)</f>
        <v>#N/A</v>
      </c>
      <c r="U730" s="658" t="e">
        <f>+VLOOKUP($L730,Data_Validation!$A:$D,3,0)</f>
        <v>#N/A</v>
      </c>
      <c r="V730" s="658" t="e">
        <f>+VLOOKUP($L730,Data_Validation!$A:$D,4,0)</f>
        <v>#N/A</v>
      </c>
      <c r="W730" s="658" t="e">
        <f>+VLOOKUP($L730,Data_Validation!$A:$E,5,0)</f>
        <v>#N/A</v>
      </c>
    </row>
    <row r="731" spans="1:23" ht="15.75" customHeight="1">
      <c r="A731" s="718"/>
      <c r="B731" s="656"/>
      <c r="C731" s="719"/>
      <c r="D731" s="718"/>
      <c r="E731" s="718"/>
      <c r="F731" s="718"/>
      <c r="G731" s="718"/>
      <c r="H731" s="718"/>
      <c r="I731" s="718"/>
      <c r="J731" s="718"/>
      <c r="K731" s="718"/>
      <c r="L731" s="655" t="str">
        <f t="shared" si="719"/>
        <v>0</v>
      </c>
      <c r="M731" s="656">
        <f t="shared" si="520"/>
        <v>0</v>
      </c>
      <c r="N731" s="657">
        <f>+IF(OR($Q731=Parametres!$G$2,$Q731=Parametres!$G$3),I731,C731)</f>
        <v>0</v>
      </c>
      <c r="O731" s="657">
        <f>+IF(OR($Q731=Parametres!$G$2,$Q731=Parametres!$G$3),J731,D731)</f>
        <v>0</v>
      </c>
      <c r="P731" s="657">
        <f>+IF(OR($Q731=Parametres!$G$2,$Q731=Parametres!$G$3),K731,E731)</f>
        <v>0</v>
      </c>
      <c r="Q731" s="656">
        <f t="shared" ref="Q731:S731" si="744">+F731</f>
        <v>0</v>
      </c>
      <c r="R731" s="655">
        <f t="shared" si="744"/>
        <v>0</v>
      </c>
      <c r="S731" s="656">
        <f t="shared" si="744"/>
        <v>0</v>
      </c>
      <c r="T731" s="658" t="e">
        <f>+VLOOKUP($L731,Data_Validation!$A:$D,1,0)</f>
        <v>#N/A</v>
      </c>
      <c r="U731" s="658" t="e">
        <f>+VLOOKUP($L731,Data_Validation!$A:$D,3,0)</f>
        <v>#N/A</v>
      </c>
      <c r="V731" s="658" t="e">
        <f>+VLOOKUP($L731,Data_Validation!$A:$D,4,0)</f>
        <v>#N/A</v>
      </c>
      <c r="W731" s="658" t="e">
        <f>+VLOOKUP($L731,Data_Validation!$A:$E,5,0)</f>
        <v>#N/A</v>
      </c>
    </row>
    <row r="732" spans="1:23" ht="15.75" customHeight="1">
      <c r="A732" s="718"/>
      <c r="B732" s="656"/>
      <c r="C732" s="719"/>
      <c r="D732" s="718"/>
      <c r="E732" s="718"/>
      <c r="F732" s="718"/>
      <c r="G732" s="718"/>
      <c r="H732" s="718"/>
      <c r="I732" s="718"/>
      <c r="J732" s="718"/>
      <c r="K732" s="718"/>
      <c r="L732" s="655" t="str">
        <f t="shared" si="719"/>
        <v>0</v>
      </c>
      <c r="M732" s="656">
        <f t="shared" si="520"/>
        <v>0</v>
      </c>
      <c r="N732" s="657">
        <f>+IF(OR($Q732=Parametres!$G$2,$Q732=Parametres!$G$3),I732,C732)</f>
        <v>0</v>
      </c>
      <c r="O732" s="657">
        <f>+IF(OR($Q732=Parametres!$G$2,$Q732=Parametres!$G$3),J732,D732)</f>
        <v>0</v>
      </c>
      <c r="P732" s="657">
        <f>+IF(OR($Q732=Parametres!$G$2,$Q732=Parametres!$G$3),K732,E732)</f>
        <v>0</v>
      </c>
      <c r="Q732" s="656">
        <f t="shared" ref="Q732:S732" si="745">+F732</f>
        <v>0</v>
      </c>
      <c r="R732" s="655">
        <f t="shared" si="745"/>
        <v>0</v>
      </c>
      <c r="S732" s="656">
        <f t="shared" si="745"/>
        <v>0</v>
      </c>
      <c r="T732" s="658" t="e">
        <f>+VLOOKUP($L732,Data_Validation!$A:$D,1,0)</f>
        <v>#N/A</v>
      </c>
      <c r="U732" s="658" t="e">
        <f>+VLOOKUP($L732,Data_Validation!$A:$D,3,0)</f>
        <v>#N/A</v>
      </c>
      <c r="V732" s="658" t="e">
        <f>+VLOOKUP($L732,Data_Validation!$A:$D,4,0)</f>
        <v>#N/A</v>
      </c>
      <c r="W732" s="658" t="e">
        <f>+VLOOKUP($L732,Data_Validation!$A:$E,5,0)</f>
        <v>#N/A</v>
      </c>
    </row>
    <row r="733" spans="1:23" ht="15.75" customHeight="1">
      <c r="A733" s="718"/>
      <c r="B733" s="656"/>
      <c r="C733" s="719"/>
      <c r="D733" s="718"/>
      <c r="E733" s="718"/>
      <c r="F733" s="718"/>
      <c r="G733" s="718"/>
      <c r="H733" s="718"/>
      <c r="I733" s="718"/>
      <c r="J733" s="718"/>
      <c r="K733" s="718"/>
      <c r="L733" s="655" t="str">
        <f t="shared" si="719"/>
        <v>0</v>
      </c>
      <c r="M733" s="656">
        <f t="shared" si="520"/>
        <v>0</v>
      </c>
      <c r="N733" s="657">
        <f>+IF(OR($Q733=Parametres!$G$2,$Q733=Parametres!$G$3),I733,C733)</f>
        <v>0</v>
      </c>
      <c r="O733" s="657">
        <f>+IF(OR($Q733=Parametres!$G$2,$Q733=Parametres!$G$3),J733,D733)</f>
        <v>0</v>
      </c>
      <c r="P733" s="657">
        <f>+IF(OR($Q733=Parametres!$G$2,$Q733=Parametres!$G$3),K733,E733)</f>
        <v>0</v>
      </c>
      <c r="Q733" s="656">
        <f t="shared" ref="Q733:S733" si="746">+F733</f>
        <v>0</v>
      </c>
      <c r="R733" s="655">
        <f t="shared" si="746"/>
        <v>0</v>
      </c>
      <c r="S733" s="656">
        <f t="shared" si="746"/>
        <v>0</v>
      </c>
      <c r="T733" s="658" t="e">
        <f>+VLOOKUP($L733,Data_Validation!$A:$D,1,0)</f>
        <v>#N/A</v>
      </c>
      <c r="U733" s="658" t="e">
        <f>+VLOOKUP($L733,Data_Validation!$A:$D,3,0)</f>
        <v>#N/A</v>
      </c>
      <c r="V733" s="658" t="e">
        <f>+VLOOKUP($L733,Data_Validation!$A:$D,4,0)</f>
        <v>#N/A</v>
      </c>
      <c r="W733" s="658" t="e">
        <f>+VLOOKUP($L733,Data_Validation!$A:$E,5,0)</f>
        <v>#N/A</v>
      </c>
    </row>
    <row r="734" spans="1:23" ht="15.75" customHeight="1">
      <c r="A734" s="718"/>
      <c r="B734" s="656"/>
      <c r="C734" s="719"/>
      <c r="D734" s="718"/>
      <c r="E734" s="718"/>
      <c r="F734" s="718"/>
      <c r="G734" s="718"/>
      <c r="H734" s="718"/>
      <c r="I734" s="718"/>
      <c r="J734" s="718"/>
      <c r="K734" s="718"/>
      <c r="L734" s="655" t="str">
        <f t="shared" si="719"/>
        <v>0</v>
      </c>
      <c r="M734" s="656">
        <f t="shared" si="520"/>
        <v>0</v>
      </c>
      <c r="N734" s="657">
        <f>+IF(OR($Q734=Parametres!$G$2,$Q734=Parametres!$G$3),I734,C734)</f>
        <v>0</v>
      </c>
      <c r="O734" s="657">
        <f>+IF(OR($Q734=Parametres!$G$2,$Q734=Parametres!$G$3),J734,D734)</f>
        <v>0</v>
      </c>
      <c r="P734" s="657">
        <f>+IF(OR($Q734=Parametres!$G$2,$Q734=Parametres!$G$3),K734,E734)</f>
        <v>0</v>
      </c>
      <c r="Q734" s="656">
        <f t="shared" ref="Q734:S734" si="747">+F734</f>
        <v>0</v>
      </c>
      <c r="R734" s="655">
        <f t="shared" si="747"/>
        <v>0</v>
      </c>
      <c r="S734" s="656">
        <f t="shared" si="747"/>
        <v>0</v>
      </c>
      <c r="T734" s="658" t="e">
        <f>+VLOOKUP($L734,Data_Validation!$A:$D,1,0)</f>
        <v>#N/A</v>
      </c>
      <c r="U734" s="658" t="e">
        <f>+VLOOKUP($L734,Data_Validation!$A:$D,3,0)</f>
        <v>#N/A</v>
      </c>
      <c r="V734" s="658" t="e">
        <f>+VLOOKUP($L734,Data_Validation!$A:$D,4,0)</f>
        <v>#N/A</v>
      </c>
      <c r="W734" s="658" t="e">
        <f>+VLOOKUP($L734,Data_Validation!$A:$E,5,0)</f>
        <v>#N/A</v>
      </c>
    </row>
    <row r="735" spans="1:23" ht="15.75" customHeight="1">
      <c r="A735" s="718"/>
      <c r="B735" s="656"/>
      <c r="C735" s="719"/>
      <c r="D735" s="718"/>
      <c r="E735" s="718"/>
      <c r="F735" s="718"/>
      <c r="G735" s="718"/>
      <c r="H735" s="718"/>
      <c r="I735" s="718"/>
      <c r="J735" s="718"/>
      <c r="K735" s="718"/>
      <c r="L735" s="655" t="str">
        <f t="shared" si="719"/>
        <v>0</v>
      </c>
      <c r="M735" s="656">
        <f t="shared" si="520"/>
        <v>0</v>
      </c>
      <c r="N735" s="657">
        <f>+IF(OR($Q735=Parametres!$G$2,$Q735=Parametres!$G$3),I735,C735)</f>
        <v>0</v>
      </c>
      <c r="O735" s="657">
        <f>+IF(OR($Q735=Parametres!$G$2,$Q735=Parametres!$G$3),J735,D735)</f>
        <v>0</v>
      </c>
      <c r="P735" s="657">
        <f>+IF(OR($Q735=Parametres!$G$2,$Q735=Parametres!$G$3),K735,E735)</f>
        <v>0</v>
      </c>
      <c r="Q735" s="656">
        <f t="shared" ref="Q735:S735" si="748">+F735</f>
        <v>0</v>
      </c>
      <c r="R735" s="655">
        <f t="shared" si="748"/>
        <v>0</v>
      </c>
      <c r="S735" s="656">
        <f t="shared" si="748"/>
        <v>0</v>
      </c>
      <c r="T735" s="658" t="e">
        <f>+VLOOKUP($L735,Data_Validation!$A:$D,1,0)</f>
        <v>#N/A</v>
      </c>
      <c r="U735" s="658" t="e">
        <f>+VLOOKUP($L735,Data_Validation!$A:$D,3,0)</f>
        <v>#N/A</v>
      </c>
      <c r="V735" s="658" t="e">
        <f>+VLOOKUP($L735,Data_Validation!$A:$D,4,0)</f>
        <v>#N/A</v>
      </c>
      <c r="W735" s="658" t="e">
        <f>+VLOOKUP($L735,Data_Validation!$A:$E,5,0)</f>
        <v>#N/A</v>
      </c>
    </row>
    <row r="736" spans="1:23" ht="15.75" customHeight="1">
      <c r="A736" s="718"/>
      <c r="B736" s="656"/>
      <c r="C736" s="719"/>
      <c r="D736" s="718"/>
      <c r="E736" s="718"/>
      <c r="F736" s="718"/>
      <c r="G736" s="718"/>
      <c r="H736" s="718"/>
      <c r="I736" s="718"/>
      <c r="J736" s="718"/>
      <c r="K736" s="718"/>
      <c r="L736" s="655" t="str">
        <f t="shared" si="719"/>
        <v>0</v>
      </c>
      <c r="M736" s="656">
        <f t="shared" si="520"/>
        <v>0</v>
      </c>
      <c r="N736" s="657">
        <f>+IF(OR($Q736=Parametres!$G$2,$Q736=Parametres!$G$3),I736,C736)</f>
        <v>0</v>
      </c>
      <c r="O736" s="657">
        <f>+IF(OR($Q736=Parametres!$G$2,$Q736=Parametres!$G$3),J736,D736)</f>
        <v>0</v>
      </c>
      <c r="P736" s="657">
        <f>+IF(OR($Q736=Parametres!$G$2,$Q736=Parametres!$G$3),K736,E736)</f>
        <v>0</v>
      </c>
      <c r="Q736" s="656">
        <f t="shared" ref="Q736:S736" si="749">+F736</f>
        <v>0</v>
      </c>
      <c r="R736" s="655">
        <f t="shared" si="749"/>
        <v>0</v>
      </c>
      <c r="S736" s="656">
        <f t="shared" si="749"/>
        <v>0</v>
      </c>
      <c r="T736" s="658" t="e">
        <f>+VLOOKUP($L736,Data_Validation!$A:$D,1,0)</f>
        <v>#N/A</v>
      </c>
      <c r="U736" s="658" t="e">
        <f>+VLOOKUP($L736,Data_Validation!$A:$D,3,0)</f>
        <v>#N/A</v>
      </c>
      <c r="V736" s="658" t="e">
        <f>+VLOOKUP($L736,Data_Validation!$A:$D,4,0)</f>
        <v>#N/A</v>
      </c>
      <c r="W736" s="658" t="e">
        <f>+VLOOKUP($L736,Data_Validation!$A:$E,5,0)</f>
        <v>#N/A</v>
      </c>
    </row>
    <row r="737" spans="1:23" ht="15.75" customHeight="1">
      <c r="A737" s="718"/>
      <c r="B737" s="656"/>
      <c r="C737" s="719"/>
      <c r="D737" s="718"/>
      <c r="E737" s="718"/>
      <c r="F737" s="718"/>
      <c r="G737" s="718"/>
      <c r="H737" s="718"/>
      <c r="I737" s="718"/>
      <c r="J737" s="718"/>
      <c r="K737" s="718"/>
      <c r="L737" s="655" t="str">
        <f t="shared" si="719"/>
        <v>0</v>
      </c>
      <c r="M737" s="656">
        <f t="shared" si="520"/>
        <v>0</v>
      </c>
      <c r="N737" s="657">
        <f>+IF(OR($Q737=Parametres!$G$2,$Q737=Parametres!$G$3),I737,C737)</f>
        <v>0</v>
      </c>
      <c r="O737" s="657">
        <f>+IF(OR($Q737=Parametres!$G$2,$Q737=Parametres!$G$3),J737,D737)</f>
        <v>0</v>
      </c>
      <c r="P737" s="657">
        <f>+IF(OR($Q737=Parametres!$G$2,$Q737=Parametres!$G$3),K737,E737)</f>
        <v>0</v>
      </c>
      <c r="Q737" s="656">
        <f t="shared" ref="Q737:S737" si="750">+F737</f>
        <v>0</v>
      </c>
      <c r="R737" s="655">
        <f t="shared" si="750"/>
        <v>0</v>
      </c>
      <c r="S737" s="656">
        <f t="shared" si="750"/>
        <v>0</v>
      </c>
      <c r="T737" s="658" t="e">
        <f>+VLOOKUP($L737,Data_Validation!$A:$D,1,0)</f>
        <v>#N/A</v>
      </c>
      <c r="U737" s="658" t="e">
        <f>+VLOOKUP($L737,Data_Validation!$A:$D,3,0)</f>
        <v>#N/A</v>
      </c>
      <c r="V737" s="658" t="e">
        <f>+VLOOKUP($L737,Data_Validation!$A:$D,4,0)</f>
        <v>#N/A</v>
      </c>
      <c r="W737" s="658" t="e">
        <f>+VLOOKUP($L737,Data_Validation!$A:$E,5,0)</f>
        <v>#N/A</v>
      </c>
    </row>
    <row r="738" spans="1:23" ht="15.75" customHeight="1">
      <c r="A738" s="718"/>
      <c r="B738" s="656"/>
      <c r="C738" s="719"/>
      <c r="D738" s="718"/>
      <c r="E738" s="718"/>
      <c r="F738" s="718"/>
      <c r="G738" s="718"/>
      <c r="H738" s="718"/>
      <c r="I738" s="718"/>
      <c r="J738" s="718"/>
      <c r="K738" s="718"/>
      <c r="L738" s="655" t="str">
        <f t="shared" si="719"/>
        <v>0</v>
      </c>
      <c r="M738" s="656">
        <f t="shared" si="520"/>
        <v>0</v>
      </c>
      <c r="N738" s="657">
        <f>+IF(OR($Q738=Parametres!$G$2,$Q738=Parametres!$G$3),I738,C738)</f>
        <v>0</v>
      </c>
      <c r="O738" s="657">
        <f>+IF(OR($Q738=Parametres!$G$2,$Q738=Parametres!$G$3),J738,D738)</f>
        <v>0</v>
      </c>
      <c r="P738" s="657">
        <f>+IF(OR($Q738=Parametres!$G$2,$Q738=Parametres!$G$3),K738,E738)</f>
        <v>0</v>
      </c>
      <c r="Q738" s="656">
        <f t="shared" ref="Q738:S738" si="751">+F738</f>
        <v>0</v>
      </c>
      <c r="R738" s="655">
        <f t="shared" si="751"/>
        <v>0</v>
      </c>
      <c r="S738" s="656">
        <f t="shared" si="751"/>
        <v>0</v>
      </c>
      <c r="T738" s="658" t="e">
        <f>+VLOOKUP($L738,Data_Validation!$A:$D,1,0)</f>
        <v>#N/A</v>
      </c>
      <c r="U738" s="658" t="e">
        <f>+VLOOKUP($L738,Data_Validation!$A:$D,3,0)</f>
        <v>#N/A</v>
      </c>
      <c r="V738" s="658" t="e">
        <f>+VLOOKUP($L738,Data_Validation!$A:$D,4,0)</f>
        <v>#N/A</v>
      </c>
      <c r="W738" s="658" t="e">
        <f>+VLOOKUP($L738,Data_Validation!$A:$E,5,0)</f>
        <v>#N/A</v>
      </c>
    </row>
    <row r="739" spans="1:23" ht="15.75" customHeight="1">
      <c r="A739" s="718"/>
      <c r="B739" s="656"/>
      <c r="C739" s="719"/>
      <c r="D739" s="718"/>
      <c r="E739" s="718"/>
      <c r="F739" s="718"/>
      <c r="G739" s="718"/>
      <c r="H739" s="718"/>
      <c r="I739" s="718"/>
      <c r="J739" s="718"/>
      <c r="K739" s="718"/>
      <c r="L739" s="655" t="str">
        <f t="shared" si="719"/>
        <v>0</v>
      </c>
      <c r="M739" s="656">
        <f t="shared" si="520"/>
        <v>0</v>
      </c>
      <c r="N739" s="657">
        <f>+IF(OR($Q739=Parametres!$G$2,$Q739=Parametres!$G$3),I739,C739)</f>
        <v>0</v>
      </c>
      <c r="O739" s="657">
        <f>+IF(OR($Q739=Parametres!$G$2,$Q739=Parametres!$G$3),J739,D739)</f>
        <v>0</v>
      </c>
      <c r="P739" s="657">
        <f>+IF(OR($Q739=Parametres!$G$2,$Q739=Parametres!$G$3),K739,E739)</f>
        <v>0</v>
      </c>
      <c r="Q739" s="656">
        <f t="shared" ref="Q739:S739" si="752">+F739</f>
        <v>0</v>
      </c>
      <c r="R739" s="655">
        <f t="shared" si="752"/>
        <v>0</v>
      </c>
      <c r="S739" s="656">
        <f t="shared" si="752"/>
        <v>0</v>
      </c>
      <c r="T739" s="658" t="e">
        <f>+VLOOKUP($L739,Data_Validation!$A:$D,1,0)</f>
        <v>#N/A</v>
      </c>
      <c r="U739" s="658" t="e">
        <f>+VLOOKUP($L739,Data_Validation!$A:$D,3,0)</f>
        <v>#N/A</v>
      </c>
      <c r="V739" s="658" t="e">
        <f>+VLOOKUP($L739,Data_Validation!$A:$D,4,0)</f>
        <v>#N/A</v>
      </c>
      <c r="W739" s="658" t="e">
        <f>+VLOOKUP($L739,Data_Validation!$A:$E,5,0)</f>
        <v>#N/A</v>
      </c>
    </row>
    <row r="740" spans="1:23" ht="15.75" customHeight="1">
      <c r="A740" s="718"/>
      <c r="B740" s="656"/>
      <c r="C740" s="719"/>
      <c r="D740" s="718"/>
      <c r="E740" s="718"/>
      <c r="F740" s="718"/>
      <c r="G740" s="718"/>
      <c r="H740" s="718"/>
      <c r="I740" s="718"/>
      <c r="J740" s="718"/>
      <c r="K740" s="718"/>
      <c r="L740" s="655" t="str">
        <f t="shared" si="719"/>
        <v>0</v>
      </c>
      <c r="M740" s="656">
        <f t="shared" si="520"/>
        <v>0</v>
      </c>
      <c r="N740" s="657">
        <f>+IF(OR($Q740=Parametres!$G$2,$Q740=Parametres!$G$3),I740,C740)</f>
        <v>0</v>
      </c>
      <c r="O740" s="657">
        <f>+IF(OR($Q740=Parametres!$G$2,$Q740=Parametres!$G$3),J740,D740)</f>
        <v>0</v>
      </c>
      <c r="P740" s="657">
        <f>+IF(OR($Q740=Parametres!$G$2,$Q740=Parametres!$G$3),K740,E740)</f>
        <v>0</v>
      </c>
      <c r="Q740" s="656">
        <f t="shared" ref="Q740:S740" si="753">+F740</f>
        <v>0</v>
      </c>
      <c r="R740" s="655">
        <f t="shared" si="753"/>
        <v>0</v>
      </c>
      <c r="S740" s="656">
        <f t="shared" si="753"/>
        <v>0</v>
      </c>
      <c r="T740" s="658" t="e">
        <f>+VLOOKUP($L740,Data_Validation!$A:$D,1,0)</f>
        <v>#N/A</v>
      </c>
      <c r="U740" s="658" t="e">
        <f>+VLOOKUP($L740,Data_Validation!$A:$D,3,0)</f>
        <v>#N/A</v>
      </c>
      <c r="V740" s="658" t="e">
        <f>+VLOOKUP($L740,Data_Validation!$A:$D,4,0)</f>
        <v>#N/A</v>
      </c>
      <c r="W740" s="658" t="e">
        <f>+VLOOKUP($L740,Data_Validation!$A:$E,5,0)</f>
        <v>#N/A</v>
      </c>
    </row>
    <row r="741" spans="1:23" ht="15.75" customHeight="1">
      <c r="A741" s="718"/>
      <c r="B741" s="656"/>
      <c r="C741" s="719"/>
      <c r="D741" s="718"/>
      <c r="E741" s="718"/>
      <c r="F741" s="718"/>
      <c r="G741" s="718"/>
      <c r="H741" s="718"/>
      <c r="I741" s="718"/>
      <c r="J741" s="718"/>
      <c r="K741" s="718"/>
      <c r="L741" s="655" t="str">
        <f t="shared" si="719"/>
        <v>0</v>
      </c>
      <c r="M741" s="656">
        <f t="shared" si="520"/>
        <v>0</v>
      </c>
      <c r="N741" s="657">
        <f>+IF(OR($Q741=Parametres!$G$2,$Q741=Parametres!$G$3),I741,C741)</f>
        <v>0</v>
      </c>
      <c r="O741" s="657">
        <f>+IF(OR($Q741=Parametres!$G$2,$Q741=Parametres!$G$3),J741,D741)</f>
        <v>0</v>
      </c>
      <c r="P741" s="657">
        <f>+IF(OR($Q741=Parametres!$G$2,$Q741=Parametres!$G$3),K741,E741)</f>
        <v>0</v>
      </c>
      <c r="Q741" s="656">
        <f t="shared" ref="Q741:S741" si="754">+F741</f>
        <v>0</v>
      </c>
      <c r="R741" s="655">
        <f t="shared" si="754"/>
        <v>0</v>
      </c>
      <c r="S741" s="656">
        <f t="shared" si="754"/>
        <v>0</v>
      </c>
      <c r="T741" s="658" t="e">
        <f>+VLOOKUP($L741,Data_Validation!$A:$D,1,0)</f>
        <v>#N/A</v>
      </c>
      <c r="U741" s="658" t="e">
        <f>+VLOOKUP($L741,Data_Validation!$A:$D,3,0)</f>
        <v>#N/A</v>
      </c>
      <c r="V741" s="658" t="e">
        <f>+VLOOKUP($L741,Data_Validation!$A:$D,4,0)</f>
        <v>#N/A</v>
      </c>
      <c r="W741" s="658" t="e">
        <f>+VLOOKUP($L741,Data_Validation!$A:$E,5,0)</f>
        <v>#N/A</v>
      </c>
    </row>
    <row r="742" spans="1:23" ht="15.75" customHeight="1">
      <c r="A742" s="718"/>
      <c r="B742" s="656"/>
      <c r="C742" s="719"/>
      <c r="D742" s="718"/>
      <c r="E742" s="718"/>
      <c r="F742" s="718"/>
      <c r="G742" s="718"/>
      <c r="H742" s="718"/>
      <c r="I742" s="718"/>
      <c r="J742" s="718"/>
      <c r="K742" s="718"/>
      <c r="L742" s="655" t="str">
        <f t="shared" si="719"/>
        <v>0</v>
      </c>
      <c r="M742" s="656">
        <f t="shared" si="520"/>
        <v>0</v>
      </c>
      <c r="N742" s="657">
        <f>+IF(OR($Q742=Parametres!$G$2,$Q742=Parametres!$G$3),I742,C742)</f>
        <v>0</v>
      </c>
      <c r="O742" s="657">
        <f>+IF(OR($Q742=Parametres!$G$2,$Q742=Parametres!$G$3),J742,D742)</f>
        <v>0</v>
      </c>
      <c r="P742" s="657">
        <f>+IF(OR($Q742=Parametres!$G$2,$Q742=Parametres!$G$3),K742,E742)</f>
        <v>0</v>
      </c>
      <c r="Q742" s="656">
        <f t="shared" ref="Q742:S742" si="755">+F742</f>
        <v>0</v>
      </c>
      <c r="R742" s="655">
        <f t="shared" si="755"/>
        <v>0</v>
      </c>
      <c r="S742" s="656">
        <f t="shared" si="755"/>
        <v>0</v>
      </c>
      <c r="T742" s="658" t="e">
        <f>+VLOOKUP($L742,Data_Validation!$A:$D,1,0)</f>
        <v>#N/A</v>
      </c>
      <c r="U742" s="658" t="e">
        <f>+VLOOKUP($L742,Data_Validation!$A:$D,3,0)</f>
        <v>#N/A</v>
      </c>
      <c r="V742" s="658" t="e">
        <f>+VLOOKUP($L742,Data_Validation!$A:$D,4,0)</f>
        <v>#N/A</v>
      </c>
      <c r="W742" s="658" t="e">
        <f>+VLOOKUP($L742,Data_Validation!$A:$E,5,0)</f>
        <v>#N/A</v>
      </c>
    </row>
    <row r="743" spans="1:23" ht="15.75" customHeight="1">
      <c r="A743" s="718"/>
      <c r="B743" s="656"/>
      <c r="C743" s="719"/>
      <c r="D743" s="718"/>
      <c r="E743" s="718"/>
      <c r="F743" s="718"/>
      <c r="G743" s="718"/>
      <c r="H743" s="718"/>
      <c r="I743" s="718"/>
      <c r="J743" s="718"/>
      <c r="K743" s="718"/>
      <c r="L743" s="655" t="str">
        <f t="shared" si="719"/>
        <v>0</v>
      </c>
      <c r="M743" s="656">
        <f t="shared" si="520"/>
        <v>0</v>
      </c>
      <c r="N743" s="657">
        <f>+IF(OR($Q743=Parametres!$G$2,$Q743=Parametres!$G$3),I743,C743)</f>
        <v>0</v>
      </c>
      <c r="O743" s="657">
        <f>+IF(OR($Q743=Parametres!$G$2,$Q743=Parametres!$G$3),J743,D743)</f>
        <v>0</v>
      </c>
      <c r="P743" s="657">
        <f>+IF(OR($Q743=Parametres!$G$2,$Q743=Parametres!$G$3),K743,E743)</f>
        <v>0</v>
      </c>
      <c r="Q743" s="656">
        <f t="shared" ref="Q743:S743" si="756">+F743</f>
        <v>0</v>
      </c>
      <c r="R743" s="655">
        <f t="shared" si="756"/>
        <v>0</v>
      </c>
      <c r="S743" s="656">
        <f t="shared" si="756"/>
        <v>0</v>
      </c>
      <c r="T743" s="658" t="e">
        <f>+VLOOKUP($L743,Data_Validation!$A:$D,1,0)</f>
        <v>#N/A</v>
      </c>
      <c r="U743" s="658" t="e">
        <f>+VLOOKUP($L743,Data_Validation!$A:$D,3,0)</f>
        <v>#N/A</v>
      </c>
      <c r="V743" s="658" t="e">
        <f>+VLOOKUP($L743,Data_Validation!$A:$D,4,0)</f>
        <v>#N/A</v>
      </c>
      <c r="W743" s="658" t="e">
        <f>+VLOOKUP($L743,Data_Validation!$A:$E,5,0)</f>
        <v>#N/A</v>
      </c>
    </row>
    <row r="744" spans="1:23" ht="15.75" customHeight="1">
      <c r="A744" s="718"/>
      <c r="B744" s="656"/>
      <c r="C744" s="719"/>
      <c r="D744" s="718"/>
      <c r="E744" s="718"/>
      <c r="F744" s="718"/>
      <c r="G744" s="718"/>
      <c r="H744" s="718"/>
      <c r="I744" s="718"/>
      <c r="J744" s="718"/>
      <c r="K744" s="718"/>
      <c r="L744" s="655" t="str">
        <f t="shared" si="719"/>
        <v>0</v>
      </c>
      <c r="M744" s="656">
        <f t="shared" si="520"/>
        <v>0</v>
      </c>
      <c r="N744" s="657">
        <f>+IF(OR($Q744=Parametres!$G$2,$Q744=Parametres!$G$3),I744,C744)</f>
        <v>0</v>
      </c>
      <c r="O744" s="657">
        <f>+IF(OR($Q744=Parametres!$G$2,$Q744=Parametres!$G$3),J744,D744)</f>
        <v>0</v>
      </c>
      <c r="P744" s="657">
        <f>+IF(OR($Q744=Parametres!$G$2,$Q744=Parametres!$G$3),K744,E744)</f>
        <v>0</v>
      </c>
      <c r="Q744" s="656">
        <f t="shared" ref="Q744:S744" si="757">+F744</f>
        <v>0</v>
      </c>
      <c r="R744" s="655">
        <f t="shared" si="757"/>
        <v>0</v>
      </c>
      <c r="S744" s="656">
        <f t="shared" si="757"/>
        <v>0</v>
      </c>
      <c r="T744" s="658" t="e">
        <f>+VLOOKUP($L744,Data_Validation!$A:$D,1,0)</f>
        <v>#N/A</v>
      </c>
      <c r="U744" s="658" t="e">
        <f>+VLOOKUP($L744,Data_Validation!$A:$D,3,0)</f>
        <v>#N/A</v>
      </c>
      <c r="V744" s="658" t="e">
        <f>+VLOOKUP($L744,Data_Validation!$A:$D,4,0)</f>
        <v>#N/A</v>
      </c>
      <c r="W744" s="658" t="e">
        <f>+VLOOKUP($L744,Data_Validation!$A:$E,5,0)</f>
        <v>#N/A</v>
      </c>
    </row>
    <row r="745" spans="1:23" ht="15.75" customHeight="1">
      <c r="A745" s="718"/>
      <c r="B745" s="656"/>
      <c r="C745" s="719"/>
      <c r="D745" s="718"/>
      <c r="E745" s="718"/>
      <c r="F745" s="718"/>
      <c r="G745" s="718"/>
      <c r="H745" s="718"/>
      <c r="I745" s="718"/>
      <c r="J745" s="718"/>
      <c r="K745" s="718"/>
      <c r="L745" s="655" t="str">
        <f t="shared" si="719"/>
        <v>0</v>
      </c>
      <c r="M745" s="656">
        <f t="shared" si="520"/>
        <v>0</v>
      </c>
      <c r="N745" s="657">
        <f>+IF(OR($Q745=Parametres!$G$2,$Q745=Parametres!$G$3),I745,C745)</f>
        <v>0</v>
      </c>
      <c r="O745" s="657">
        <f>+IF(OR($Q745=Parametres!$G$2,$Q745=Parametres!$G$3),J745,D745)</f>
        <v>0</v>
      </c>
      <c r="P745" s="657">
        <f>+IF(OR($Q745=Parametres!$G$2,$Q745=Parametres!$G$3),K745,E745)</f>
        <v>0</v>
      </c>
      <c r="Q745" s="656">
        <f t="shared" ref="Q745:S745" si="758">+F745</f>
        <v>0</v>
      </c>
      <c r="R745" s="655">
        <f t="shared" si="758"/>
        <v>0</v>
      </c>
      <c r="S745" s="656">
        <f t="shared" si="758"/>
        <v>0</v>
      </c>
      <c r="T745" s="658" t="e">
        <f>+VLOOKUP($L745,Data_Validation!$A:$D,1,0)</f>
        <v>#N/A</v>
      </c>
      <c r="U745" s="658" t="e">
        <f>+VLOOKUP($L745,Data_Validation!$A:$D,3,0)</f>
        <v>#N/A</v>
      </c>
      <c r="V745" s="658" t="e">
        <f>+VLOOKUP($L745,Data_Validation!$A:$D,4,0)</f>
        <v>#N/A</v>
      </c>
      <c r="W745" s="658" t="e">
        <f>+VLOOKUP($L745,Data_Validation!$A:$E,5,0)</f>
        <v>#N/A</v>
      </c>
    </row>
    <row r="746" spans="1:23" ht="15.75" customHeight="1">
      <c r="A746" s="718"/>
      <c r="B746" s="656"/>
      <c r="C746" s="719"/>
      <c r="D746" s="718"/>
      <c r="E746" s="718"/>
      <c r="F746" s="718"/>
      <c r="G746" s="718"/>
      <c r="H746" s="718"/>
      <c r="I746" s="718"/>
      <c r="J746" s="718"/>
      <c r="K746" s="718"/>
      <c r="L746" s="655" t="str">
        <f t="shared" si="719"/>
        <v>0</v>
      </c>
      <c r="M746" s="656">
        <f t="shared" si="520"/>
        <v>0</v>
      </c>
      <c r="N746" s="657">
        <f>+IF(OR($Q746=Parametres!$G$2,$Q746=Parametres!$G$3),I746,C746)</f>
        <v>0</v>
      </c>
      <c r="O746" s="657">
        <f>+IF(OR($Q746=Parametres!$G$2,$Q746=Parametres!$G$3),J746,D746)</f>
        <v>0</v>
      </c>
      <c r="P746" s="657">
        <f>+IF(OR($Q746=Parametres!$G$2,$Q746=Parametres!$G$3),K746,E746)</f>
        <v>0</v>
      </c>
      <c r="Q746" s="656">
        <f t="shared" ref="Q746:S746" si="759">+F746</f>
        <v>0</v>
      </c>
      <c r="R746" s="655">
        <f t="shared" si="759"/>
        <v>0</v>
      </c>
      <c r="S746" s="656">
        <f t="shared" si="759"/>
        <v>0</v>
      </c>
      <c r="T746" s="658" t="e">
        <f>+VLOOKUP($L746,Data_Validation!$A:$D,1,0)</f>
        <v>#N/A</v>
      </c>
      <c r="U746" s="658" t="e">
        <f>+VLOOKUP($L746,Data_Validation!$A:$D,3,0)</f>
        <v>#N/A</v>
      </c>
      <c r="V746" s="658" t="e">
        <f>+VLOOKUP($L746,Data_Validation!$A:$D,4,0)</f>
        <v>#N/A</v>
      </c>
      <c r="W746" s="658" t="e">
        <f>+VLOOKUP($L746,Data_Validation!$A:$E,5,0)</f>
        <v>#N/A</v>
      </c>
    </row>
    <row r="747" spans="1:23" ht="15.75" customHeight="1">
      <c r="A747" s="718"/>
      <c r="B747" s="656"/>
      <c r="C747" s="719"/>
      <c r="D747" s="718"/>
      <c r="E747" s="718"/>
      <c r="F747" s="718"/>
      <c r="G747" s="718"/>
      <c r="H747" s="718"/>
      <c r="I747" s="718"/>
      <c r="J747" s="718"/>
      <c r="K747" s="718"/>
      <c r="L747" s="655" t="str">
        <f t="shared" si="719"/>
        <v>0</v>
      </c>
      <c r="M747" s="656">
        <f t="shared" si="520"/>
        <v>0</v>
      </c>
      <c r="N747" s="657">
        <f>+IF(OR($Q747=Parametres!$G$2,$Q747=Parametres!$G$3),I747,C747)</f>
        <v>0</v>
      </c>
      <c r="O747" s="657">
        <f>+IF(OR($Q747=Parametres!$G$2,$Q747=Parametres!$G$3),J747,D747)</f>
        <v>0</v>
      </c>
      <c r="P747" s="657">
        <f>+IF(OR($Q747=Parametres!$G$2,$Q747=Parametres!$G$3),K747,E747)</f>
        <v>0</v>
      </c>
      <c r="Q747" s="656">
        <f t="shared" ref="Q747:S747" si="760">+F747</f>
        <v>0</v>
      </c>
      <c r="R747" s="655">
        <f t="shared" si="760"/>
        <v>0</v>
      </c>
      <c r="S747" s="656">
        <f t="shared" si="760"/>
        <v>0</v>
      </c>
      <c r="T747" s="658" t="e">
        <f>+VLOOKUP($L747,Data_Validation!$A:$D,1,0)</f>
        <v>#N/A</v>
      </c>
      <c r="U747" s="658" t="e">
        <f>+VLOOKUP($L747,Data_Validation!$A:$D,3,0)</f>
        <v>#N/A</v>
      </c>
      <c r="V747" s="658" t="e">
        <f>+VLOOKUP($L747,Data_Validation!$A:$D,4,0)</f>
        <v>#N/A</v>
      </c>
      <c r="W747" s="658" t="e">
        <f>+VLOOKUP($L747,Data_Validation!$A:$E,5,0)</f>
        <v>#N/A</v>
      </c>
    </row>
    <row r="748" spans="1:23" ht="15.75" customHeight="1">
      <c r="A748" s="718"/>
      <c r="B748" s="656"/>
      <c r="C748" s="719"/>
      <c r="D748" s="718"/>
      <c r="E748" s="718"/>
      <c r="F748" s="718"/>
      <c r="G748" s="718"/>
      <c r="H748" s="718"/>
      <c r="I748" s="718"/>
      <c r="J748" s="718"/>
      <c r="K748" s="718"/>
      <c r="L748" s="655" t="str">
        <f t="shared" si="719"/>
        <v>0</v>
      </c>
      <c r="M748" s="656">
        <f t="shared" si="520"/>
        <v>0</v>
      </c>
      <c r="N748" s="657">
        <f>+IF(OR($Q748=Parametres!$G$2,$Q748=Parametres!$G$3),I748,C748)</f>
        <v>0</v>
      </c>
      <c r="O748" s="657">
        <f>+IF(OR($Q748=Parametres!$G$2,$Q748=Parametres!$G$3),J748,D748)</f>
        <v>0</v>
      </c>
      <c r="P748" s="657">
        <f>+IF(OR($Q748=Parametres!$G$2,$Q748=Parametres!$G$3),K748,E748)</f>
        <v>0</v>
      </c>
      <c r="Q748" s="656">
        <f t="shared" ref="Q748:S748" si="761">+F748</f>
        <v>0</v>
      </c>
      <c r="R748" s="655">
        <f t="shared" si="761"/>
        <v>0</v>
      </c>
      <c r="S748" s="656">
        <f t="shared" si="761"/>
        <v>0</v>
      </c>
      <c r="T748" s="658" t="e">
        <f>+VLOOKUP($L748,Data_Validation!$A:$D,1,0)</f>
        <v>#N/A</v>
      </c>
      <c r="U748" s="658" t="e">
        <f>+VLOOKUP($L748,Data_Validation!$A:$D,3,0)</f>
        <v>#N/A</v>
      </c>
      <c r="V748" s="658" t="e">
        <f>+VLOOKUP($L748,Data_Validation!$A:$D,4,0)</f>
        <v>#N/A</v>
      </c>
      <c r="W748" s="658" t="e">
        <f>+VLOOKUP($L748,Data_Validation!$A:$E,5,0)</f>
        <v>#N/A</v>
      </c>
    </row>
    <row r="749" spans="1:23" ht="15.75" customHeight="1">
      <c r="A749" s="718"/>
      <c r="B749" s="656"/>
      <c r="C749" s="719"/>
      <c r="D749" s="718"/>
      <c r="E749" s="718"/>
      <c r="F749" s="718"/>
      <c r="G749" s="718"/>
      <c r="H749" s="718"/>
      <c r="I749" s="718"/>
      <c r="J749" s="718"/>
      <c r="K749" s="718"/>
      <c r="L749" s="655" t="str">
        <f t="shared" si="719"/>
        <v>0</v>
      </c>
      <c r="M749" s="656">
        <f t="shared" si="520"/>
        <v>0</v>
      </c>
      <c r="N749" s="657">
        <f>+IF(OR($Q749=Parametres!$G$2,$Q749=Parametres!$G$3),I749,C749)</f>
        <v>0</v>
      </c>
      <c r="O749" s="657">
        <f>+IF(OR($Q749=Parametres!$G$2,$Q749=Parametres!$G$3),J749,D749)</f>
        <v>0</v>
      </c>
      <c r="P749" s="657">
        <f>+IF(OR($Q749=Parametres!$G$2,$Q749=Parametres!$G$3),K749,E749)</f>
        <v>0</v>
      </c>
      <c r="Q749" s="656">
        <f t="shared" ref="Q749:S749" si="762">+F749</f>
        <v>0</v>
      </c>
      <c r="R749" s="655">
        <f t="shared" si="762"/>
        <v>0</v>
      </c>
      <c r="S749" s="656">
        <f t="shared" si="762"/>
        <v>0</v>
      </c>
      <c r="T749" s="658" t="e">
        <f>+VLOOKUP($L749,Data_Validation!$A:$D,1,0)</f>
        <v>#N/A</v>
      </c>
      <c r="U749" s="658" t="e">
        <f>+VLOOKUP($L749,Data_Validation!$A:$D,3,0)</f>
        <v>#N/A</v>
      </c>
      <c r="V749" s="658" t="e">
        <f>+VLOOKUP($L749,Data_Validation!$A:$D,4,0)</f>
        <v>#N/A</v>
      </c>
      <c r="W749" s="658" t="e">
        <f>+VLOOKUP($L749,Data_Validation!$A:$E,5,0)</f>
        <v>#N/A</v>
      </c>
    </row>
    <row r="750" spans="1:23" ht="15.75" customHeight="1">
      <c r="A750" s="718"/>
      <c r="B750" s="656"/>
      <c r="C750" s="719"/>
      <c r="D750" s="718"/>
      <c r="E750" s="718"/>
      <c r="F750" s="718"/>
      <c r="G750" s="718"/>
      <c r="H750" s="718"/>
      <c r="I750" s="718"/>
      <c r="J750" s="718"/>
      <c r="K750" s="718"/>
      <c r="L750" s="655" t="str">
        <f t="shared" si="719"/>
        <v>0</v>
      </c>
      <c r="M750" s="656">
        <f t="shared" si="520"/>
        <v>0</v>
      </c>
      <c r="N750" s="657">
        <f>+IF(OR($Q750=Parametres!$G$2,$Q750=Parametres!$G$3),I750,C750)</f>
        <v>0</v>
      </c>
      <c r="O750" s="657">
        <f>+IF(OR($Q750=Parametres!$G$2,$Q750=Parametres!$G$3),J750,D750)</f>
        <v>0</v>
      </c>
      <c r="P750" s="657">
        <f>+IF(OR($Q750=Parametres!$G$2,$Q750=Parametres!$G$3),K750,E750)</f>
        <v>0</v>
      </c>
      <c r="Q750" s="656">
        <f t="shared" ref="Q750:S750" si="763">+F750</f>
        <v>0</v>
      </c>
      <c r="R750" s="655">
        <f t="shared" si="763"/>
        <v>0</v>
      </c>
      <c r="S750" s="656">
        <f t="shared" si="763"/>
        <v>0</v>
      </c>
      <c r="T750" s="658" t="e">
        <f>+VLOOKUP($L750,Data_Validation!$A:$D,1,0)</f>
        <v>#N/A</v>
      </c>
      <c r="U750" s="658" t="e">
        <f>+VLOOKUP($L750,Data_Validation!$A:$D,3,0)</f>
        <v>#N/A</v>
      </c>
      <c r="V750" s="658" t="e">
        <f>+VLOOKUP($L750,Data_Validation!$A:$D,4,0)</f>
        <v>#N/A</v>
      </c>
      <c r="W750" s="658" t="e">
        <f>+VLOOKUP($L750,Data_Validation!$A:$E,5,0)</f>
        <v>#N/A</v>
      </c>
    </row>
    <row r="751" spans="1:23" ht="15.75" customHeight="1">
      <c r="A751" s="718"/>
      <c r="B751" s="656"/>
      <c r="C751" s="719"/>
      <c r="D751" s="718"/>
      <c r="E751" s="718"/>
      <c r="F751" s="718"/>
      <c r="G751" s="718"/>
      <c r="H751" s="718"/>
      <c r="I751" s="718"/>
      <c r="J751" s="718"/>
      <c r="K751" s="718"/>
      <c r="L751" s="655" t="str">
        <f t="shared" si="719"/>
        <v>0</v>
      </c>
      <c r="M751" s="656">
        <f t="shared" si="520"/>
        <v>0</v>
      </c>
      <c r="N751" s="657">
        <f>+IF(OR($Q751=Parametres!$G$2,$Q751=Parametres!$G$3),I751,C751)</f>
        <v>0</v>
      </c>
      <c r="O751" s="657">
        <f>+IF(OR($Q751=Parametres!$G$2,$Q751=Parametres!$G$3),J751,D751)</f>
        <v>0</v>
      </c>
      <c r="P751" s="657">
        <f>+IF(OR($Q751=Parametres!$G$2,$Q751=Parametres!$G$3),K751,E751)</f>
        <v>0</v>
      </c>
      <c r="Q751" s="656">
        <f t="shared" ref="Q751:S751" si="764">+F751</f>
        <v>0</v>
      </c>
      <c r="R751" s="655">
        <f t="shared" si="764"/>
        <v>0</v>
      </c>
      <c r="S751" s="656">
        <f t="shared" si="764"/>
        <v>0</v>
      </c>
      <c r="T751" s="658" t="e">
        <f>+VLOOKUP($L751,Data_Validation!$A:$D,1,0)</f>
        <v>#N/A</v>
      </c>
      <c r="U751" s="658" t="e">
        <f>+VLOOKUP($L751,Data_Validation!$A:$D,3,0)</f>
        <v>#N/A</v>
      </c>
      <c r="V751" s="658" t="e">
        <f>+VLOOKUP($L751,Data_Validation!$A:$D,4,0)</f>
        <v>#N/A</v>
      </c>
      <c r="W751" s="658" t="e">
        <f>+VLOOKUP($L751,Data_Validation!$A:$E,5,0)</f>
        <v>#N/A</v>
      </c>
    </row>
    <row r="752" spans="1:23" ht="15.75" customHeight="1">
      <c r="A752" s="718"/>
      <c r="B752" s="656"/>
      <c r="C752" s="719"/>
      <c r="D752" s="718"/>
      <c r="E752" s="718"/>
      <c r="F752" s="718"/>
      <c r="G752" s="718"/>
      <c r="H752" s="718"/>
      <c r="I752" s="718"/>
      <c r="J752" s="718"/>
      <c r="K752" s="718"/>
      <c r="L752" s="655" t="str">
        <f t="shared" si="719"/>
        <v>0</v>
      </c>
      <c r="M752" s="656">
        <f t="shared" si="520"/>
        <v>0</v>
      </c>
      <c r="N752" s="657">
        <f>+IF(OR($Q752=Parametres!$G$2,$Q752=Parametres!$G$3),I752,C752)</f>
        <v>0</v>
      </c>
      <c r="O752" s="657">
        <f>+IF(OR($Q752=Parametres!$G$2,$Q752=Parametres!$G$3),J752,D752)</f>
        <v>0</v>
      </c>
      <c r="P752" s="657">
        <f>+IF(OR($Q752=Parametres!$G$2,$Q752=Parametres!$G$3),K752,E752)</f>
        <v>0</v>
      </c>
      <c r="Q752" s="656">
        <f t="shared" ref="Q752:S752" si="765">+F752</f>
        <v>0</v>
      </c>
      <c r="R752" s="655">
        <f t="shared" si="765"/>
        <v>0</v>
      </c>
      <c r="S752" s="656">
        <f t="shared" si="765"/>
        <v>0</v>
      </c>
      <c r="T752" s="658" t="e">
        <f>+VLOOKUP($L752,Data_Validation!$A:$D,1,0)</f>
        <v>#N/A</v>
      </c>
      <c r="U752" s="658" t="e">
        <f>+VLOOKUP($L752,Data_Validation!$A:$D,3,0)</f>
        <v>#N/A</v>
      </c>
      <c r="V752" s="658" t="e">
        <f>+VLOOKUP($L752,Data_Validation!$A:$D,4,0)</f>
        <v>#N/A</v>
      </c>
      <c r="W752" s="658" t="e">
        <f>+VLOOKUP($L752,Data_Validation!$A:$E,5,0)</f>
        <v>#N/A</v>
      </c>
    </row>
    <row r="753" spans="1:23" ht="15.75" customHeight="1">
      <c r="A753" s="718"/>
      <c r="B753" s="656"/>
      <c r="C753" s="719"/>
      <c r="D753" s="718"/>
      <c r="E753" s="718"/>
      <c r="F753" s="718"/>
      <c r="G753" s="718"/>
      <c r="H753" s="718"/>
      <c r="I753" s="718"/>
      <c r="J753" s="718"/>
      <c r="K753" s="718"/>
      <c r="L753" s="655" t="str">
        <f t="shared" si="719"/>
        <v>0</v>
      </c>
      <c r="M753" s="656">
        <f t="shared" si="520"/>
        <v>0</v>
      </c>
      <c r="N753" s="657">
        <f>+IF(OR($Q753=Parametres!$G$2,$Q753=Parametres!$G$3),I753,C753)</f>
        <v>0</v>
      </c>
      <c r="O753" s="657">
        <f>+IF(OR($Q753=Parametres!$G$2,$Q753=Parametres!$G$3),J753,D753)</f>
        <v>0</v>
      </c>
      <c r="P753" s="657">
        <f>+IF(OR($Q753=Parametres!$G$2,$Q753=Parametres!$G$3),K753,E753)</f>
        <v>0</v>
      </c>
      <c r="Q753" s="656">
        <f t="shared" ref="Q753:S753" si="766">+F753</f>
        <v>0</v>
      </c>
      <c r="R753" s="655">
        <f t="shared" si="766"/>
        <v>0</v>
      </c>
      <c r="S753" s="656">
        <f t="shared" si="766"/>
        <v>0</v>
      </c>
      <c r="T753" s="658" t="e">
        <f>+VLOOKUP($L753,Data_Validation!$A:$D,1,0)</f>
        <v>#N/A</v>
      </c>
      <c r="U753" s="658" t="e">
        <f>+VLOOKUP($L753,Data_Validation!$A:$D,3,0)</f>
        <v>#N/A</v>
      </c>
      <c r="V753" s="658" t="e">
        <f>+VLOOKUP($L753,Data_Validation!$A:$D,4,0)</f>
        <v>#N/A</v>
      </c>
      <c r="W753" s="658" t="e">
        <f>+VLOOKUP($L753,Data_Validation!$A:$E,5,0)</f>
        <v>#N/A</v>
      </c>
    </row>
    <row r="754" spans="1:23" ht="15.75" customHeight="1">
      <c r="A754" s="718"/>
      <c r="B754" s="656"/>
      <c r="C754" s="719"/>
      <c r="D754" s="718"/>
      <c r="E754" s="718"/>
      <c r="F754" s="718"/>
      <c r="G754" s="718"/>
      <c r="H754" s="718"/>
      <c r="I754" s="718"/>
      <c r="J754" s="718"/>
      <c r="K754" s="718"/>
      <c r="L754" s="655" t="str">
        <f t="shared" si="719"/>
        <v>0</v>
      </c>
      <c r="M754" s="656">
        <f t="shared" si="520"/>
        <v>0</v>
      </c>
      <c r="N754" s="657">
        <f>+IF(OR($Q754=Parametres!$G$2,$Q754=Parametres!$G$3),I754,C754)</f>
        <v>0</v>
      </c>
      <c r="O754" s="657">
        <f>+IF(OR($Q754=Parametres!$G$2,$Q754=Parametres!$G$3),J754,D754)</f>
        <v>0</v>
      </c>
      <c r="P754" s="657">
        <f>+IF(OR($Q754=Parametres!$G$2,$Q754=Parametres!$G$3),K754,E754)</f>
        <v>0</v>
      </c>
      <c r="Q754" s="656">
        <f t="shared" ref="Q754:S754" si="767">+F754</f>
        <v>0</v>
      </c>
      <c r="R754" s="655">
        <f t="shared" si="767"/>
        <v>0</v>
      </c>
      <c r="S754" s="656">
        <f t="shared" si="767"/>
        <v>0</v>
      </c>
      <c r="T754" s="658" t="e">
        <f>+VLOOKUP($L754,Data_Validation!$A:$D,1,0)</f>
        <v>#N/A</v>
      </c>
      <c r="U754" s="658" t="e">
        <f>+VLOOKUP($L754,Data_Validation!$A:$D,3,0)</f>
        <v>#N/A</v>
      </c>
      <c r="V754" s="658" t="e">
        <f>+VLOOKUP($L754,Data_Validation!$A:$D,4,0)</f>
        <v>#N/A</v>
      </c>
      <c r="W754" s="658" t="e">
        <f>+VLOOKUP($L754,Data_Validation!$A:$E,5,0)</f>
        <v>#N/A</v>
      </c>
    </row>
    <row r="755" spans="1:23" ht="15.75" customHeight="1">
      <c r="A755" s="718"/>
      <c r="B755" s="656"/>
      <c r="C755" s="719"/>
      <c r="D755" s="718"/>
      <c r="E755" s="718"/>
      <c r="F755" s="718"/>
      <c r="G755" s="718"/>
      <c r="H755" s="718"/>
      <c r="I755" s="718"/>
      <c r="J755" s="718"/>
      <c r="K755" s="718"/>
      <c r="L755" s="655" t="str">
        <f t="shared" si="719"/>
        <v>0</v>
      </c>
      <c r="M755" s="656">
        <f t="shared" si="520"/>
        <v>0</v>
      </c>
      <c r="N755" s="657">
        <f>+IF(OR($Q755=Parametres!$G$2,$Q755=Parametres!$G$3),I755,C755)</f>
        <v>0</v>
      </c>
      <c r="O755" s="657">
        <f>+IF(OR($Q755=Parametres!$G$2,$Q755=Parametres!$G$3),J755,D755)</f>
        <v>0</v>
      </c>
      <c r="P755" s="657">
        <f>+IF(OR($Q755=Parametres!$G$2,$Q755=Parametres!$G$3),K755,E755)</f>
        <v>0</v>
      </c>
      <c r="Q755" s="656">
        <f t="shared" ref="Q755:S755" si="768">+F755</f>
        <v>0</v>
      </c>
      <c r="R755" s="655">
        <f t="shared" si="768"/>
        <v>0</v>
      </c>
      <c r="S755" s="656">
        <f t="shared" si="768"/>
        <v>0</v>
      </c>
      <c r="T755" s="658" t="e">
        <f>+VLOOKUP($L755,Data_Validation!$A:$D,1,0)</f>
        <v>#N/A</v>
      </c>
      <c r="U755" s="658" t="e">
        <f>+VLOOKUP($L755,Data_Validation!$A:$D,3,0)</f>
        <v>#N/A</v>
      </c>
      <c r="V755" s="658" t="e">
        <f>+VLOOKUP($L755,Data_Validation!$A:$D,4,0)</f>
        <v>#N/A</v>
      </c>
      <c r="W755" s="658" t="e">
        <f>+VLOOKUP($L755,Data_Validation!$A:$E,5,0)</f>
        <v>#N/A</v>
      </c>
    </row>
    <row r="756" spans="1:23" ht="15.75" customHeight="1">
      <c r="A756" s="718"/>
      <c r="B756" s="656"/>
      <c r="C756" s="719"/>
      <c r="D756" s="718"/>
      <c r="E756" s="718"/>
      <c r="F756" s="718"/>
      <c r="G756" s="718"/>
      <c r="H756" s="718"/>
      <c r="I756" s="718"/>
      <c r="J756" s="718"/>
      <c r="K756" s="718"/>
      <c r="L756" s="655" t="str">
        <f t="shared" si="719"/>
        <v>0</v>
      </c>
      <c r="M756" s="656">
        <f t="shared" si="520"/>
        <v>0</v>
      </c>
      <c r="N756" s="657">
        <f>+IF(OR($Q756=Parametres!$G$2,$Q756=Parametres!$G$3),I756,C756)</f>
        <v>0</v>
      </c>
      <c r="O756" s="657">
        <f>+IF(OR($Q756=Parametres!$G$2,$Q756=Parametres!$G$3),J756,D756)</f>
        <v>0</v>
      </c>
      <c r="P756" s="657">
        <f>+IF(OR($Q756=Parametres!$G$2,$Q756=Parametres!$G$3),K756,E756)</f>
        <v>0</v>
      </c>
      <c r="Q756" s="656">
        <f t="shared" ref="Q756:S756" si="769">+F756</f>
        <v>0</v>
      </c>
      <c r="R756" s="655">
        <f t="shared" si="769"/>
        <v>0</v>
      </c>
      <c r="S756" s="656">
        <f t="shared" si="769"/>
        <v>0</v>
      </c>
      <c r="T756" s="658" t="e">
        <f>+VLOOKUP($L756,Data_Validation!$A:$D,1,0)</f>
        <v>#N/A</v>
      </c>
      <c r="U756" s="658" t="e">
        <f>+VLOOKUP($L756,Data_Validation!$A:$D,3,0)</f>
        <v>#N/A</v>
      </c>
      <c r="V756" s="658" t="e">
        <f>+VLOOKUP($L756,Data_Validation!$A:$D,4,0)</f>
        <v>#N/A</v>
      </c>
      <c r="W756" s="658" t="e">
        <f>+VLOOKUP($L756,Data_Validation!$A:$E,5,0)</f>
        <v>#N/A</v>
      </c>
    </row>
    <row r="757" spans="1:23" ht="15.75" customHeight="1">
      <c r="A757" s="718"/>
      <c r="B757" s="656"/>
      <c r="C757" s="719"/>
      <c r="D757" s="718"/>
      <c r="E757" s="718"/>
      <c r="F757" s="718"/>
      <c r="G757" s="718"/>
      <c r="H757" s="718"/>
      <c r="I757" s="718"/>
      <c r="J757" s="718"/>
      <c r="K757" s="718"/>
      <c r="L757" s="655" t="str">
        <f t="shared" si="719"/>
        <v>0</v>
      </c>
      <c r="M757" s="656">
        <f t="shared" si="520"/>
        <v>0</v>
      </c>
      <c r="N757" s="657">
        <f>+IF(OR($Q757=Parametres!$G$2,$Q757=Parametres!$G$3),I757,C757)</f>
        <v>0</v>
      </c>
      <c r="O757" s="657">
        <f>+IF(OR($Q757=Parametres!$G$2,$Q757=Parametres!$G$3),J757,D757)</f>
        <v>0</v>
      </c>
      <c r="P757" s="657">
        <f>+IF(OR($Q757=Parametres!$G$2,$Q757=Parametres!$G$3),K757,E757)</f>
        <v>0</v>
      </c>
      <c r="Q757" s="656">
        <f t="shared" ref="Q757:S757" si="770">+F757</f>
        <v>0</v>
      </c>
      <c r="R757" s="655">
        <f t="shared" si="770"/>
        <v>0</v>
      </c>
      <c r="S757" s="656">
        <f t="shared" si="770"/>
        <v>0</v>
      </c>
      <c r="T757" s="658" t="e">
        <f>+VLOOKUP($L757,Data_Validation!$A:$D,1,0)</f>
        <v>#N/A</v>
      </c>
      <c r="U757" s="658" t="e">
        <f>+VLOOKUP($L757,Data_Validation!$A:$D,3,0)</f>
        <v>#N/A</v>
      </c>
      <c r="V757" s="658" t="e">
        <f>+VLOOKUP($L757,Data_Validation!$A:$D,4,0)</f>
        <v>#N/A</v>
      </c>
      <c r="W757" s="658" t="e">
        <f>+VLOOKUP($L757,Data_Validation!$A:$E,5,0)</f>
        <v>#N/A</v>
      </c>
    </row>
    <row r="758" spans="1:23" ht="15.75" customHeight="1">
      <c r="A758" s="718"/>
      <c r="B758" s="656"/>
      <c r="C758" s="719"/>
      <c r="D758" s="718"/>
      <c r="E758" s="718"/>
      <c r="F758" s="718"/>
      <c r="G758" s="718"/>
      <c r="H758" s="718"/>
      <c r="I758" s="718"/>
      <c r="J758" s="718"/>
      <c r="K758" s="718"/>
      <c r="L758" s="655" t="str">
        <f t="shared" si="719"/>
        <v>0</v>
      </c>
      <c r="M758" s="656">
        <f t="shared" si="520"/>
        <v>0</v>
      </c>
      <c r="N758" s="657">
        <f>+IF(OR($Q758=Parametres!$G$2,$Q758=Parametres!$G$3),I758,C758)</f>
        <v>0</v>
      </c>
      <c r="O758" s="657">
        <f>+IF(OR($Q758=Parametres!$G$2,$Q758=Parametres!$G$3),J758,D758)</f>
        <v>0</v>
      </c>
      <c r="P758" s="657">
        <f>+IF(OR($Q758=Parametres!$G$2,$Q758=Parametres!$G$3),K758,E758)</f>
        <v>0</v>
      </c>
      <c r="Q758" s="656">
        <f t="shared" ref="Q758:S758" si="771">+F758</f>
        <v>0</v>
      </c>
      <c r="R758" s="655">
        <f t="shared" si="771"/>
        <v>0</v>
      </c>
      <c r="S758" s="656">
        <f t="shared" si="771"/>
        <v>0</v>
      </c>
      <c r="T758" s="658" t="e">
        <f>+VLOOKUP($L758,Data_Validation!$A:$D,1,0)</f>
        <v>#N/A</v>
      </c>
      <c r="U758" s="658" t="e">
        <f>+VLOOKUP($L758,Data_Validation!$A:$D,3,0)</f>
        <v>#N/A</v>
      </c>
      <c r="V758" s="658" t="e">
        <f>+VLOOKUP($L758,Data_Validation!$A:$D,4,0)</f>
        <v>#N/A</v>
      </c>
      <c r="W758" s="658" t="e">
        <f>+VLOOKUP($L758,Data_Validation!$A:$E,5,0)</f>
        <v>#N/A</v>
      </c>
    </row>
    <row r="759" spans="1:23" ht="15.75" customHeight="1">
      <c r="A759" s="718"/>
      <c r="B759" s="656"/>
      <c r="C759" s="719"/>
      <c r="D759" s="718"/>
      <c r="E759" s="718"/>
      <c r="F759" s="718"/>
      <c r="G759" s="718"/>
      <c r="H759" s="718"/>
      <c r="I759" s="718"/>
      <c r="J759" s="718"/>
      <c r="K759" s="718"/>
      <c r="L759" s="655" t="str">
        <f t="shared" si="719"/>
        <v>0</v>
      </c>
      <c r="M759" s="656">
        <f t="shared" si="520"/>
        <v>0</v>
      </c>
      <c r="N759" s="657">
        <f>+IF(OR($Q759=Parametres!$G$2,$Q759=Parametres!$G$3),I759,C759)</f>
        <v>0</v>
      </c>
      <c r="O759" s="657">
        <f>+IF(OR($Q759=Parametres!$G$2,$Q759=Parametres!$G$3),J759,D759)</f>
        <v>0</v>
      </c>
      <c r="P759" s="657">
        <f>+IF(OR($Q759=Parametres!$G$2,$Q759=Parametres!$G$3),K759,E759)</f>
        <v>0</v>
      </c>
      <c r="Q759" s="656">
        <f t="shared" ref="Q759:S759" si="772">+F759</f>
        <v>0</v>
      </c>
      <c r="R759" s="655">
        <f t="shared" si="772"/>
        <v>0</v>
      </c>
      <c r="S759" s="656">
        <f t="shared" si="772"/>
        <v>0</v>
      </c>
      <c r="T759" s="658" t="e">
        <f>+VLOOKUP($L759,Data_Validation!$A:$D,1,0)</f>
        <v>#N/A</v>
      </c>
      <c r="U759" s="658" t="e">
        <f>+VLOOKUP($L759,Data_Validation!$A:$D,3,0)</f>
        <v>#N/A</v>
      </c>
      <c r="V759" s="658" t="e">
        <f>+VLOOKUP($L759,Data_Validation!$A:$D,4,0)</f>
        <v>#N/A</v>
      </c>
      <c r="W759" s="658" t="e">
        <f>+VLOOKUP($L759,Data_Validation!$A:$E,5,0)</f>
        <v>#N/A</v>
      </c>
    </row>
    <row r="760" spans="1:23" ht="15.75" customHeight="1">
      <c r="A760" s="718"/>
      <c r="B760" s="656"/>
      <c r="C760" s="719"/>
      <c r="D760" s="718"/>
      <c r="E760" s="718"/>
      <c r="F760" s="718"/>
      <c r="G760" s="718"/>
      <c r="H760" s="718"/>
      <c r="I760" s="718"/>
      <c r="J760" s="718"/>
      <c r="K760" s="718"/>
      <c r="L760" s="655" t="str">
        <f t="shared" si="719"/>
        <v>0</v>
      </c>
      <c r="M760" s="656">
        <f t="shared" si="520"/>
        <v>0</v>
      </c>
      <c r="N760" s="657">
        <f>+IF(OR($Q760=Parametres!$G$2,$Q760=Parametres!$G$3),I760,C760)</f>
        <v>0</v>
      </c>
      <c r="O760" s="657">
        <f>+IF(OR($Q760=Parametres!$G$2,$Q760=Parametres!$G$3),J760,D760)</f>
        <v>0</v>
      </c>
      <c r="P760" s="657">
        <f>+IF(OR($Q760=Parametres!$G$2,$Q760=Parametres!$G$3),K760,E760)</f>
        <v>0</v>
      </c>
      <c r="Q760" s="656">
        <f t="shared" ref="Q760:S760" si="773">+F760</f>
        <v>0</v>
      </c>
      <c r="R760" s="655">
        <f t="shared" si="773"/>
        <v>0</v>
      </c>
      <c r="S760" s="656">
        <f t="shared" si="773"/>
        <v>0</v>
      </c>
      <c r="T760" s="658" t="e">
        <f>+VLOOKUP($L760,Data_Validation!$A:$D,1,0)</f>
        <v>#N/A</v>
      </c>
      <c r="U760" s="658" t="e">
        <f>+VLOOKUP($L760,Data_Validation!$A:$D,3,0)</f>
        <v>#N/A</v>
      </c>
      <c r="V760" s="658" t="e">
        <f>+VLOOKUP($L760,Data_Validation!$A:$D,4,0)</f>
        <v>#N/A</v>
      </c>
      <c r="W760" s="658" t="e">
        <f>+VLOOKUP($L760,Data_Validation!$A:$E,5,0)</f>
        <v>#N/A</v>
      </c>
    </row>
    <row r="761" spans="1:23" ht="15.75" customHeight="1">
      <c r="A761" s="718"/>
      <c r="B761" s="656"/>
      <c r="C761" s="719"/>
      <c r="D761" s="718"/>
      <c r="E761" s="718"/>
      <c r="F761" s="718"/>
      <c r="G761" s="718"/>
      <c r="H761" s="718"/>
      <c r="I761" s="718"/>
      <c r="J761" s="718"/>
      <c r="K761" s="718"/>
      <c r="L761" s="655" t="str">
        <f t="shared" si="719"/>
        <v>0</v>
      </c>
      <c r="M761" s="656">
        <f t="shared" si="520"/>
        <v>0</v>
      </c>
      <c r="N761" s="657">
        <f>+IF(OR($Q761=Parametres!$G$2,$Q761=Parametres!$G$3),I761,C761)</f>
        <v>0</v>
      </c>
      <c r="O761" s="657">
        <f>+IF(OR($Q761=Parametres!$G$2,$Q761=Parametres!$G$3),J761,D761)</f>
        <v>0</v>
      </c>
      <c r="P761" s="657">
        <f>+IF(OR($Q761=Parametres!$G$2,$Q761=Parametres!$G$3),K761,E761)</f>
        <v>0</v>
      </c>
      <c r="Q761" s="656">
        <f t="shared" ref="Q761:S761" si="774">+F761</f>
        <v>0</v>
      </c>
      <c r="R761" s="655">
        <f t="shared" si="774"/>
        <v>0</v>
      </c>
      <c r="S761" s="656">
        <f t="shared" si="774"/>
        <v>0</v>
      </c>
      <c r="T761" s="658" t="e">
        <f>+VLOOKUP($L761,Data_Validation!$A:$D,1,0)</f>
        <v>#N/A</v>
      </c>
      <c r="U761" s="658" t="e">
        <f>+VLOOKUP($L761,Data_Validation!$A:$D,3,0)</f>
        <v>#N/A</v>
      </c>
      <c r="V761" s="658" t="e">
        <f>+VLOOKUP($L761,Data_Validation!$A:$D,4,0)</f>
        <v>#N/A</v>
      </c>
      <c r="W761" s="658" t="e">
        <f>+VLOOKUP($L761,Data_Validation!$A:$E,5,0)</f>
        <v>#N/A</v>
      </c>
    </row>
    <row r="762" spans="1:23" ht="15.75" customHeight="1">
      <c r="A762" s="718"/>
      <c r="B762" s="656"/>
      <c r="C762" s="719"/>
      <c r="D762" s="718"/>
      <c r="E762" s="718"/>
      <c r="F762" s="718"/>
      <c r="G762" s="718"/>
      <c r="H762" s="718"/>
      <c r="I762" s="718"/>
      <c r="J762" s="718"/>
      <c r="K762" s="718"/>
      <c r="L762" s="655" t="str">
        <f t="shared" si="719"/>
        <v>0</v>
      </c>
      <c r="M762" s="656">
        <f t="shared" si="520"/>
        <v>0</v>
      </c>
      <c r="N762" s="657">
        <f>+IF(OR($Q762=Parametres!$G$2,$Q762=Parametres!$G$3),I762,C762)</f>
        <v>0</v>
      </c>
      <c r="O762" s="657">
        <f>+IF(OR($Q762=Parametres!$G$2,$Q762=Parametres!$G$3),J762,D762)</f>
        <v>0</v>
      </c>
      <c r="P762" s="657">
        <f>+IF(OR($Q762=Parametres!$G$2,$Q762=Parametres!$G$3),K762,E762)</f>
        <v>0</v>
      </c>
      <c r="Q762" s="656">
        <f t="shared" ref="Q762:S762" si="775">+F762</f>
        <v>0</v>
      </c>
      <c r="R762" s="655">
        <f t="shared" si="775"/>
        <v>0</v>
      </c>
      <c r="S762" s="656">
        <f t="shared" si="775"/>
        <v>0</v>
      </c>
      <c r="T762" s="658" t="e">
        <f>+VLOOKUP($L762,Data_Validation!$A:$D,1,0)</f>
        <v>#N/A</v>
      </c>
      <c r="U762" s="658" t="e">
        <f>+VLOOKUP($L762,Data_Validation!$A:$D,3,0)</f>
        <v>#N/A</v>
      </c>
      <c r="V762" s="658" t="e">
        <f>+VLOOKUP($L762,Data_Validation!$A:$D,4,0)</f>
        <v>#N/A</v>
      </c>
      <c r="W762" s="658" t="e">
        <f>+VLOOKUP($L762,Data_Validation!$A:$E,5,0)</f>
        <v>#N/A</v>
      </c>
    </row>
    <row r="763" spans="1:23" ht="15.75" customHeight="1">
      <c r="A763" s="718"/>
      <c r="B763" s="656"/>
      <c r="C763" s="719"/>
      <c r="D763" s="718"/>
      <c r="E763" s="718"/>
      <c r="F763" s="718"/>
      <c r="G763" s="718"/>
      <c r="H763" s="718"/>
      <c r="I763" s="718"/>
      <c r="J763" s="718"/>
      <c r="K763" s="718"/>
      <c r="L763" s="655" t="str">
        <f t="shared" si="719"/>
        <v>0</v>
      </c>
      <c r="M763" s="656">
        <f t="shared" si="520"/>
        <v>0</v>
      </c>
      <c r="N763" s="657">
        <f>+IF(OR($Q763=Parametres!$G$2,$Q763=Parametres!$G$3),I763,C763)</f>
        <v>0</v>
      </c>
      <c r="O763" s="657">
        <f>+IF(OR($Q763=Parametres!$G$2,$Q763=Parametres!$G$3),J763,D763)</f>
        <v>0</v>
      </c>
      <c r="P763" s="657">
        <f>+IF(OR($Q763=Parametres!$G$2,$Q763=Parametres!$G$3),K763,E763)</f>
        <v>0</v>
      </c>
      <c r="Q763" s="656">
        <f t="shared" ref="Q763:S763" si="776">+F763</f>
        <v>0</v>
      </c>
      <c r="R763" s="655">
        <f t="shared" si="776"/>
        <v>0</v>
      </c>
      <c r="S763" s="656">
        <f t="shared" si="776"/>
        <v>0</v>
      </c>
      <c r="T763" s="658" t="e">
        <f>+VLOOKUP($L763,Data_Validation!$A:$D,1,0)</f>
        <v>#N/A</v>
      </c>
      <c r="U763" s="658" t="e">
        <f>+VLOOKUP($L763,Data_Validation!$A:$D,3,0)</f>
        <v>#N/A</v>
      </c>
      <c r="V763" s="658" t="e">
        <f>+VLOOKUP($L763,Data_Validation!$A:$D,4,0)</f>
        <v>#N/A</v>
      </c>
      <c r="W763" s="658" t="e">
        <f>+VLOOKUP($L763,Data_Validation!$A:$E,5,0)</f>
        <v>#N/A</v>
      </c>
    </row>
    <row r="764" spans="1:23" ht="15.75" customHeight="1">
      <c r="A764" s="718"/>
      <c r="B764" s="656"/>
      <c r="C764" s="719"/>
      <c r="D764" s="718"/>
      <c r="E764" s="718"/>
      <c r="F764" s="718"/>
      <c r="G764" s="718"/>
      <c r="H764" s="718"/>
      <c r="I764" s="718"/>
      <c r="J764" s="718"/>
      <c r="K764" s="718"/>
      <c r="L764" s="655" t="str">
        <f t="shared" si="719"/>
        <v>0</v>
      </c>
      <c r="M764" s="656">
        <f t="shared" si="520"/>
        <v>0</v>
      </c>
      <c r="N764" s="657">
        <f>+IF(OR($Q764=Parametres!$G$2,$Q764=Parametres!$G$3),I764,C764)</f>
        <v>0</v>
      </c>
      <c r="O764" s="657">
        <f>+IF(OR($Q764=Parametres!$G$2,$Q764=Parametres!$G$3),J764,D764)</f>
        <v>0</v>
      </c>
      <c r="P764" s="657">
        <f>+IF(OR($Q764=Parametres!$G$2,$Q764=Parametres!$G$3),K764,E764)</f>
        <v>0</v>
      </c>
      <c r="Q764" s="656">
        <f t="shared" ref="Q764:S764" si="777">+F764</f>
        <v>0</v>
      </c>
      <c r="R764" s="655">
        <f t="shared" si="777"/>
        <v>0</v>
      </c>
      <c r="S764" s="656">
        <f t="shared" si="777"/>
        <v>0</v>
      </c>
      <c r="T764" s="658" t="e">
        <f>+VLOOKUP($L764,Data_Validation!$A:$D,1,0)</f>
        <v>#N/A</v>
      </c>
      <c r="U764" s="658" t="e">
        <f>+VLOOKUP($L764,Data_Validation!$A:$D,3,0)</f>
        <v>#N/A</v>
      </c>
      <c r="V764" s="658" t="e">
        <f>+VLOOKUP($L764,Data_Validation!$A:$D,4,0)</f>
        <v>#N/A</v>
      </c>
      <c r="W764" s="658" t="e">
        <f>+VLOOKUP($L764,Data_Validation!$A:$E,5,0)</f>
        <v>#N/A</v>
      </c>
    </row>
    <row r="765" spans="1:23" ht="15.75" customHeight="1">
      <c r="A765" s="718"/>
      <c r="B765" s="656"/>
      <c r="C765" s="719"/>
      <c r="D765" s="718"/>
      <c r="E765" s="718"/>
      <c r="F765" s="718"/>
      <c r="G765" s="718"/>
      <c r="H765" s="718"/>
      <c r="I765" s="718"/>
      <c r="J765" s="718"/>
      <c r="K765" s="718"/>
      <c r="L765" s="655" t="str">
        <f t="shared" si="719"/>
        <v>0</v>
      </c>
      <c r="M765" s="656">
        <f t="shared" si="520"/>
        <v>0</v>
      </c>
      <c r="N765" s="657">
        <f>+IF(OR($Q765=Parametres!$G$2,$Q765=Parametres!$G$3),I765,C765)</f>
        <v>0</v>
      </c>
      <c r="O765" s="657">
        <f>+IF(OR($Q765=Parametres!$G$2,$Q765=Parametres!$G$3),J765,D765)</f>
        <v>0</v>
      </c>
      <c r="P765" s="657">
        <f>+IF(OR($Q765=Parametres!$G$2,$Q765=Parametres!$G$3),K765,E765)</f>
        <v>0</v>
      </c>
      <c r="Q765" s="656">
        <f t="shared" ref="Q765:S765" si="778">+F765</f>
        <v>0</v>
      </c>
      <c r="R765" s="655">
        <f t="shared" si="778"/>
        <v>0</v>
      </c>
      <c r="S765" s="656">
        <f t="shared" si="778"/>
        <v>0</v>
      </c>
      <c r="T765" s="658" t="e">
        <f>+VLOOKUP($L765,Data_Validation!$A:$D,1,0)</f>
        <v>#N/A</v>
      </c>
      <c r="U765" s="658" t="e">
        <f>+VLOOKUP($L765,Data_Validation!$A:$D,3,0)</f>
        <v>#N/A</v>
      </c>
      <c r="V765" s="658" t="e">
        <f>+VLOOKUP($L765,Data_Validation!$A:$D,4,0)</f>
        <v>#N/A</v>
      </c>
      <c r="W765" s="658" t="e">
        <f>+VLOOKUP($L765,Data_Validation!$A:$E,5,0)</f>
        <v>#N/A</v>
      </c>
    </row>
    <row r="766" spans="1:23" ht="15.75" customHeight="1">
      <c r="A766" s="718"/>
      <c r="B766" s="656"/>
      <c r="C766" s="719"/>
      <c r="D766" s="718"/>
      <c r="E766" s="718"/>
      <c r="F766" s="718"/>
      <c r="G766" s="718"/>
      <c r="H766" s="718"/>
      <c r="I766" s="718"/>
      <c r="J766" s="718"/>
      <c r="K766" s="718"/>
      <c r="L766" s="655" t="str">
        <f t="shared" si="719"/>
        <v>0</v>
      </c>
      <c r="M766" s="656">
        <f t="shared" si="520"/>
        <v>0</v>
      </c>
      <c r="N766" s="657">
        <f>+IF(OR($Q766=Parametres!$G$2,$Q766=Parametres!$G$3),I766,C766)</f>
        <v>0</v>
      </c>
      <c r="O766" s="657">
        <f>+IF(OR($Q766=Parametres!$G$2,$Q766=Parametres!$G$3),J766,D766)</f>
        <v>0</v>
      </c>
      <c r="P766" s="657">
        <f>+IF(OR($Q766=Parametres!$G$2,$Q766=Parametres!$G$3),K766,E766)</f>
        <v>0</v>
      </c>
      <c r="Q766" s="656">
        <f t="shared" ref="Q766:S766" si="779">+F766</f>
        <v>0</v>
      </c>
      <c r="R766" s="655">
        <f t="shared" si="779"/>
        <v>0</v>
      </c>
      <c r="S766" s="656">
        <f t="shared" si="779"/>
        <v>0</v>
      </c>
      <c r="T766" s="658" t="e">
        <f>+VLOOKUP($L766,Data_Validation!$A:$D,1,0)</f>
        <v>#N/A</v>
      </c>
      <c r="U766" s="658" t="e">
        <f>+VLOOKUP($L766,Data_Validation!$A:$D,3,0)</f>
        <v>#N/A</v>
      </c>
      <c r="V766" s="658" t="e">
        <f>+VLOOKUP($L766,Data_Validation!$A:$D,4,0)</f>
        <v>#N/A</v>
      </c>
      <c r="W766" s="658" t="e">
        <f>+VLOOKUP($L766,Data_Validation!$A:$E,5,0)</f>
        <v>#N/A</v>
      </c>
    </row>
    <row r="767" spans="1:23" ht="15.75" customHeight="1">
      <c r="A767" s="718"/>
      <c r="B767" s="656"/>
      <c r="C767" s="719"/>
      <c r="D767" s="718"/>
      <c r="E767" s="718"/>
      <c r="F767" s="718"/>
      <c r="G767" s="718"/>
      <c r="H767" s="718"/>
      <c r="I767" s="718"/>
      <c r="J767" s="718"/>
      <c r="K767" s="718"/>
      <c r="L767" s="655" t="str">
        <f t="shared" si="719"/>
        <v>0</v>
      </c>
      <c r="M767" s="656">
        <f t="shared" ref="M767:M1021" si="780">+A767</f>
        <v>0</v>
      </c>
      <c r="N767" s="657">
        <f>+IF(OR($Q767=Parametres!$G$2,$Q767=Parametres!$G$3),I767,C767)</f>
        <v>0</v>
      </c>
      <c r="O767" s="657">
        <f>+IF(OR($Q767=Parametres!$G$2,$Q767=Parametres!$G$3),J767,D767)</f>
        <v>0</v>
      </c>
      <c r="P767" s="657">
        <f>+IF(OR($Q767=Parametres!$G$2,$Q767=Parametres!$G$3),K767,E767)</f>
        <v>0</v>
      </c>
      <c r="Q767" s="656">
        <f t="shared" ref="Q767:S767" si="781">+F767</f>
        <v>0</v>
      </c>
      <c r="R767" s="655">
        <f t="shared" si="781"/>
        <v>0</v>
      </c>
      <c r="S767" s="656">
        <f t="shared" si="781"/>
        <v>0</v>
      </c>
      <c r="T767" s="658" t="e">
        <f>+VLOOKUP($L767,Data_Validation!$A:$D,1,0)</f>
        <v>#N/A</v>
      </c>
      <c r="U767" s="658" t="e">
        <f>+VLOOKUP($L767,Data_Validation!$A:$D,3,0)</f>
        <v>#N/A</v>
      </c>
      <c r="V767" s="658" t="e">
        <f>+VLOOKUP($L767,Data_Validation!$A:$D,4,0)</f>
        <v>#N/A</v>
      </c>
      <c r="W767" s="658" t="e">
        <f>+VLOOKUP($L767,Data_Validation!$A:$E,5,0)</f>
        <v>#N/A</v>
      </c>
    </row>
    <row r="768" spans="1:23" ht="15.75" customHeight="1">
      <c r="A768" s="718"/>
      <c r="B768" s="656"/>
      <c r="C768" s="719"/>
      <c r="D768" s="718"/>
      <c r="E768" s="718"/>
      <c r="F768" s="718"/>
      <c r="G768" s="718"/>
      <c r="H768" s="718"/>
      <c r="I768" s="718"/>
      <c r="J768" s="718"/>
      <c r="K768" s="718"/>
      <c r="L768" s="655" t="str">
        <f t="shared" si="719"/>
        <v>0</v>
      </c>
      <c r="M768" s="656">
        <f t="shared" si="780"/>
        <v>0</v>
      </c>
      <c r="N768" s="657">
        <f>+IF(OR($Q768=Parametres!$G$2,$Q768=Parametres!$G$3),I768,C768)</f>
        <v>0</v>
      </c>
      <c r="O768" s="657">
        <f>+IF(OR($Q768=Parametres!$G$2,$Q768=Parametres!$G$3),J768,D768)</f>
        <v>0</v>
      </c>
      <c r="P768" s="657">
        <f>+IF(OR($Q768=Parametres!$G$2,$Q768=Parametres!$G$3),K768,E768)</f>
        <v>0</v>
      </c>
      <c r="Q768" s="656">
        <f t="shared" ref="Q768:S768" si="782">+F768</f>
        <v>0</v>
      </c>
      <c r="R768" s="655">
        <f t="shared" si="782"/>
        <v>0</v>
      </c>
      <c r="S768" s="656">
        <f t="shared" si="782"/>
        <v>0</v>
      </c>
      <c r="T768" s="658" t="e">
        <f>+VLOOKUP($L768,Data_Validation!$A:$D,1,0)</f>
        <v>#N/A</v>
      </c>
      <c r="U768" s="658" t="e">
        <f>+VLOOKUP($L768,Data_Validation!$A:$D,3,0)</f>
        <v>#N/A</v>
      </c>
      <c r="V768" s="658" t="e">
        <f>+VLOOKUP($L768,Data_Validation!$A:$D,4,0)</f>
        <v>#N/A</v>
      </c>
      <c r="W768" s="658" t="e">
        <f>+VLOOKUP($L768,Data_Validation!$A:$E,5,0)</f>
        <v>#N/A</v>
      </c>
    </row>
    <row r="769" spans="1:23" ht="15.75" customHeight="1">
      <c r="A769" s="718"/>
      <c r="B769" s="656"/>
      <c r="C769" s="719"/>
      <c r="D769" s="718"/>
      <c r="E769" s="718"/>
      <c r="F769" s="718"/>
      <c r="G769" s="718"/>
      <c r="H769" s="718"/>
      <c r="I769" s="718"/>
      <c r="J769" s="718"/>
      <c r="K769" s="718"/>
      <c r="L769" s="655" t="str">
        <f t="shared" si="719"/>
        <v>0</v>
      </c>
      <c r="M769" s="656">
        <f t="shared" si="780"/>
        <v>0</v>
      </c>
      <c r="N769" s="657">
        <f>+IF(OR($Q769=Parametres!$G$2,$Q769=Parametres!$G$3),I769,C769)</f>
        <v>0</v>
      </c>
      <c r="O769" s="657">
        <f>+IF(OR($Q769=Parametres!$G$2,$Q769=Parametres!$G$3),J769,D769)</f>
        <v>0</v>
      </c>
      <c r="P769" s="657">
        <f>+IF(OR($Q769=Parametres!$G$2,$Q769=Parametres!$G$3),K769,E769)</f>
        <v>0</v>
      </c>
      <c r="Q769" s="656">
        <f t="shared" ref="Q769:S769" si="783">+F769</f>
        <v>0</v>
      </c>
      <c r="R769" s="655">
        <f t="shared" si="783"/>
        <v>0</v>
      </c>
      <c r="S769" s="656">
        <f t="shared" si="783"/>
        <v>0</v>
      </c>
      <c r="T769" s="658" t="e">
        <f>+VLOOKUP($L769,Data_Validation!$A:$D,1,0)</f>
        <v>#N/A</v>
      </c>
      <c r="U769" s="658" t="e">
        <f>+VLOOKUP($L769,Data_Validation!$A:$D,3,0)</f>
        <v>#N/A</v>
      </c>
      <c r="V769" s="658" t="e">
        <f>+VLOOKUP($L769,Data_Validation!$A:$D,4,0)</f>
        <v>#N/A</v>
      </c>
      <c r="W769" s="658" t="e">
        <f>+VLOOKUP($L769,Data_Validation!$A:$E,5,0)</f>
        <v>#N/A</v>
      </c>
    </row>
    <row r="770" spans="1:23" ht="15.75" customHeight="1">
      <c r="A770" s="718"/>
      <c r="B770" s="656"/>
      <c r="C770" s="719"/>
      <c r="D770" s="718"/>
      <c r="E770" s="718"/>
      <c r="F770" s="718"/>
      <c r="G770" s="718"/>
      <c r="H770" s="718"/>
      <c r="I770" s="718"/>
      <c r="J770" s="718"/>
      <c r="K770" s="718"/>
      <c r="L770" s="655" t="str">
        <f t="shared" si="719"/>
        <v>0</v>
      </c>
      <c r="M770" s="656">
        <f t="shared" si="780"/>
        <v>0</v>
      </c>
      <c r="N770" s="657">
        <f>+IF(OR($Q770=Parametres!$G$2,$Q770=Parametres!$G$3),I770,C770)</f>
        <v>0</v>
      </c>
      <c r="O770" s="657">
        <f>+IF(OR($Q770=Parametres!$G$2,$Q770=Parametres!$G$3),J770,D770)</f>
        <v>0</v>
      </c>
      <c r="P770" s="657">
        <f>+IF(OR($Q770=Parametres!$G$2,$Q770=Parametres!$G$3),K770,E770)</f>
        <v>0</v>
      </c>
      <c r="Q770" s="656">
        <f t="shared" ref="Q770:S770" si="784">+F770</f>
        <v>0</v>
      </c>
      <c r="R770" s="655">
        <f t="shared" si="784"/>
        <v>0</v>
      </c>
      <c r="S770" s="656">
        <f t="shared" si="784"/>
        <v>0</v>
      </c>
      <c r="T770" s="658" t="e">
        <f>+VLOOKUP($L770,Data_Validation!$A:$D,1,0)</f>
        <v>#N/A</v>
      </c>
      <c r="U770" s="658" t="e">
        <f>+VLOOKUP($L770,Data_Validation!$A:$D,3,0)</f>
        <v>#N/A</v>
      </c>
      <c r="V770" s="658" t="e">
        <f>+VLOOKUP($L770,Data_Validation!$A:$D,4,0)</f>
        <v>#N/A</v>
      </c>
      <c r="W770" s="658" t="e">
        <f>+VLOOKUP($L770,Data_Validation!$A:$E,5,0)</f>
        <v>#N/A</v>
      </c>
    </row>
    <row r="771" spans="1:23" ht="15.75" customHeight="1">
      <c r="A771" s="718"/>
      <c r="B771" s="656"/>
      <c r="C771" s="719"/>
      <c r="D771" s="718"/>
      <c r="E771" s="718"/>
      <c r="F771" s="718"/>
      <c r="G771" s="718"/>
      <c r="H771" s="718"/>
      <c r="I771" s="718"/>
      <c r="J771" s="718"/>
      <c r="K771" s="718"/>
      <c r="L771" s="655" t="str">
        <f t="shared" ref="L771:L834" si="785">TEXT(B771,0)</f>
        <v>0</v>
      </c>
      <c r="M771" s="656">
        <f t="shared" si="780"/>
        <v>0</v>
      </c>
      <c r="N771" s="657">
        <f>+IF(OR($Q771=Parametres!$G$2,$Q771=Parametres!$G$3),I771,C771)</f>
        <v>0</v>
      </c>
      <c r="O771" s="657">
        <f>+IF(OR($Q771=Parametres!$G$2,$Q771=Parametres!$G$3),J771,D771)</f>
        <v>0</v>
      </c>
      <c r="P771" s="657">
        <f>+IF(OR($Q771=Parametres!$G$2,$Q771=Parametres!$G$3),K771,E771)</f>
        <v>0</v>
      </c>
      <c r="Q771" s="656">
        <f t="shared" ref="Q771:S771" si="786">+F771</f>
        <v>0</v>
      </c>
      <c r="R771" s="655">
        <f t="shared" si="786"/>
        <v>0</v>
      </c>
      <c r="S771" s="656">
        <f t="shared" si="786"/>
        <v>0</v>
      </c>
      <c r="T771" s="658" t="e">
        <f>+VLOOKUP($L771,Data_Validation!$A:$D,1,0)</f>
        <v>#N/A</v>
      </c>
      <c r="U771" s="658" t="e">
        <f>+VLOOKUP($L771,Data_Validation!$A:$D,3,0)</f>
        <v>#N/A</v>
      </c>
      <c r="V771" s="658" t="e">
        <f>+VLOOKUP($L771,Data_Validation!$A:$D,4,0)</f>
        <v>#N/A</v>
      </c>
      <c r="W771" s="658" t="e">
        <f>+VLOOKUP($L771,Data_Validation!$A:$E,5,0)</f>
        <v>#N/A</v>
      </c>
    </row>
    <row r="772" spans="1:23" ht="15.75" customHeight="1">
      <c r="A772" s="718"/>
      <c r="B772" s="656"/>
      <c r="C772" s="719"/>
      <c r="D772" s="718"/>
      <c r="E772" s="718"/>
      <c r="F772" s="718"/>
      <c r="G772" s="718"/>
      <c r="H772" s="718"/>
      <c r="I772" s="718"/>
      <c r="J772" s="718"/>
      <c r="K772" s="718"/>
      <c r="L772" s="655" t="str">
        <f t="shared" si="785"/>
        <v>0</v>
      </c>
      <c r="M772" s="656">
        <f t="shared" si="780"/>
        <v>0</v>
      </c>
      <c r="N772" s="657">
        <f>+IF(OR($Q772=Parametres!$G$2,$Q772=Parametres!$G$3),I772,C772)</f>
        <v>0</v>
      </c>
      <c r="O772" s="657">
        <f>+IF(OR($Q772=Parametres!$G$2,$Q772=Parametres!$G$3),J772,D772)</f>
        <v>0</v>
      </c>
      <c r="P772" s="657">
        <f>+IF(OR($Q772=Parametres!$G$2,$Q772=Parametres!$G$3),K772,E772)</f>
        <v>0</v>
      </c>
      <c r="Q772" s="656">
        <f t="shared" ref="Q772:S772" si="787">+F772</f>
        <v>0</v>
      </c>
      <c r="R772" s="655">
        <f t="shared" si="787"/>
        <v>0</v>
      </c>
      <c r="S772" s="656">
        <f t="shared" si="787"/>
        <v>0</v>
      </c>
      <c r="T772" s="658" t="e">
        <f>+VLOOKUP($L772,Data_Validation!$A:$D,1,0)</f>
        <v>#N/A</v>
      </c>
      <c r="U772" s="658" t="e">
        <f>+VLOOKUP($L772,Data_Validation!$A:$D,3,0)</f>
        <v>#N/A</v>
      </c>
      <c r="V772" s="658" t="e">
        <f>+VLOOKUP($L772,Data_Validation!$A:$D,4,0)</f>
        <v>#N/A</v>
      </c>
      <c r="W772" s="658" t="e">
        <f>+VLOOKUP($L772,Data_Validation!$A:$E,5,0)</f>
        <v>#N/A</v>
      </c>
    </row>
    <row r="773" spans="1:23" ht="15.75" customHeight="1">
      <c r="A773" s="718"/>
      <c r="B773" s="656"/>
      <c r="C773" s="719"/>
      <c r="D773" s="718"/>
      <c r="E773" s="718"/>
      <c r="F773" s="718"/>
      <c r="G773" s="718"/>
      <c r="H773" s="718"/>
      <c r="I773" s="718"/>
      <c r="J773" s="718"/>
      <c r="K773" s="718"/>
      <c r="L773" s="655" t="str">
        <f t="shared" si="785"/>
        <v>0</v>
      </c>
      <c r="M773" s="656">
        <f t="shared" si="780"/>
        <v>0</v>
      </c>
      <c r="N773" s="657">
        <f>+IF(OR($Q773=Parametres!$G$2,$Q773=Parametres!$G$3),I773,C773)</f>
        <v>0</v>
      </c>
      <c r="O773" s="657">
        <f>+IF(OR($Q773=Parametres!$G$2,$Q773=Parametres!$G$3),J773,D773)</f>
        <v>0</v>
      </c>
      <c r="P773" s="657">
        <f>+IF(OR($Q773=Parametres!$G$2,$Q773=Parametres!$G$3),K773,E773)</f>
        <v>0</v>
      </c>
      <c r="Q773" s="656">
        <f t="shared" ref="Q773:S773" si="788">+F773</f>
        <v>0</v>
      </c>
      <c r="R773" s="655">
        <f t="shared" si="788"/>
        <v>0</v>
      </c>
      <c r="S773" s="656">
        <f t="shared" si="788"/>
        <v>0</v>
      </c>
      <c r="T773" s="658" t="e">
        <f>+VLOOKUP($L773,Data_Validation!$A:$D,1,0)</f>
        <v>#N/A</v>
      </c>
      <c r="U773" s="658" t="e">
        <f>+VLOOKUP($L773,Data_Validation!$A:$D,3,0)</f>
        <v>#N/A</v>
      </c>
      <c r="V773" s="658" t="e">
        <f>+VLOOKUP($L773,Data_Validation!$A:$D,4,0)</f>
        <v>#N/A</v>
      </c>
      <c r="W773" s="658" t="e">
        <f>+VLOOKUP($L773,Data_Validation!$A:$E,5,0)</f>
        <v>#N/A</v>
      </c>
    </row>
    <row r="774" spans="1:23" ht="15.75" customHeight="1">
      <c r="A774" s="718"/>
      <c r="B774" s="656"/>
      <c r="C774" s="719"/>
      <c r="D774" s="718"/>
      <c r="E774" s="718"/>
      <c r="F774" s="718"/>
      <c r="G774" s="718"/>
      <c r="H774" s="718"/>
      <c r="I774" s="718"/>
      <c r="J774" s="718"/>
      <c r="K774" s="718"/>
      <c r="L774" s="655" t="str">
        <f t="shared" si="785"/>
        <v>0</v>
      </c>
      <c r="M774" s="656">
        <f t="shared" si="780"/>
        <v>0</v>
      </c>
      <c r="N774" s="657">
        <f>+IF(OR($Q774=Parametres!$G$2,$Q774=Parametres!$G$3),I774,C774)</f>
        <v>0</v>
      </c>
      <c r="O774" s="657">
        <f>+IF(OR($Q774=Parametres!$G$2,$Q774=Parametres!$G$3),J774,D774)</f>
        <v>0</v>
      </c>
      <c r="P774" s="657">
        <f>+IF(OR($Q774=Parametres!$G$2,$Q774=Parametres!$G$3),K774,E774)</f>
        <v>0</v>
      </c>
      <c r="Q774" s="656">
        <f t="shared" ref="Q774:S774" si="789">+F774</f>
        <v>0</v>
      </c>
      <c r="R774" s="655">
        <f t="shared" si="789"/>
        <v>0</v>
      </c>
      <c r="S774" s="656">
        <f t="shared" si="789"/>
        <v>0</v>
      </c>
      <c r="T774" s="658" t="e">
        <f>+VLOOKUP($L774,Data_Validation!$A:$D,1,0)</f>
        <v>#N/A</v>
      </c>
      <c r="U774" s="658" t="e">
        <f>+VLOOKUP($L774,Data_Validation!$A:$D,3,0)</f>
        <v>#N/A</v>
      </c>
      <c r="V774" s="658" t="e">
        <f>+VLOOKUP($L774,Data_Validation!$A:$D,4,0)</f>
        <v>#N/A</v>
      </c>
      <c r="W774" s="658" t="e">
        <f>+VLOOKUP($L774,Data_Validation!$A:$E,5,0)</f>
        <v>#N/A</v>
      </c>
    </row>
    <row r="775" spans="1:23" ht="15.75" customHeight="1">
      <c r="A775" s="718"/>
      <c r="B775" s="656"/>
      <c r="C775" s="719"/>
      <c r="D775" s="718"/>
      <c r="E775" s="718"/>
      <c r="F775" s="718"/>
      <c r="G775" s="718"/>
      <c r="H775" s="718"/>
      <c r="I775" s="718"/>
      <c r="J775" s="718"/>
      <c r="K775" s="718"/>
      <c r="L775" s="655" t="str">
        <f t="shared" si="785"/>
        <v>0</v>
      </c>
      <c r="M775" s="656">
        <f t="shared" si="780"/>
        <v>0</v>
      </c>
      <c r="N775" s="657">
        <f>+IF(OR($Q775=Parametres!$G$2,$Q775=Parametres!$G$3),I775,C775)</f>
        <v>0</v>
      </c>
      <c r="O775" s="657">
        <f>+IF(OR($Q775=Parametres!$G$2,$Q775=Parametres!$G$3),J775,D775)</f>
        <v>0</v>
      </c>
      <c r="P775" s="657">
        <f>+IF(OR($Q775=Parametres!$G$2,$Q775=Parametres!$G$3),K775,E775)</f>
        <v>0</v>
      </c>
      <c r="Q775" s="656">
        <f t="shared" ref="Q775:S775" si="790">+F775</f>
        <v>0</v>
      </c>
      <c r="R775" s="655">
        <f t="shared" si="790"/>
        <v>0</v>
      </c>
      <c r="S775" s="656">
        <f t="shared" si="790"/>
        <v>0</v>
      </c>
      <c r="T775" s="658" t="e">
        <f>+VLOOKUP($L775,Data_Validation!$A:$D,1,0)</f>
        <v>#N/A</v>
      </c>
      <c r="U775" s="658" t="e">
        <f>+VLOOKUP($L775,Data_Validation!$A:$D,3,0)</f>
        <v>#N/A</v>
      </c>
      <c r="V775" s="658" t="e">
        <f>+VLOOKUP($L775,Data_Validation!$A:$D,4,0)</f>
        <v>#N/A</v>
      </c>
      <c r="W775" s="658" t="e">
        <f>+VLOOKUP($L775,Data_Validation!$A:$E,5,0)</f>
        <v>#N/A</v>
      </c>
    </row>
    <row r="776" spans="1:23" ht="15.75" customHeight="1">
      <c r="A776" s="718"/>
      <c r="B776" s="656"/>
      <c r="C776" s="719"/>
      <c r="D776" s="718"/>
      <c r="E776" s="718"/>
      <c r="F776" s="718"/>
      <c r="G776" s="718"/>
      <c r="H776" s="718"/>
      <c r="I776" s="718"/>
      <c r="J776" s="718"/>
      <c r="K776" s="718"/>
      <c r="L776" s="655" t="str">
        <f t="shared" si="785"/>
        <v>0</v>
      </c>
      <c r="M776" s="656">
        <f t="shared" si="780"/>
        <v>0</v>
      </c>
      <c r="N776" s="657">
        <f>+IF(OR($Q776=Parametres!$G$2,$Q776=Parametres!$G$3),I776,C776)</f>
        <v>0</v>
      </c>
      <c r="O776" s="657">
        <f>+IF(OR($Q776=Parametres!$G$2,$Q776=Parametres!$G$3),J776,D776)</f>
        <v>0</v>
      </c>
      <c r="P776" s="657">
        <f>+IF(OR($Q776=Parametres!$G$2,$Q776=Parametres!$G$3),K776,E776)</f>
        <v>0</v>
      </c>
      <c r="Q776" s="656">
        <f t="shared" ref="Q776:S776" si="791">+F776</f>
        <v>0</v>
      </c>
      <c r="R776" s="655">
        <f t="shared" si="791"/>
        <v>0</v>
      </c>
      <c r="S776" s="656">
        <f t="shared" si="791"/>
        <v>0</v>
      </c>
      <c r="T776" s="658" t="e">
        <f>+VLOOKUP($L776,Data_Validation!$A:$D,1,0)</f>
        <v>#N/A</v>
      </c>
      <c r="U776" s="658" t="e">
        <f>+VLOOKUP($L776,Data_Validation!$A:$D,3,0)</f>
        <v>#N/A</v>
      </c>
      <c r="V776" s="658" t="e">
        <f>+VLOOKUP($L776,Data_Validation!$A:$D,4,0)</f>
        <v>#N/A</v>
      </c>
      <c r="W776" s="658" t="e">
        <f>+VLOOKUP($L776,Data_Validation!$A:$E,5,0)</f>
        <v>#N/A</v>
      </c>
    </row>
    <row r="777" spans="1:23" ht="15.75" customHeight="1">
      <c r="A777" s="718"/>
      <c r="B777" s="656"/>
      <c r="C777" s="719"/>
      <c r="D777" s="718"/>
      <c r="E777" s="718"/>
      <c r="F777" s="718"/>
      <c r="G777" s="718"/>
      <c r="H777" s="718"/>
      <c r="I777" s="718"/>
      <c r="J777" s="718"/>
      <c r="K777" s="718"/>
      <c r="L777" s="655" t="str">
        <f t="shared" si="785"/>
        <v>0</v>
      </c>
      <c r="M777" s="656">
        <f t="shared" si="780"/>
        <v>0</v>
      </c>
      <c r="N777" s="657">
        <f>+IF(OR($Q777=Parametres!$G$2,$Q777=Parametres!$G$3),I777,C777)</f>
        <v>0</v>
      </c>
      <c r="O777" s="657">
        <f>+IF(OR($Q777=Parametres!$G$2,$Q777=Parametres!$G$3),J777,D777)</f>
        <v>0</v>
      </c>
      <c r="P777" s="657">
        <f>+IF(OR($Q777=Parametres!$G$2,$Q777=Parametres!$G$3),K777,E777)</f>
        <v>0</v>
      </c>
      <c r="Q777" s="656">
        <f t="shared" ref="Q777:S777" si="792">+F777</f>
        <v>0</v>
      </c>
      <c r="R777" s="655">
        <f t="shared" si="792"/>
        <v>0</v>
      </c>
      <c r="S777" s="656">
        <f t="shared" si="792"/>
        <v>0</v>
      </c>
      <c r="T777" s="658" t="e">
        <f>+VLOOKUP($L777,Data_Validation!$A:$D,1,0)</f>
        <v>#N/A</v>
      </c>
      <c r="U777" s="658" t="e">
        <f>+VLOOKUP($L777,Data_Validation!$A:$D,3,0)</f>
        <v>#N/A</v>
      </c>
      <c r="V777" s="658" t="e">
        <f>+VLOOKUP($L777,Data_Validation!$A:$D,4,0)</f>
        <v>#N/A</v>
      </c>
      <c r="W777" s="658" t="e">
        <f>+VLOOKUP($L777,Data_Validation!$A:$E,5,0)</f>
        <v>#N/A</v>
      </c>
    </row>
    <row r="778" spans="1:23" ht="15.75" customHeight="1">
      <c r="A778" s="718"/>
      <c r="B778" s="656"/>
      <c r="C778" s="719"/>
      <c r="D778" s="718"/>
      <c r="E778" s="718"/>
      <c r="F778" s="718"/>
      <c r="G778" s="718"/>
      <c r="H778" s="718"/>
      <c r="I778" s="718"/>
      <c r="J778" s="718"/>
      <c r="K778" s="718"/>
      <c r="L778" s="655" t="str">
        <f t="shared" si="785"/>
        <v>0</v>
      </c>
      <c r="M778" s="656">
        <f t="shared" si="780"/>
        <v>0</v>
      </c>
      <c r="N778" s="657">
        <f>+IF(OR($Q778=Parametres!$G$2,$Q778=Parametres!$G$3),I778,C778)</f>
        <v>0</v>
      </c>
      <c r="O778" s="657">
        <f>+IF(OR($Q778=Parametres!$G$2,$Q778=Parametres!$G$3),J778,D778)</f>
        <v>0</v>
      </c>
      <c r="P778" s="657">
        <f>+IF(OR($Q778=Parametres!$G$2,$Q778=Parametres!$G$3),K778,E778)</f>
        <v>0</v>
      </c>
      <c r="Q778" s="656">
        <f t="shared" ref="Q778:S778" si="793">+F778</f>
        <v>0</v>
      </c>
      <c r="R778" s="655">
        <f t="shared" si="793"/>
        <v>0</v>
      </c>
      <c r="S778" s="656">
        <f t="shared" si="793"/>
        <v>0</v>
      </c>
      <c r="T778" s="658" t="e">
        <f>+VLOOKUP($L778,Data_Validation!$A:$D,1,0)</f>
        <v>#N/A</v>
      </c>
      <c r="U778" s="658" t="e">
        <f>+VLOOKUP($L778,Data_Validation!$A:$D,3,0)</f>
        <v>#N/A</v>
      </c>
      <c r="V778" s="658" t="e">
        <f>+VLOOKUP($L778,Data_Validation!$A:$D,4,0)</f>
        <v>#N/A</v>
      </c>
      <c r="W778" s="658" t="e">
        <f>+VLOOKUP($L778,Data_Validation!$A:$E,5,0)</f>
        <v>#N/A</v>
      </c>
    </row>
    <row r="779" spans="1:23" ht="15.75" customHeight="1">
      <c r="A779" s="718"/>
      <c r="B779" s="656"/>
      <c r="C779" s="719"/>
      <c r="D779" s="718"/>
      <c r="E779" s="718"/>
      <c r="F779" s="718"/>
      <c r="G779" s="718"/>
      <c r="H779" s="718"/>
      <c r="I779" s="718"/>
      <c r="J779" s="718"/>
      <c r="K779" s="718"/>
      <c r="L779" s="655" t="str">
        <f t="shared" si="785"/>
        <v>0</v>
      </c>
      <c r="M779" s="656">
        <f t="shared" si="780"/>
        <v>0</v>
      </c>
      <c r="N779" s="657">
        <f>+IF(OR($Q779=Parametres!$G$2,$Q779=Parametres!$G$3),I779,C779)</f>
        <v>0</v>
      </c>
      <c r="O779" s="657">
        <f>+IF(OR($Q779=Parametres!$G$2,$Q779=Parametres!$G$3),J779,D779)</f>
        <v>0</v>
      </c>
      <c r="P779" s="657">
        <f>+IF(OR($Q779=Parametres!$G$2,$Q779=Parametres!$G$3),K779,E779)</f>
        <v>0</v>
      </c>
      <c r="Q779" s="656">
        <f t="shared" ref="Q779:S779" si="794">+F779</f>
        <v>0</v>
      </c>
      <c r="R779" s="655">
        <f t="shared" si="794"/>
        <v>0</v>
      </c>
      <c r="S779" s="656">
        <f t="shared" si="794"/>
        <v>0</v>
      </c>
      <c r="T779" s="658" t="e">
        <f>+VLOOKUP($L779,Data_Validation!$A:$D,1,0)</f>
        <v>#N/A</v>
      </c>
      <c r="U779" s="658" t="e">
        <f>+VLOOKUP($L779,Data_Validation!$A:$D,3,0)</f>
        <v>#N/A</v>
      </c>
      <c r="V779" s="658" t="e">
        <f>+VLOOKUP($L779,Data_Validation!$A:$D,4,0)</f>
        <v>#N/A</v>
      </c>
      <c r="W779" s="658" t="e">
        <f>+VLOOKUP($L779,Data_Validation!$A:$E,5,0)</f>
        <v>#N/A</v>
      </c>
    </row>
    <row r="780" spans="1:23" ht="15.75" customHeight="1">
      <c r="A780" s="718"/>
      <c r="B780" s="656"/>
      <c r="C780" s="719"/>
      <c r="D780" s="718"/>
      <c r="E780" s="718"/>
      <c r="F780" s="718"/>
      <c r="G780" s="718"/>
      <c r="H780" s="718"/>
      <c r="I780" s="718"/>
      <c r="J780" s="718"/>
      <c r="K780" s="718"/>
      <c r="L780" s="655" t="str">
        <f t="shared" si="785"/>
        <v>0</v>
      </c>
      <c r="M780" s="656">
        <f t="shared" si="780"/>
        <v>0</v>
      </c>
      <c r="N780" s="657">
        <f>+IF(OR($Q780=Parametres!$G$2,$Q780=Parametres!$G$3),I780,C780)</f>
        <v>0</v>
      </c>
      <c r="O780" s="657">
        <f>+IF(OR($Q780=Parametres!$G$2,$Q780=Parametres!$G$3),J780,D780)</f>
        <v>0</v>
      </c>
      <c r="P780" s="657">
        <f>+IF(OR($Q780=Parametres!$G$2,$Q780=Parametres!$G$3),K780,E780)</f>
        <v>0</v>
      </c>
      <c r="Q780" s="656">
        <f t="shared" ref="Q780:S780" si="795">+F780</f>
        <v>0</v>
      </c>
      <c r="R780" s="655">
        <f t="shared" si="795"/>
        <v>0</v>
      </c>
      <c r="S780" s="656">
        <f t="shared" si="795"/>
        <v>0</v>
      </c>
      <c r="T780" s="658" t="e">
        <f>+VLOOKUP($L780,Data_Validation!$A:$D,1,0)</f>
        <v>#N/A</v>
      </c>
      <c r="U780" s="658" t="e">
        <f>+VLOOKUP($L780,Data_Validation!$A:$D,3,0)</f>
        <v>#N/A</v>
      </c>
      <c r="V780" s="658" t="e">
        <f>+VLOOKUP($L780,Data_Validation!$A:$D,4,0)</f>
        <v>#N/A</v>
      </c>
      <c r="W780" s="658" t="e">
        <f>+VLOOKUP($L780,Data_Validation!$A:$E,5,0)</f>
        <v>#N/A</v>
      </c>
    </row>
    <row r="781" spans="1:23" ht="15.75" customHeight="1">
      <c r="A781" s="718"/>
      <c r="B781" s="656"/>
      <c r="C781" s="719"/>
      <c r="D781" s="718"/>
      <c r="E781" s="718"/>
      <c r="F781" s="718"/>
      <c r="G781" s="718"/>
      <c r="H781" s="718"/>
      <c r="I781" s="718"/>
      <c r="J781" s="718"/>
      <c r="K781" s="718"/>
      <c r="L781" s="655" t="str">
        <f t="shared" si="785"/>
        <v>0</v>
      </c>
      <c r="M781" s="656">
        <f t="shared" si="780"/>
        <v>0</v>
      </c>
      <c r="N781" s="657">
        <f>+IF(OR($Q781=Parametres!$G$2,$Q781=Parametres!$G$3),I781,C781)</f>
        <v>0</v>
      </c>
      <c r="O781" s="657">
        <f>+IF(OR($Q781=Parametres!$G$2,$Q781=Parametres!$G$3),J781,D781)</f>
        <v>0</v>
      </c>
      <c r="P781" s="657">
        <f>+IF(OR($Q781=Parametres!$G$2,$Q781=Parametres!$G$3),K781,E781)</f>
        <v>0</v>
      </c>
      <c r="Q781" s="656">
        <f t="shared" ref="Q781:S781" si="796">+F781</f>
        <v>0</v>
      </c>
      <c r="R781" s="655">
        <f t="shared" si="796"/>
        <v>0</v>
      </c>
      <c r="S781" s="656">
        <f t="shared" si="796"/>
        <v>0</v>
      </c>
      <c r="T781" s="658" t="e">
        <f>+VLOOKUP($L781,Data_Validation!$A:$D,1,0)</f>
        <v>#N/A</v>
      </c>
      <c r="U781" s="658" t="e">
        <f>+VLOOKUP($L781,Data_Validation!$A:$D,3,0)</f>
        <v>#N/A</v>
      </c>
      <c r="V781" s="658" t="e">
        <f>+VLOOKUP($L781,Data_Validation!$A:$D,4,0)</f>
        <v>#N/A</v>
      </c>
      <c r="W781" s="658" t="e">
        <f>+VLOOKUP($L781,Data_Validation!$A:$E,5,0)</f>
        <v>#N/A</v>
      </c>
    </row>
    <row r="782" spans="1:23" ht="15.75" customHeight="1">
      <c r="A782" s="718"/>
      <c r="B782" s="656"/>
      <c r="C782" s="719"/>
      <c r="D782" s="718"/>
      <c r="E782" s="718"/>
      <c r="F782" s="718"/>
      <c r="G782" s="718"/>
      <c r="H782" s="718"/>
      <c r="I782" s="718"/>
      <c r="J782" s="718"/>
      <c r="K782" s="718"/>
      <c r="L782" s="655" t="str">
        <f t="shared" si="785"/>
        <v>0</v>
      </c>
      <c r="M782" s="656">
        <f t="shared" si="780"/>
        <v>0</v>
      </c>
      <c r="N782" s="657">
        <f>+IF(OR($Q782=Parametres!$G$2,$Q782=Parametres!$G$3),I782,C782)</f>
        <v>0</v>
      </c>
      <c r="O782" s="657">
        <f>+IF(OR($Q782=Parametres!$G$2,$Q782=Parametres!$G$3),J782,D782)</f>
        <v>0</v>
      </c>
      <c r="P782" s="657">
        <f>+IF(OR($Q782=Parametres!$G$2,$Q782=Parametres!$G$3),K782,E782)</f>
        <v>0</v>
      </c>
      <c r="Q782" s="656">
        <f t="shared" ref="Q782:S782" si="797">+F782</f>
        <v>0</v>
      </c>
      <c r="R782" s="655">
        <f t="shared" si="797"/>
        <v>0</v>
      </c>
      <c r="S782" s="656">
        <f t="shared" si="797"/>
        <v>0</v>
      </c>
      <c r="T782" s="658" t="e">
        <f>+VLOOKUP($L782,Data_Validation!$A:$D,1,0)</f>
        <v>#N/A</v>
      </c>
      <c r="U782" s="658" t="e">
        <f>+VLOOKUP($L782,Data_Validation!$A:$D,3,0)</f>
        <v>#N/A</v>
      </c>
      <c r="V782" s="658" t="e">
        <f>+VLOOKUP($L782,Data_Validation!$A:$D,4,0)</f>
        <v>#N/A</v>
      </c>
      <c r="W782" s="658" t="e">
        <f>+VLOOKUP($L782,Data_Validation!$A:$E,5,0)</f>
        <v>#N/A</v>
      </c>
    </row>
    <row r="783" spans="1:23" ht="15.75" customHeight="1">
      <c r="A783" s="718"/>
      <c r="B783" s="656"/>
      <c r="C783" s="719"/>
      <c r="D783" s="718"/>
      <c r="E783" s="718"/>
      <c r="F783" s="718"/>
      <c r="G783" s="718"/>
      <c r="H783" s="718"/>
      <c r="I783" s="718"/>
      <c r="J783" s="718"/>
      <c r="K783" s="718"/>
      <c r="L783" s="655" t="str">
        <f t="shared" si="785"/>
        <v>0</v>
      </c>
      <c r="M783" s="656">
        <f t="shared" si="780"/>
        <v>0</v>
      </c>
      <c r="N783" s="657">
        <f>+IF(OR($Q783=Parametres!$G$2,$Q783=Parametres!$G$3),I783,C783)</f>
        <v>0</v>
      </c>
      <c r="O783" s="657">
        <f>+IF(OR($Q783=Parametres!$G$2,$Q783=Parametres!$G$3),J783,D783)</f>
        <v>0</v>
      </c>
      <c r="P783" s="657">
        <f>+IF(OR($Q783=Parametres!$G$2,$Q783=Parametres!$G$3),K783,E783)</f>
        <v>0</v>
      </c>
      <c r="Q783" s="656">
        <f t="shared" ref="Q783:S783" si="798">+F783</f>
        <v>0</v>
      </c>
      <c r="R783" s="655">
        <f t="shared" si="798"/>
        <v>0</v>
      </c>
      <c r="S783" s="656">
        <f t="shared" si="798"/>
        <v>0</v>
      </c>
      <c r="T783" s="658" t="e">
        <f>+VLOOKUP($L783,Data_Validation!$A:$D,1,0)</f>
        <v>#N/A</v>
      </c>
      <c r="U783" s="658" t="e">
        <f>+VLOOKUP($L783,Data_Validation!$A:$D,3,0)</f>
        <v>#N/A</v>
      </c>
      <c r="V783" s="658" t="e">
        <f>+VLOOKUP($L783,Data_Validation!$A:$D,4,0)</f>
        <v>#N/A</v>
      </c>
      <c r="W783" s="658" t="e">
        <f>+VLOOKUP($L783,Data_Validation!$A:$E,5,0)</f>
        <v>#N/A</v>
      </c>
    </row>
    <row r="784" spans="1:23" ht="15.75" customHeight="1">
      <c r="A784" s="718"/>
      <c r="B784" s="656"/>
      <c r="C784" s="719"/>
      <c r="D784" s="718"/>
      <c r="E784" s="718"/>
      <c r="F784" s="718"/>
      <c r="G784" s="718"/>
      <c r="H784" s="718"/>
      <c r="I784" s="718"/>
      <c r="J784" s="718"/>
      <c r="K784" s="718"/>
      <c r="L784" s="655" t="str">
        <f t="shared" si="785"/>
        <v>0</v>
      </c>
      <c r="M784" s="656">
        <f t="shared" si="780"/>
        <v>0</v>
      </c>
      <c r="N784" s="657">
        <f>+IF(OR($Q784=Parametres!$G$2,$Q784=Parametres!$G$3),I784,C784)</f>
        <v>0</v>
      </c>
      <c r="O784" s="657">
        <f>+IF(OR($Q784=Parametres!$G$2,$Q784=Parametres!$G$3),J784,D784)</f>
        <v>0</v>
      </c>
      <c r="P784" s="657">
        <f>+IF(OR($Q784=Parametres!$G$2,$Q784=Parametres!$G$3),K784,E784)</f>
        <v>0</v>
      </c>
      <c r="Q784" s="656">
        <f t="shared" ref="Q784:S784" si="799">+F784</f>
        <v>0</v>
      </c>
      <c r="R784" s="655">
        <f t="shared" si="799"/>
        <v>0</v>
      </c>
      <c r="S784" s="656">
        <f t="shared" si="799"/>
        <v>0</v>
      </c>
      <c r="T784" s="658" t="e">
        <f>+VLOOKUP($L784,Data_Validation!$A:$D,1,0)</f>
        <v>#N/A</v>
      </c>
      <c r="U784" s="658" t="e">
        <f>+VLOOKUP($L784,Data_Validation!$A:$D,3,0)</f>
        <v>#N/A</v>
      </c>
      <c r="V784" s="658" t="e">
        <f>+VLOOKUP($L784,Data_Validation!$A:$D,4,0)</f>
        <v>#N/A</v>
      </c>
      <c r="W784" s="658" t="e">
        <f>+VLOOKUP($L784,Data_Validation!$A:$E,5,0)</f>
        <v>#N/A</v>
      </c>
    </row>
    <row r="785" spans="1:23" ht="15.75" customHeight="1">
      <c r="A785" s="718"/>
      <c r="B785" s="656"/>
      <c r="C785" s="719"/>
      <c r="D785" s="718"/>
      <c r="E785" s="718"/>
      <c r="F785" s="718"/>
      <c r="G785" s="718"/>
      <c r="H785" s="718"/>
      <c r="I785" s="718"/>
      <c r="J785" s="718"/>
      <c r="K785" s="718"/>
      <c r="L785" s="655" t="str">
        <f t="shared" si="785"/>
        <v>0</v>
      </c>
      <c r="M785" s="656">
        <f t="shared" si="780"/>
        <v>0</v>
      </c>
      <c r="N785" s="657">
        <f>+IF(OR($Q785=Parametres!$G$2,$Q785=Parametres!$G$3),I785,C785)</f>
        <v>0</v>
      </c>
      <c r="O785" s="657">
        <f>+IF(OR($Q785=Parametres!$G$2,$Q785=Parametres!$G$3),J785,D785)</f>
        <v>0</v>
      </c>
      <c r="P785" s="657">
        <f>+IF(OR($Q785=Parametres!$G$2,$Q785=Parametres!$G$3),K785,E785)</f>
        <v>0</v>
      </c>
      <c r="Q785" s="656">
        <f t="shared" ref="Q785:S785" si="800">+F785</f>
        <v>0</v>
      </c>
      <c r="R785" s="655">
        <f t="shared" si="800"/>
        <v>0</v>
      </c>
      <c r="S785" s="656">
        <f t="shared" si="800"/>
        <v>0</v>
      </c>
      <c r="T785" s="658" t="e">
        <f>+VLOOKUP($L785,Data_Validation!$A:$D,1,0)</f>
        <v>#N/A</v>
      </c>
      <c r="U785" s="658" t="e">
        <f>+VLOOKUP($L785,Data_Validation!$A:$D,3,0)</f>
        <v>#N/A</v>
      </c>
      <c r="V785" s="658" t="e">
        <f>+VLOOKUP($L785,Data_Validation!$A:$D,4,0)</f>
        <v>#N/A</v>
      </c>
      <c r="W785" s="658" t="e">
        <f>+VLOOKUP($L785,Data_Validation!$A:$E,5,0)</f>
        <v>#N/A</v>
      </c>
    </row>
    <row r="786" spans="1:23" ht="15.75" customHeight="1">
      <c r="A786" s="718"/>
      <c r="B786" s="656"/>
      <c r="C786" s="719"/>
      <c r="D786" s="718"/>
      <c r="E786" s="718"/>
      <c r="F786" s="718"/>
      <c r="G786" s="718"/>
      <c r="H786" s="718"/>
      <c r="I786" s="718"/>
      <c r="J786" s="718"/>
      <c r="K786" s="718"/>
      <c r="L786" s="655" t="str">
        <f t="shared" si="785"/>
        <v>0</v>
      </c>
      <c r="M786" s="656">
        <f t="shared" si="780"/>
        <v>0</v>
      </c>
      <c r="N786" s="657">
        <f>+IF(OR($Q786=Parametres!$G$2,$Q786=Parametres!$G$3),I786,C786)</f>
        <v>0</v>
      </c>
      <c r="O786" s="657">
        <f>+IF(OR($Q786=Parametres!$G$2,$Q786=Parametres!$G$3),J786,D786)</f>
        <v>0</v>
      </c>
      <c r="P786" s="657">
        <f>+IF(OR($Q786=Parametres!$G$2,$Q786=Parametres!$G$3),K786,E786)</f>
        <v>0</v>
      </c>
      <c r="Q786" s="656">
        <f t="shared" ref="Q786:S786" si="801">+F786</f>
        <v>0</v>
      </c>
      <c r="R786" s="655">
        <f t="shared" si="801"/>
        <v>0</v>
      </c>
      <c r="S786" s="656">
        <f t="shared" si="801"/>
        <v>0</v>
      </c>
      <c r="T786" s="658" t="e">
        <f>+VLOOKUP($L786,Data_Validation!$A:$D,1,0)</f>
        <v>#N/A</v>
      </c>
      <c r="U786" s="658" t="e">
        <f>+VLOOKUP($L786,Data_Validation!$A:$D,3,0)</f>
        <v>#N/A</v>
      </c>
      <c r="V786" s="658" t="e">
        <f>+VLOOKUP($L786,Data_Validation!$A:$D,4,0)</f>
        <v>#N/A</v>
      </c>
      <c r="W786" s="658" t="e">
        <f>+VLOOKUP($L786,Data_Validation!$A:$E,5,0)</f>
        <v>#N/A</v>
      </c>
    </row>
    <row r="787" spans="1:23" ht="15.75" customHeight="1">
      <c r="A787" s="718"/>
      <c r="B787" s="656"/>
      <c r="C787" s="719"/>
      <c r="D787" s="718"/>
      <c r="E787" s="718"/>
      <c r="F787" s="718"/>
      <c r="G787" s="718"/>
      <c r="H787" s="718"/>
      <c r="I787" s="718"/>
      <c r="J787" s="718"/>
      <c r="K787" s="718"/>
      <c r="L787" s="655" t="str">
        <f t="shared" si="785"/>
        <v>0</v>
      </c>
      <c r="M787" s="656">
        <f t="shared" si="780"/>
        <v>0</v>
      </c>
      <c r="N787" s="657">
        <f>+IF(OR($Q787=Parametres!$G$2,$Q787=Parametres!$G$3),I787,C787)</f>
        <v>0</v>
      </c>
      <c r="O787" s="657">
        <f>+IF(OR($Q787=Parametres!$G$2,$Q787=Parametres!$G$3),J787,D787)</f>
        <v>0</v>
      </c>
      <c r="P787" s="657">
        <f>+IF(OR($Q787=Parametres!$G$2,$Q787=Parametres!$G$3),K787,E787)</f>
        <v>0</v>
      </c>
      <c r="Q787" s="656">
        <f t="shared" ref="Q787:S787" si="802">+F787</f>
        <v>0</v>
      </c>
      <c r="R787" s="655">
        <f t="shared" si="802"/>
        <v>0</v>
      </c>
      <c r="S787" s="656">
        <f t="shared" si="802"/>
        <v>0</v>
      </c>
      <c r="T787" s="658" t="e">
        <f>+VLOOKUP($L787,Data_Validation!$A:$D,1,0)</f>
        <v>#N/A</v>
      </c>
      <c r="U787" s="658" t="e">
        <f>+VLOOKUP($L787,Data_Validation!$A:$D,3,0)</f>
        <v>#N/A</v>
      </c>
      <c r="V787" s="658" t="e">
        <f>+VLOOKUP($L787,Data_Validation!$A:$D,4,0)</f>
        <v>#N/A</v>
      </c>
      <c r="W787" s="658" t="e">
        <f>+VLOOKUP($L787,Data_Validation!$A:$E,5,0)</f>
        <v>#N/A</v>
      </c>
    </row>
    <row r="788" spans="1:23" ht="15.75" customHeight="1">
      <c r="A788" s="718"/>
      <c r="B788" s="656"/>
      <c r="C788" s="719"/>
      <c r="D788" s="718"/>
      <c r="E788" s="718"/>
      <c r="F788" s="718"/>
      <c r="G788" s="718"/>
      <c r="H788" s="718"/>
      <c r="I788" s="718"/>
      <c r="J788" s="718"/>
      <c r="K788" s="718"/>
      <c r="L788" s="655" t="str">
        <f t="shared" si="785"/>
        <v>0</v>
      </c>
      <c r="M788" s="656">
        <f t="shared" si="780"/>
        <v>0</v>
      </c>
      <c r="N788" s="657">
        <f>+IF(OR($Q788=Parametres!$G$2,$Q788=Parametres!$G$3),I788,C788)</f>
        <v>0</v>
      </c>
      <c r="O788" s="657">
        <f>+IF(OR($Q788=Parametres!$G$2,$Q788=Parametres!$G$3),J788,D788)</f>
        <v>0</v>
      </c>
      <c r="P788" s="657">
        <f>+IF(OR($Q788=Parametres!$G$2,$Q788=Parametres!$G$3),K788,E788)</f>
        <v>0</v>
      </c>
      <c r="Q788" s="656">
        <f t="shared" ref="Q788:S788" si="803">+F788</f>
        <v>0</v>
      </c>
      <c r="R788" s="655">
        <f t="shared" si="803"/>
        <v>0</v>
      </c>
      <c r="S788" s="656">
        <f t="shared" si="803"/>
        <v>0</v>
      </c>
      <c r="T788" s="658" t="e">
        <f>+VLOOKUP($L788,Data_Validation!$A:$D,1,0)</f>
        <v>#N/A</v>
      </c>
      <c r="U788" s="658" t="e">
        <f>+VLOOKUP($L788,Data_Validation!$A:$D,3,0)</f>
        <v>#N/A</v>
      </c>
      <c r="V788" s="658" t="e">
        <f>+VLOOKUP($L788,Data_Validation!$A:$D,4,0)</f>
        <v>#N/A</v>
      </c>
      <c r="W788" s="658" t="e">
        <f>+VLOOKUP($L788,Data_Validation!$A:$E,5,0)</f>
        <v>#N/A</v>
      </c>
    </row>
    <row r="789" spans="1:23" ht="15.75" customHeight="1">
      <c r="A789" s="718"/>
      <c r="B789" s="656"/>
      <c r="C789" s="719"/>
      <c r="D789" s="718"/>
      <c r="E789" s="718"/>
      <c r="F789" s="718"/>
      <c r="G789" s="718"/>
      <c r="H789" s="718"/>
      <c r="I789" s="718"/>
      <c r="J789" s="718"/>
      <c r="K789" s="718"/>
      <c r="L789" s="655" t="str">
        <f t="shared" si="785"/>
        <v>0</v>
      </c>
      <c r="M789" s="656">
        <f t="shared" si="780"/>
        <v>0</v>
      </c>
      <c r="N789" s="657">
        <f>+IF(OR($Q789=Parametres!$G$2,$Q789=Parametres!$G$3),I789,C789)</f>
        <v>0</v>
      </c>
      <c r="O789" s="657">
        <f>+IF(OR($Q789=Parametres!$G$2,$Q789=Parametres!$G$3),J789,D789)</f>
        <v>0</v>
      </c>
      <c r="P789" s="657">
        <f>+IF(OR($Q789=Parametres!$G$2,$Q789=Parametres!$G$3),K789,E789)</f>
        <v>0</v>
      </c>
      <c r="Q789" s="656">
        <f t="shared" ref="Q789:S789" si="804">+F789</f>
        <v>0</v>
      </c>
      <c r="R789" s="655">
        <f t="shared" si="804"/>
        <v>0</v>
      </c>
      <c r="S789" s="656">
        <f t="shared" si="804"/>
        <v>0</v>
      </c>
      <c r="T789" s="658" t="e">
        <f>+VLOOKUP($L789,Data_Validation!$A:$D,1,0)</f>
        <v>#N/A</v>
      </c>
      <c r="U789" s="658" t="e">
        <f>+VLOOKUP($L789,Data_Validation!$A:$D,3,0)</f>
        <v>#N/A</v>
      </c>
      <c r="V789" s="658" t="e">
        <f>+VLOOKUP($L789,Data_Validation!$A:$D,4,0)</f>
        <v>#N/A</v>
      </c>
      <c r="W789" s="658" t="e">
        <f>+VLOOKUP($L789,Data_Validation!$A:$E,5,0)</f>
        <v>#N/A</v>
      </c>
    </row>
    <row r="790" spans="1:23" ht="15.75" customHeight="1">
      <c r="A790" s="718"/>
      <c r="B790" s="656"/>
      <c r="C790" s="719"/>
      <c r="D790" s="718"/>
      <c r="E790" s="718"/>
      <c r="F790" s="718"/>
      <c r="G790" s="718"/>
      <c r="H790" s="718"/>
      <c r="I790" s="718"/>
      <c r="J790" s="718"/>
      <c r="K790" s="718"/>
      <c r="L790" s="655" t="str">
        <f t="shared" si="785"/>
        <v>0</v>
      </c>
      <c r="M790" s="656">
        <f t="shared" si="780"/>
        <v>0</v>
      </c>
      <c r="N790" s="657">
        <f>+IF(OR($Q790=Parametres!$G$2,$Q790=Parametres!$G$3),I790,C790)</f>
        <v>0</v>
      </c>
      <c r="O790" s="657">
        <f>+IF(OR($Q790=Parametres!$G$2,$Q790=Parametres!$G$3),J790,D790)</f>
        <v>0</v>
      </c>
      <c r="P790" s="657">
        <f>+IF(OR($Q790=Parametres!$G$2,$Q790=Parametres!$G$3),K790,E790)</f>
        <v>0</v>
      </c>
      <c r="Q790" s="656">
        <f t="shared" ref="Q790:S790" si="805">+F790</f>
        <v>0</v>
      </c>
      <c r="R790" s="655">
        <f t="shared" si="805"/>
        <v>0</v>
      </c>
      <c r="S790" s="656">
        <f t="shared" si="805"/>
        <v>0</v>
      </c>
      <c r="T790" s="658" t="e">
        <f>+VLOOKUP($L790,Data_Validation!$A:$D,1,0)</f>
        <v>#N/A</v>
      </c>
      <c r="U790" s="658" t="e">
        <f>+VLOOKUP($L790,Data_Validation!$A:$D,3,0)</f>
        <v>#N/A</v>
      </c>
      <c r="V790" s="658" t="e">
        <f>+VLOOKUP($L790,Data_Validation!$A:$D,4,0)</f>
        <v>#N/A</v>
      </c>
      <c r="W790" s="658" t="e">
        <f>+VLOOKUP($L790,Data_Validation!$A:$E,5,0)</f>
        <v>#N/A</v>
      </c>
    </row>
    <row r="791" spans="1:23" ht="15.75" customHeight="1">
      <c r="A791" s="718"/>
      <c r="B791" s="656"/>
      <c r="C791" s="719"/>
      <c r="D791" s="718"/>
      <c r="E791" s="718"/>
      <c r="F791" s="718"/>
      <c r="G791" s="718"/>
      <c r="H791" s="718"/>
      <c r="I791" s="718"/>
      <c r="J791" s="718"/>
      <c r="K791" s="718"/>
      <c r="L791" s="655" t="str">
        <f t="shared" si="785"/>
        <v>0</v>
      </c>
      <c r="M791" s="656">
        <f t="shared" si="780"/>
        <v>0</v>
      </c>
      <c r="N791" s="657">
        <f>+IF(OR($Q791=Parametres!$G$2,$Q791=Parametres!$G$3),I791,C791)</f>
        <v>0</v>
      </c>
      <c r="O791" s="657">
        <f>+IF(OR($Q791=Parametres!$G$2,$Q791=Parametres!$G$3),J791,D791)</f>
        <v>0</v>
      </c>
      <c r="P791" s="657">
        <f>+IF(OR($Q791=Parametres!$G$2,$Q791=Parametres!$G$3),K791,E791)</f>
        <v>0</v>
      </c>
      <c r="Q791" s="656">
        <f t="shared" ref="Q791:S791" si="806">+F791</f>
        <v>0</v>
      </c>
      <c r="R791" s="655">
        <f t="shared" si="806"/>
        <v>0</v>
      </c>
      <c r="S791" s="656">
        <f t="shared" si="806"/>
        <v>0</v>
      </c>
      <c r="T791" s="658" t="e">
        <f>+VLOOKUP($L791,Data_Validation!$A:$D,1,0)</f>
        <v>#N/A</v>
      </c>
      <c r="U791" s="658" t="e">
        <f>+VLOOKUP($L791,Data_Validation!$A:$D,3,0)</f>
        <v>#N/A</v>
      </c>
      <c r="V791" s="658" t="e">
        <f>+VLOOKUP($L791,Data_Validation!$A:$D,4,0)</f>
        <v>#N/A</v>
      </c>
      <c r="W791" s="658" t="e">
        <f>+VLOOKUP($L791,Data_Validation!$A:$E,5,0)</f>
        <v>#N/A</v>
      </c>
    </row>
    <row r="792" spans="1:23" ht="15.75" customHeight="1">
      <c r="A792" s="718"/>
      <c r="B792" s="656"/>
      <c r="C792" s="719"/>
      <c r="D792" s="718"/>
      <c r="E792" s="718"/>
      <c r="F792" s="718"/>
      <c r="G792" s="718"/>
      <c r="H792" s="718"/>
      <c r="I792" s="718"/>
      <c r="J792" s="718"/>
      <c r="K792" s="718"/>
      <c r="L792" s="655" t="str">
        <f t="shared" si="785"/>
        <v>0</v>
      </c>
      <c r="M792" s="656">
        <f t="shared" si="780"/>
        <v>0</v>
      </c>
      <c r="N792" s="657">
        <f>+IF(OR($Q792=Parametres!$G$2,$Q792=Parametres!$G$3),I792,C792)</f>
        <v>0</v>
      </c>
      <c r="O792" s="657">
        <f>+IF(OR($Q792=Parametres!$G$2,$Q792=Parametres!$G$3),J792,D792)</f>
        <v>0</v>
      </c>
      <c r="P792" s="657">
        <f>+IF(OR($Q792=Parametres!$G$2,$Q792=Parametres!$G$3),K792,E792)</f>
        <v>0</v>
      </c>
      <c r="Q792" s="656">
        <f t="shared" ref="Q792:S792" si="807">+F792</f>
        <v>0</v>
      </c>
      <c r="R792" s="655">
        <f t="shared" si="807"/>
        <v>0</v>
      </c>
      <c r="S792" s="656">
        <f t="shared" si="807"/>
        <v>0</v>
      </c>
      <c r="T792" s="658" t="e">
        <f>+VLOOKUP($L792,Data_Validation!$A:$D,1,0)</f>
        <v>#N/A</v>
      </c>
      <c r="U792" s="658" t="e">
        <f>+VLOOKUP($L792,Data_Validation!$A:$D,3,0)</f>
        <v>#N/A</v>
      </c>
      <c r="V792" s="658" t="e">
        <f>+VLOOKUP($L792,Data_Validation!$A:$D,4,0)</f>
        <v>#N/A</v>
      </c>
      <c r="W792" s="658" t="e">
        <f>+VLOOKUP($L792,Data_Validation!$A:$E,5,0)</f>
        <v>#N/A</v>
      </c>
    </row>
    <row r="793" spans="1:23" ht="15.75" customHeight="1">
      <c r="A793" s="718"/>
      <c r="B793" s="656"/>
      <c r="C793" s="719"/>
      <c r="D793" s="718"/>
      <c r="E793" s="718"/>
      <c r="F793" s="718"/>
      <c r="G793" s="718"/>
      <c r="H793" s="718"/>
      <c r="I793" s="718"/>
      <c r="J793" s="718"/>
      <c r="K793" s="718"/>
      <c r="L793" s="655" t="str">
        <f t="shared" si="785"/>
        <v>0</v>
      </c>
      <c r="M793" s="656">
        <f t="shared" si="780"/>
        <v>0</v>
      </c>
      <c r="N793" s="657">
        <f>+IF(OR($Q793=Parametres!$G$2,$Q793=Parametres!$G$3),I793,C793)</f>
        <v>0</v>
      </c>
      <c r="O793" s="657">
        <f>+IF(OR($Q793=Parametres!$G$2,$Q793=Parametres!$G$3),J793,D793)</f>
        <v>0</v>
      </c>
      <c r="P793" s="657">
        <f>+IF(OR($Q793=Parametres!$G$2,$Q793=Parametres!$G$3),K793,E793)</f>
        <v>0</v>
      </c>
      <c r="Q793" s="656">
        <f t="shared" ref="Q793:S793" si="808">+F793</f>
        <v>0</v>
      </c>
      <c r="R793" s="655">
        <f t="shared" si="808"/>
        <v>0</v>
      </c>
      <c r="S793" s="656">
        <f t="shared" si="808"/>
        <v>0</v>
      </c>
      <c r="T793" s="658" t="e">
        <f>+VLOOKUP($L793,Data_Validation!$A:$D,1,0)</f>
        <v>#N/A</v>
      </c>
      <c r="U793" s="658" t="e">
        <f>+VLOOKUP($L793,Data_Validation!$A:$D,3,0)</f>
        <v>#N/A</v>
      </c>
      <c r="V793" s="658" t="e">
        <f>+VLOOKUP($L793,Data_Validation!$A:$D,4,0)</f>
        <v>#N/A</v>
      </c>
      <c r="W793" s="658" t="e">
        <f>+VLOOKUP($L793,Data_Validation!$A:$E,5,0)</f>
        <v>#N/A</v>
      </c>
    </row>
    <row r="794" spans="1:23" ht="15.75" customHeight="1">
      <c r="A794" s="718"/>
      <c r="B794" s="656"/>
      <c r="C794" s="719"/>
      <c r="D794" s="718"/>
      <c r="E794" s="718"/>
      <c r="F794" s="718"/>
      <c r="G794" s="718"/>
      <c r="H794" s="718"/>
      <c r="I794" s="718"/>
      <c r="J794" s="718"/>
      <c r="K794" s="718"/>
      <c r="L794" s="655" t="str">
        <f t="shared" si="785"/>
        <v>0</v>
      </c>
      <c r="M794" s="656">
        <f t="shared" si="780"/>
        <v>0</v>
      </c>
      <c r="N794" s="657">
        <f>+IF(OR($Q794=Parametres!$G$2,$Q794=Parametres!$G$3),I794,C794)</f>
        <v>0</v>
      </c>
      <c r="O794" s="657">
        <f>+IF(OR($Q794=Parametres!$G$2,$Q794=Parametres!$G$3),J794,D794)</f>
        <v>0</v>
      </c>
      <c r="P794" s="657">
        <f>+IF(OR($Q794=Parametres!$G$2,$Q794=Parametres!$G$3),K794,E794)</f>
        <v>0</v>
      </c>
      <c r="Q794" s="656">
        <f t="shared" ref="Q794:S794" si="809">+F794</f>
        <v>0</v>
      </c>
      <c r="R794" s="655">
        <f t="shared" si="809"/>
        <v>0</v>
      </c>
      <c r="S794" s="656">
        <f t="shared" si="809"/>
        <v>0</v>
      </c>
      <c r="T794" s="658" t="e">
        <f>+VLOOKUP($L794,Data_Validation!$A:$D,1,0)</f>
        <v>#N/A</v>
      </c>
      <c r="U794" s="658" t="e">
        <f>+VLOOKUP($L794,Data_Validation!$A:$D,3,0)</f>
        <v>#N/A</v>
      </c>
      <c r="V794" s="658" t="e">
        <f>+VLOOKUP($L794,Data_Validation!$A:$D,4,0)</f>
        <v>#N/A</v>
      </c>
      <c r="W794" s="658" t="e">
        <f>+VLOOKUP($L794,Data_Validation!$A:$E,5,0)</f>
        <v>#N/A</v>
      </c>
    </row>
    <row r="795" spans="1:23" ht="15.75" customHeight="1">
      <c r="A795" s="718"/>
      <c r="B795" s="656"/>
      <c r="C795" s="719"/>
      <c r="D795" s="718"/>
      <c r="E795" s="718"/>
      <c r="F795" s="718"/>
      <c r="G795" s="718"/>
      <c r="H795" s="718"/>
      <c r="I795" s="718"/>
      <c r="J795" s="718"/>
      <c r="K795" s="718"/>
      <c r="L795" s="655" t="str">
        <f t="shared" si="785"/>
        <v>0</v>
      </c>
      <c r="M795" s="656">
        <f t="shared" si="780"/>
        <v>0</v>
      </c>
      <c r="N795" s="657">
        <f>+IF(OR($Q795=Parametres!$G$2,$Q795=Parametres!$G$3),I795,C795)</f>
        <v>0</v>
      </c>
      <c r="O795" s="657">
        <f>+IF(OR($Q795=Parametres!$G$2,$Q795=Parametres!$G$3),J795,D795)</f>
        <v>0</v>
      </c>
      <c r="P795" s="657">
        <f>+IF(OR($Q795=Parametres!$G$2,$Q795=Parametres!$G$3),K795,E795)</f>
        <v>0</v>
      </c>
      <c r="Q795" s="656">
        <f t="shared" ref="Q795:S795" si="810">+F795</f>
        <v>0</v>
      </c>
      <c r="R795" s="655">
        <f t="shared" si="810"/>
        <v>0</v>
      </c>
      <c r="S795" s="656">
        <f t="shared" si="810"/>
        <v>0</v>
      </c>
      <c r="T795" s="658" t="e">
        <f>+VLOOKUP($L795,Data_Validation!$A:$D,1,0)</f>
        <v>#N/A</v>
      </c>
      <c r="U795" s="658" t="e">
        <f>+VLOOKUP($L795,Data_Validation!$A:$D,3,0)</f>
        <v>#N/A</v>
      </c>
      <c r="V795" s="658" t="e">
        <f>+VLOOKUP($L795,Data_Validation!$A:$D,4,0)</f>
        <v>#N/A</v>
      </c>
      <c r="W795" s="658" t="e">
        <f>+VLOOKUP($L795,Data_Validation!$A:$E,5,0)</f>
        <v>#N/A</v>
      </c>
    </row>
    <row r="796" spans="1:23" ht="15.75" customHeight="1">
      <c r="A796" s="718"/>
      <c r="B796" s="656"/>
      <c r="C796" s="719"/>
      <c r="D796" s="718"/>
      <c r="E796" s="718"/>
      <c r="F796" s="718"/>
      <c r="G796" s="718"/>
      <c r="H796" s="718"/>
      <c r="I796" s="718"/>
      <c r="J796" s="718"/>
      <c r="K796" s="718"/>
      <c r="L796" s="655" t="str">
        <f t="shared" si="785"/>
        <v>0</v>
      </c>
      <c r="M796" s="656">
        <f t="shared" si="780"/>
        <v>0</v>
      </c>
      <c r="N796" s="657">
        <f>+IF(OR($Q796=Parametres!$G$2,$Q796=Parametres!$G$3),I796,C796)</f>
        <v>0</v>
      </c>
      <c r="O796" s="657">
        <f>+IF(OR($Q796=Parametres!$G$2,$Q796=Parametres!$G$3),J796,D796)</f>
        <v>0</v>
      </c>
      <c r="P796" s="657">
        <f>+IF(OR($Q796=Parametres!$G$2,$Q796=Parametres!$G$3),K796,E796)</f>
        <v>0</v>
      </c>
      <c r="Q796" s="656">
        <f t="shared" ref="Q796:S796" si="811">+F796</f>
        <v>0</v>
      </c>
      <c r="R796" s="655">
        <f t="shared" si="811"/>
        <v>0</v>
      </c>
      <c r="S796" s="656">
        <f t="shared" si="811"/>
        <v>0</v>
      </c>
      <c r="T796" s="658" t="e">
        <f>+VLOOKUP($L796,Data_Validation!$A:$D,1,0)</f>
        <v>#N/A</v>
      </c>
      <c r="U796" s="658" t="e">
        <f>+VLOOKUP($L796,Data_Validation!$A:$D,3,0)</f>
        <v>#N/A</v>
      </c>
      <c r="V796" s="658" t="e">
        <f>+VLOOKUP($L796,Data_Validation!$A:$D,4,0)</f>
        <v>#N/A</v>
      </c>
      <c r="W796" s="658" t="e">
        <f>+VLOOKUP($L796,Data_Validation!$A:$E,5,0)</f>
        <v>#N/A</v>
      </c>
    </row>
    <row r="797" spans="1:23" ht="15.75" customHeight="1">
      <c r="A797" s="718"/>
      <c r="B797" s="656"/>
      <c r="C797" s="719"/>
      <c r="D797" s="718"/>
      <c r="E797" s="718"/>
      <c r="F797" s="718"/>
      <c r="G797" s="718"/>
      <c r="H797" s="718"/>
      <c r="I797" s="718"/>
      <c r="J797" s="718"/>
      <c r="K797" s="718"/>
      <c r="L797" s="655" t="str">
        <f t="shared" si="785"/>
        <v>0</v>
      </c>
      <c r="M797" s="656">
        <f t="shared" si="780"/>
        <v>0</v>
      </c>
      <c r="N797" s="657">
        <f>+IF(OR($Q797=Parametres!$G$2,$Q797=Parametres!$G$3),I797,C797)</f>
        <v>0</v>
      </c>
      <c r="O797" s="657">
        <f>+IF(OR($Q797=Parametres!$G$2,$Q797=Parametres!$G$3),J797,D797)</f>
        <v>0</v>
      </c>
      <c r="P797" s="657">
        <f>+IF(OR($Q797=Parametres!$G$2,$Q797=Parametres!$G$3),K797,E797)</f>
        <v>0</v>
      </c>
      <c r="Q797" s="656">
        <f t="shared" ref="Q797:S797" si="812">+F797</f>
        <v>0</v>
      </c>
      <c r="R797" s="655">
        <f t="shared" si="812"/>
        <v>0</v>
      </c>
      <c r="S797" s="656">
        <f t="shared" si="812"/>
        <v>0</v>
      </c>
      <c r="T797" s="658" t="e">
        <f>+VLOOKUP($L797,Data_Validation!$A:$D,1,0)</f>
        <v>#N/A</v>
      </c>
      <c r="U797" s="658" t="e">
        <f>+VLOOKUP($L797,Data_Validation!$A:$D,3,0)</f>
        <v>#N/A</v>
      </c>
      <c r="V797" s="658" t="e">
        <f>+VLOOKUP($L797,Data_Validation!$A:$D,4,0)</f>
        <v>#N/A</v>
      </c>
      <c r="W797" s="658" t="e">
        <f>+VLOOKUP($L797,Data_Validation!$A:$E,5,0)</f>
        <v>#N/A</v>
      </c>
    </row>
    <row r="798" spans="1:23" ht="15.75" customHeight="1">
      <c r="A798" s="718"/>
      <c r="B798" s="656"/>
      <c r="C798" s="719"/>
      <c r="D798" s="718"/>
      <c r="E798" s="718"/>
      <c r="F798" s="718"/>
      <c r="G798" s="718"/>
      <c r="H798" s="718"/>
      <c r="I798" s="718"/>
      <c r="J798" s="718"/>
      <c r="K798" s="718"/>
      <c r="L798" s="655" t="str">
        <f t="shared" si="785"/>
        <v>0</v>
      </c>
      <c r="M798" s="656">
        <f t="shared" si="780"/>
        <v>0</v>
      </c>
      <c r="N798" s="657">
        <f>+IF(OR($Q798=Parametres!$G$2,$Q798=Parametres!$G$3),I798,C798)</f>
        <v>0</v>
      </c>
      <c r="O798" s="657">
        <f>+IF(OR($Q798=Parametres!$G$2,$Q798=Parametres!$G$3),J798,D798)</f>
        <v>0</v>
      </c>
      <c r="P798" s="657">
        <f>+IF(OR($Q798=Parametres!$G$2,$Q798=Parametres!$G$3),K798,E798)</f>
        <v>0</v>
      </c>
      <c r="Q798" s="656">
        <f t="shared" ref="Q798:S798" si="813">+F798</f>
        <v>0</v>
      </c>
      <c r="R798" s="655">
        <f t="shared" si="813"/>
        <v>0</v>
      </c>
      <c r="S798" s="656">
        <f t="shared" si="813"/>
        <v>0</v>
      </c>
      <c r="T798" s="658" t="e">
        <f>+VLOOKUP($L798,Data_Validation!$A:$D,1,0)</f>
        <v>#N/A</v>
      </c>
      <c r="U798" s="658" t="e">
        <f>+VLOOKUP($L798,Data_Validation!$A:$D,3,0)</f>
        <v>#N/A</v>
      </c>
      <c r="V798" s="658" t="e">
        <f>+VLOOKUP($L798,Data_Validation!$A:$D,4,0)</f>
        <v>#N/A</v>
      </c>
      <c r="W798" s="658" t="e">
        <f>+VLOOKUP($L798,Data_Validation!$A:$E,5,0)</f>
        <v>#N/A</v>
      </c>
    </row>
    <row r="799" spans="1:23" ht="15.75" customHeight="1">
      <c r="A799" s="718"/>
      <c r="B799" s="656"/>
      <c r="C799" s="719"/>
      <c r="D799" s="718"/>
      <c r="E799" s="718"/>
      <c r="F799" s="718"/>
      <c r="G799" s="718"/>
      <c r="H799" s="718"/>
      <c r="I799" s="718"/>
      <c r="J799" s="718"/>
      <c r="K799" s="718"/>
      <c r="L799" s="655" t="str">
        <f t="shared" si="785"/>
        <v>0</v>
      </c>
      <c r="M799" s="656">
        <f t="shared" si="780"/>
        <v>0</v>
      </c>
      <c r="N799" s="657">
        <f>+IF(OR($Q799=Parametres!$G$2,$Q799=Parametres!$G$3),I799,C799)</f>
        <v>0</v>
      </c>
      <c r="O799" s="657">
        <f>+IF(OR($Q799=Parametres!$G$2,$Q799=Parametres!$G$3),J799,D799)</f>
        <v>0</v>
      </c>
      <c r="P799" s="657">
        <f>+IF(OR($Q799=Parametres!$G$2,$Q799=Parametres!$G$3),K799,E799)</f>
        <v>0</v>
      </c>
      <c r="Q799" s="656">
        <f t="shared" ref="Q799:S799" si="814">+F799</f>
        <v>0</v>
      </c>
      <c r="R799" s="655">
        <f t="shared" si="814"/>
        <v>0</v>
      </c>
      <c r="S799" s="656">
        <f t="shared" si="814"/>
        <v>0</v>
      </c>
      <c r="T799" s="658" t="e">
        <f>+VLOOKUP($L799,Data_Validation!$A:$D,1,0)</f>
        <v>#N/A</v>
      </c>
      <c r="U799" s="658" t="e">
        <f>+VLOOKUP($L799,Data_Validation!$A:$D,3,0)</f>
        <v>#N/A</v>
      </c>
      <c r="V799" s="658" t="e">
        <f>+VLOOKUP($L799,Data_Validation!$A:$D,4,0)</f>
        <v>#N/A</v>
      </c>
      <c r="W799" s="658" t="e">
        <f>+VLOOKUP($L799,Data_Validation!$A:$E,5,0)</f>
        <v>#N/A</v>
      </c>
    </row>
    <row r="800" spans="1:23" ht="15.75" customHeight="1">
      <c r="A800" s="718"/>
      <c r="B800" s="656"/>
      <c r="C800" s="719"/>
      <c r="D800" s="718"/>
      <c r="E800" s="718"/>
      <c r="F800" s="718"/>
      <c r="G800" s="718"/>
      <c r="H800" s="718"/>
      <c r="I800" s="718"/>
      <c r="J800" s="718"/>
      <c r="K800" s="718"/>
      <c r="L800" s="655" t="str">
        <f t="shared" si="785"/>
        <v>0</v>
      </c>
      <c r="M800" s="656">
        <f t="shared" si="780"/>
        <v>0</v>
      </c>
      <c r="N800" s="657">
        <f>+IF(OR($Q800=Parametres!$G$2,$Q800=Parametres!$G$3),I800,C800)</f>
        <v>0</v>
      </c>
      <c r="O800" s="657">
        <f>+IF(OR($Q800=Parametres!$G$2,$Q800=Parametres!$G$3),J800,D800)</f>
        <v>0</v>
      </c>
      <c r="P800" s="657">
        <f>+IF(OR($Q800=Parametres!$G$2,$Q800=Parametres!$G$3),K800,E800)</f>
        <v>0</v>
      </c>
      <c r="Q800" s="656">
        <f t="shared" ref="Q800:S800" si="815">+F800</f>
        <v>0</v>
      </c>
      <c r="R800" s="655">
        <f t="shared" si="815"/>
        <v>0</v>
      </c>
      <c r="S800" s="656">
        <f t="shared" si="815"/>
        <v>0</v>
      </c>
      <c r="T800" s="658" t="e">
        <f>+VLOOKUP($L800,Data_Validation!$A:$D,1,0)</f>
        <v>#N/A</v>
      </c>
      <c r="U800" s="658" t="e">
        <f>+VLOOKUP($L800,Data_Validation!$A:$D,3,0)</f>
        <v>#N/A</v>
      </c>
      <c r="V800" s="658" t="e">
        <f>+VLOOKUP($L800,Data_Validation!$A:$D,4,0)</f>
        <v>#N/A</v>
      </c>
      <c r="W800" s="658" t="e">
        <f>+VLOOKUP($L800,Data_Validation!$A:$E,5,0)</f>
        <v>#N/A</v>
      </c>
    </row>
    <row r="801" spans="1:23" ht="15.75" customHeight="1">
      <c r="A801" s="718"/>
      <c r="B801" s="656"/>
      <c r="C801" s="719"/>
      <c r="D801" s="718"/>
      <c r="E801" s="718"/>
      <c r="F801" s="718"/>
      <c r="G801" s="718"/>
      <c r="H801" s="718"/>
      <c r="I801" s="718"/>
      <c r="J801" s="718"/>
      <c r="K801" s="718"/>
      <c r="L801" s="655" t="str">
        <f t="shared" si="785"/>
        <v>0</v>
      </c>
      <c r="M801" s="656">
        <f t="shared" si="780"/>
        <v>0</v>
      </c>
      <c r="N801" s="657">
        <f>+IF(OR($Q801=Parametres!$G$2,$Q801=Parametres!$G$3),I801,C801)</f>
        <v>0</v>
      </c>
      <c r="O801" s="657">
        <f>+IF(OR($Q801=Parametres!$G$2,$Q801=Parametres!$G$3),J801,D801)</f>
        <v>0</v>
      </c>
      <c r="P801" s="657">
        <f>+IF(OR($Q801=Parametres!$G$2,$Q801=Parametres!$G$3),K801,E801)</f>
        <v>0</v>
      </c>
      <c r="Q801" s="656">
        <f t="shared" ref="Q801:S801" si="816">+F801</f>
        <v>0</v>
      </c>
      <c r="R801" s="655">
        <f t="shared" si="816"/>
        <v>0</v>
      </c>
      <c r="S801" s="656">
        <f t="shared" si="816"/>
        <v>0</v>
      </c>
      <c r="T801" s="658" t="e">
        <f>+VLOOKUP($L801,Data_Validation!$A:$D,1,0)</f>
        <v>#N/A</v>
      </c>
      <c r="U801" s="658" t="e">
        <f>+VLOOKUP($L801,Data_Validation!$A:$D,3,0)</f>
        <v>#N/A</v>
      </c>
      <c r="V801" s="658" t="e">
        <f>+VLOOKUP($L801,Data_Validation!$A:$D,4,0)</f>
        <v>#N/A</v>
      </c>
      <c r="W801" s="658" t="e">
        <f>+VLOOKUP($L801,Data_Validation!$A:$E,5,0)</f>
        <v>#N/A</v>
      </c>
    </row>
    <row r="802" spans="1:23" ht="15.75" customHeight="1">
      <c r="A802" s="718"/>
      <c r="B802" s="656"/>
      <c r="C802" s="719"/>
      <c r="D802" s="718"/>
      <c r="E802" s="718"/>
      <c r="F802" s="718"/>
      <c r="G802" s="718"/>
      <c r="H802" s="718"/>
      <c r="I802" s="718"/>
      <c r="J802" s="718"/>
      <c r="K802" s="718"/>
      <c r="L802" s="655" t="str">
        <f t="shared" si="785"/>
        <v>0</v>
      </c>
      <c r="M802" s="656">
        <f t="shared" si="780"/>
        <v>0</v>
      </c>
      <c r="N802" s="657">
        <f>+IF(OR($Q802=Parametres!$G$2,$Q802=Parametres!$G$3),I802,C802)</f>
        <v>0</v>
      </c>
      <c r="O802" s="657">
        <f>+IF(OR($Q802=Parametres!$G$2,$Q802=Parametres!$G$3),J802,D802)</f>
        <v>0</v>
      </c>
      <c r="P802" s="657">
        <f>+IF(OR($Q802=Parametres!$G$2,$Q802=Parametres!$G$3),K802,E802)</f>
        <v>0</v>
      </c>
      <c r="Q802" s="656">
        <f t="shared" ref="Q802:S802" si="817">+F802</f>
        <v>0</v>
      </c>
      <c r="R802" s="655">
        <f t="shared" si="817"/>
        <v>0</v>
      </c>
      <c r="S802" s="656">
        <f t="shared" si="817"/>
        <v>0</v>
      </c>
      <c r="T802" s="658" t="e">
        <f>+VLOOKUP($L802,Data_Validation!$A:$D,1,0)</f>
        <v>#N/A</v>
      </c>
      <c r="U802" s="658" t="e">
        <f>+VLOOKUP($L802,Data_Validation!$A:$D,3,0)</f>
        <v>#N/A</v>
      </c>
      <c r="V802" s="658" t="e">
        <f>+VLOOKUP($L802,Data_Validation!$A:$D,4,0)</f>
        <v>#N/A</v>
      </c>
      <c r="W802" s="658" t="e">
        <f>+VLOOKUP($L802,Data_Validation!$A:$E,5,0)</f>
        <v>#N/A</v>
      </c>
    </row>
    <row r="803" spans="1:23" ht="15.75" customHeight="1">
      <c r="A803" s="718"/>
      <c r="B803" s="656"/>
      <c r="C803" s="719"/>
      <c r="D803" s="718"/>
      <c r="E803" s="718"/>
      <c r="F803" s="718"/>
      <c r="G803" s="718"/>
      <c r="H803" s="718"/>
      <c r="I803" s="718"/>
      <c r="J803" s="718"/>
      <c r="K803" s="718"/>
      <c r="L803" s="655" t="str">
        <f t="shared" si="785"/>
        <v>0</v>
      </c>
      <c r="M803" s="656">
        <f t="shared" si="780"/>
        <v>0</v>
      </c>
      <c r="N803" s="657">
        <f>+IF(OR($Q803=Parametres!$G$2,$Q803=Parametres!$G$3),I803,C803)</f>
        <v>0</v>
      </c>
      <c r="O803" s="657">
        <f>+IF(OR($Q803=Parametres!$G$2,$Q803=Parametres!$G$3),J803,D803)</f>
        <v>0</v>
      </c>
      <c r="P803" s="657">
        <f>+IF(OR($Q803=Parametres!$G$2,$Q803=Parametres!$G$3),K803,E803)</f>
        <v>0</v>
      </c>
      <c r="Q803" s="656">
        <f t="shared" ref="Q803:S803" si="818">+F803</f>
        <v>0</v>
      </c>
      <c r="R803" s="655">
        <f t="shared" si="818"/>
        <v>0</v>
      </c>
      <c r="S803" s="656">
        <f t="shared" si="818"/>
        <v>0</v>
      </c>
      <c r="T803" s="658" t="e">
        <f>+VLOOKUP($L803,Data_Validation!$A:$D,1,0)</f>
        <v>#N/A</v>
      </c>
      <c r="U803" s="658" t="e">
        <f>+VLOOKUP($L803,Data_Validation!$A:$D,3,0)</f>
        <v>#N/A</v>
      </c>
      <c r="V803" s="658" t="e">
        <f>+VLOOKUP($L803,Data_Validation!$A:$D,4,0)</f>
        <v>#N/A</v>
      </c>
      <c r="W803" s="658" t="e">
        <f>+VLOOKUP($L803,Data_Validation!$A:$E,5,0)</f>
        <v>#N/A</v>
      </c>
    </row>
    <row r="804" spans="1:23" ht="15.75" customHeight="1">
      <c r="A804" s="718"/>
      <c r="B804" s="656"/>
      <c r="C804" s="719"/>
      <c r="D804" s="718"/>
      <c r="E804" s="718"/>
      <c r="F804" s="718"/>
      <c r="G804" s="718"/>
      <c r="H804" s="718"/>
      <c r="I804" s="718"/>
      <c r="J804" s="718"/>
      <c r="K804" s="718"/>
      <c r="L804" s="655" t="str">
        <f t="shared" si="785"/>
        <v>0</v>
      </c>
      <c r="M804" s="656">
        <f t="shared" si="780"/>
        <v>0</v>
      </c>
      <c r="N804" s="657">
        <f>+IF(OR($Q804=Parametres!$G$2,$Q804=Parametres!$G$3),I804,C804)</f>
        <v>0</v>
      </c>
      <c r="O804" s="657">
        <f>+IF(OR($Q804=Parametres!$G$2,$Q804=Parametres!$G$3),J804,D804)</f>
        <v>0</v>
      </c>
      <c r="P804" s="657">
        <f>+IF(OR($Q804=Parametres!$G$2,$Q804=Parametres!$G$3),K804,E804)</f>
        <v>0</v>
      </c>
      <c r="Q804" s="656">
        <f t="shared" ref="Q804:S804" si="819">+F804</f>
        <v>0</v>
      </c>
      <c r="R804" s="655">
        <f t="shared" si="819"/>
        <v>0</v>
      </c>
      <c r="S804" s="656">
        <f t="shared" si="819"/>
        <v>0</v>
      </c>
      <c r="T804" s="658" t="e">
        <f>+VLOOKUP($L804,Data_Validation!$A:$D,1,0)</f>
        <v>#N/A</v>
      </c>
      <c r="U804" s="658" t="e">
        <f>+VLOOKUP($L804,Data_Validation!$A:$D,3,0)</f>
        <v>#N/A</v>
      </c>
      <c r="V804" s="658" t="e">
        <f>+VLOOKUP($L804,Data_Validation!$A:$D,4,0)</f>
        <v>#N/A</v>
      </c>
      <c r="W804" s="658" t="e">
        <f>+VLOOKUP($L804,Data_Validation!$A:$E,5,0)</f>
        <v>#N/A</v>
      </c>
    </row>
    <row r="805" spans="1:23" ht="15.75" customHeight="1">
      <c r="A805" s="718"/>
      <c r="B805" s="656"/>
      <c r="C805" s="719"/>
      <c r="D805" s="718"/>
      <c r="E805" s="718"/>
      <c r="F805" s="718"/>
      <c r="G805" s="718"/>
      <c r="H805" s="718"/>
      <c r="I805" s="718"/>
      <c r="J805" s="718"/>
      <c r="K805" s="718"/>
      <c r="L805" s="655" t="str">
        <f t="shared" si="785"/>
        <v>0</v>
      </c>
      <c r="M805" s="656">
        <f t="shared" si="780"/>
        <v>0</v>
      </c>
      <c r="N805" s="657">
        <f>+IF(OR($Q805=Parametres!$G$2,$Q805=Parametres!$G$3),I805,C805)</f>
        <v>0</v>
      </c>
      <c r="O805" s="657">
        <f>+IF(OR($Q805=Parametres!$G$2,$Q805=Parametres!$G$3),J805,D805)</f>
        <v>0</v>
      </c>
      <c r="P805" s="657">
        <f>+IF(OR($Q805=Parametres!$G$2,$Q805=Parametres!$G$3),K805,E805)</f>
        <v>0</v>
      </c>
      <c r="Q805" s="656">
        <f t="shared" ref="Q805:S805" si="820">+F805</f>
        <v>0</v>
      </c>
      <c r="R805" s="655">
        <f t="shared" si="820"/>
        <v>0</v>
      </c>
      <c r="S805" s="656">
        <f t="shared" si="820"/>
        <v>0</v>
      </c>
      <c r="T805" s="658" t="e">
        <f>+VLOOKUP($L805,Data_Validation!$A:$D,1,0)</f>
        <v>#N/A</v>
      </c>
      <c r="U805" s="658" t="e">
        <f>+VLOOKUP($L805,Data_Validation!$A:$D,3,0)</f>
        <v>#N/A</v>
      </c>
      <c r="V805" s="658" t="e">
        <f>+VLOOKUP($L805,Data_Validation!$A:$D,4,0)</f>
        <v>#N/A</v>
      </c>
      <c r="W805" s="658" t="e">
        <f>+VLOOKUP($L805,Data_Validation!$A:$E,5,0)</f>
        <v>#N/A</v>
      </c>
    </row>
    <row r="806" spans="1:23" ht="15.75" customHeight="1">
      <c r="A806" s="718"/>
      <c r="B806" s="656"/>
      <c r="C806" s="719"/>
      <c r="D806" s="718"/>
      <c r="E806" s="718"/>
      <c r="F806" s="718"/>
      <c r="G806" s="718"/>
      <c r="H806" s="718"/>
      <c r="I806" s="718"/>
      <c r="J806" s="718"/>
      <c r="K806" s="718"/>
      <c r="L806" s="655" t="str">
        <f t="shared" si="785"/>
        <v>0</v>
      </c>
      <c r="M806" s="656">
        <f t="shared" si="780"/>
        <v>0</v>
      </c>
      <c r="N806" s="657">
        <f>+IF(OR($Q806=Parametres!$G$2,$Q806=Parametres!$G$3),I806,C806)</f>
        <v>0</v>
      </c>
      <c r="O806" s="657">
        <f>+IF(OR($Q806=Parametres!$G$2,$Q806=Parametres!$G$3),J806,D806)</f>
        <v>0</v>
      </c>
      <c r="P806" s="657">
        <f>+IF(OR($Q806=Parametres!$G$2,$Q806=Parametres!$G$3),K806,E806)</f>
        <v>0</v>
      </c>
      <c r="Q806" s="656">
        <f t="shared" ref="Q806:S806" si="821">+F806</f>
        <v>0</v>
      </c>
      <c r="R806" s="655">
        <f t="shared" si="821"/>
        <v>0</v>
      </c>
      <c r="S806" s="656">
        <f t="shared" si="821"/>
        <v>0</v>
      </c>
      <c r="T806" s="658" t="e">
        <f>+VLOOKUP($L806,Data_Validation!$A:$D,1,0)</f>
        <v>#N/A</v>
      </c>
      <c r="U806" s="658" t="e">
        <f>+VLOOKUP($L806,Data_Validation!$A:$D,3,0)</f>
        <v>#N/A</v>
      </c>
      <c r="V806" s="658" t="e">
        <f>+VLOOKUP($L806,Data_Validation!$A:$D,4,0)</f>
        <v>#N/A</v>
      </c>
      <c r="W806" s="658" t="e">
        <f>+VLOOKUP($L806,Data_Validation!$A:$E,5,0)</f>
        <v>#N/A</v>
      </c>
    </row>
    <row r="807" spans="1:23" ht="15.75" customHeight="1">
      <c r="A807" s="718"/>
      <c r="B807" s="656"/>
      <c r="C807" s="719"/>
      <c r="D807" s="718"/>
      <c r="E807" s="718"/>
      <c r="F807" s="718"/>
      <c r="G807" s="718"/>
      <c r="H807" s="718"/>
      <c r="I807" s="718"/>
      <c r="J807" s="718"/>
      <c r="K807" s="718"/>
      <c r="L807" s="655" t="str">
        <f t="shared" si="785"/>
        <v>0</v>
      </c>
      <c r="M807" s="656">
        <f t="shared" si="780"/>
        <v>0</v>
      </c>
      <c r="N807" s="657">
        <f>+IF(OR($Q807=Parametres!$G$2,$Q807=Parametres!$G$3),I807,C807)</f>
        <v>0</v>
      </c>
      <c r="O807" s="657">
        <f>+IF(OR($Q807=Parametres!$G$2,$Q807=Parametres!$G$3),J807,D807)</f>
        <v>0</v>
      </c>
      <c r="P807" s="657">
        <f>+IF(OR($Q807=Parametres!$G$2,$Q807=Parametres!$G$3),K807,E807)</f>
        <v>0</v>
      </c>
      <c r="Q807" s="656">
        <f t="shared" ref="Q807:S807" si="822">+F807</f>
        <v>0</v>
      </c>
      <c r="R807" s="655">
        <f t="shared" si="822"/>
        <v>0</v>
      </c>
      <c r="S807" s="656">
        <f t="shared" si="822"/>
        <v>0</v>
      </c>
      <c r="T807" s="658" t="e">
        <f>+VLOOKUP($L807,Data_Validation!$A:$D,1,0)</f>
        <v>#N/A</v>
      </c>
      <c r="U807" s="658" t="e">
        <f>+VLOOKUP($L807,Data_Validation!$A:$D,3,0)</f>
        <v>#N/A</v>
      </c>
      <c r="V807" s="658" t="e">
        <f>+VLOOKUP($L807,Data_Validation!$A:$D,4,0)</f>
        <v>#N/A</v>
      </c>
      <c r="W807" s="658" t="e">
        <f>+VLOOKUP($L807,Data_Validation!$A:$E,5,0)</f>
        <v>#N/A</v>
      </c>
    </row>
    <row r="808" spans="1:23" ht="15.75" customHeight="1">
      <c r="A808" s="718"/>
      <c r="B808" s="656"/>
      <c r="C808" s="719"/>
      <c r="D808" s="718"/>
      <c r="E808" s="718"/>
      <c r="F808" s="718"/>
      <c r="G808" s="718"/>
      <c r="H808" s="718"/>
      <c r="I808" s="718"/>
      <c r="J808" s="718"/>
      <c r="K808" s="718"/>
      <c r="L808" s="655" t="str">
        <f t="shared" si="785"/>
        <v>0</v>
      </c>
      <c r="M808" s="656">
        <f t="shared" si="780"/>
        <v>0</v>
      </c>
      <c r="N808" s="657">
        <f>+IF(OR($Q808=Parametres!$G$2,$Q808=Parametres!$G$3),I808,C808)</f>
        <v>0</v>
      </c>
      <c r="O808" s="657">
        <f>+IF(OR($Q808=Parametres!$G$2,$Q808=Parametres!$G$3),J808,D808)</f>
        <v>0</v>
      </c>
      <c r="P808" s="657">
        <f>+IF(OR($Q808=Parametres!$G$2,$Q808=Parametres!$G$3),K808,E808)</f>
        <v>0</v>
      </c>
      <c r="Q808" s="656">
        <f t="shared" ref="Q808:S808" si="823">+F808</f>
        <v>0</v>
      </c>
      <c r="R808" s="655">
        <f t="shared" si="823"/>
        <v>0</v>
      </c>
      <c r="S808" s="656">
        <f t="shared" si="823"/>
        <v>0</v>
      </c>
      <c r="T808" s="658" t="e">
        <f>+VLOOKUP($L808,Data_Validation!$A:$D,1,0)</f>
        <v>#N/A</v>
      </c>
      <c r="U808" s="658" t="e">
        <f>+VLOOKUP($L808,Data_Validation!$A:$D,3,0)</f>
        <v>#N/A</v>
      </c>
      <c r="V808" s="658" t="e">
        <f>+VLOOKUP($L808,Data_Validation!$A:$D,4,0)</f>
        <v>#N/A</v>
      </c>
      <c r="W808" s="658" t="e">
        <f>+VLOOKUP($L808,Data_Validation!$A:$E,5,0)</f>
        <v>#N/A</v>
      </c>
    </row>
    <row r="809" spans="1:23" ht="15.75" customHeight="1">
      <c r="A809" s="718"/>
      <c r="B809" s="656"/>
      <c r="C809" s="719"/>
      <c r="D809" s="718"/>
      <c r="E809" s="718"/>
      <c r="F809" s="718"/>
      <c r="G809" s="718"/>
      <c r="H809" s="718"/>
      <c r="I809" s="718"/>
      <c r="J809" s="718"/>
      <c r="K809" s="718"/>
      <c r="L809" s="655" t="str">
        <f t="shared" si="785"/>
        <v>0</v>
      </c>
      <c r="M809" s="656">
        <f t="shared" si="780"/>
        <v>0</v>
      </c>
      <c r="N809" s="657">
        <f>+IF(OR($Q809=Parametres!$G$2,$Q809=Parametres!$G$3),I809,C809)</f>
        <v>0</v>
      </c>
      <c r="O809" s="657">
        <f>+IF(OR($Q809=Parametres!$G$2,$Q809=Parametres!$G$3),J809,D809)</f>
        <v>0</v>
      </c>
      <c r="P809" s="657">
        <f>+IF(OR($Q809=Parametres!$G$2,$Q809=Parametres!$G$3),K809,E809)</f>
        <v>0</v>
      </c>
      <c r="Q809" s="656">
        <f t="shared" ref="Q809:S809" si="824">+F809</f>
        <v>0</v>
      </c>
      <c r="R809" s="655">
        <f t="shared" si="824"/>
        <v>0</v>
      </c>
      <c r="S809" s="656">
        <f t="shared" si="824"/>
        <v>0</v>
      </c>
      <c r="T809" s="658" t="e">
        <f>+VLOOKUP($L809,Data_Validation!$A:$D,1,0)</f>
        <v>#N/A</v>
      </c>
      <c r="U809" s="658" t="e">
        <f>+VLOOKUP($L809,Data_Validation!$A:$D,3,0)</f>
        <v>#N/A</v>
      </c>
      <c r="V809" s="658" t="e">
        <f>+VLOOKUP($L809,Data_Validation!$A:$D,4,0)</f>
        <v>#N/A</v>
      </c>
      <c r="W809" s="658" t="e">
        <f>+VLOOKUP($L809,Data_Validation!$A:$E,5,0)</f>
        <v>#N/A</v>
      </c>
    </row>
    <row r="810" spans="1:23" ht="15.75" customHeight="1">
      <c r="A810" s="718"/>
      <c r="B810" s="656"/>
      <c r="C810" s="719"/>
      <c r="D810" s="718"/>
      <c r="E810" s="718"/>
      <c r="F810" s="718"/>
      <c r="G810" s="718"/>
      <c r="H810" s="718"/>
      <c r="I810" s="718"/>
      <c r="J810" s="718"/>
      <c r="K810" s="718"/>
      <c r="L810" s="655" t="str">
        <f t="shared" si="785"/>
        <v>0</v>
      </c>
      <c r="M810" s="656">
        <f t="shared" si="780"/>
        <v>0</v>
      </c>
      <c r="N810" s="657">
        <f>+IF(OR($Q810=Parametres!$G$2,$Q810=Parametres!$G$3),I810,C810)</f>
        <v>0</v>
      </c>
      <c r="O810" s="657">
        <f>+IF(OR($Q810=Parametres!$G$2,$Q810=Parametres!$G$3),J810,D810)</f>
        <v>0</v>
      </c>
      <c r="P810" s="657">
        <f>+IF(OR($Q810=Parametres!$G$2,$Q810=Parametres!$G$3),K810,E810)</f>
        <v>0</v>
      </c>
      <c r="Q810" s="656">
        <f t="shared" ref="Q810:S810" si="825">+F810</f>
        <v>0</v>
      </c>
      <c r="R810" s="655">
        <f t="shared" si="825"/>
        <v>0</v>
      </c>
      <c r="S810" s="656">
        <f t="shared" si="825"/>
        <v>0</v>
      </c>
      <c r="T810" s="658" t="e">
        <f>+VLOOKUP($L810,Data_Validation!$A:$D,1,0)</f>
        <v>#N/A</v>
      </c>
      <c r="U810" s="658" t="e">
        <f>+VLOOKUP($L810,Data_Validation!$A:$D,3,0)</f>
        <v>#N/A</v>
      </c>
      <c r="V810" s="658" t="e">
        <f>+VLOOKUP($L810,Data_Validation!$A:$D,4,0)</f>
        <v>#N/A</v>
      </c>
      <c r="W810" s="658" t="e">
        <f>+VLOOKUP($L810,Data_Validation!$A:$E,5,0)</f>
        <v>#N/A</v>
      </c>
    </row>
    <row r="811" spans="1:23" ht="15.75" customHeight="1">
      <c r="A811" s="718"/>
      <c r="B811" s="656"/>
      <c r="C811" s="719"/>
      <c r="D811" s="718"/>
      <c r="E811" s="718"/>
      <c r="F811" s="718"/>
      <c r="G811" s="718"/>
      <c r="H811" s="718"/>
      <c r="I811" s="718"/>
      <c r="J811" s="718"/>
      <c r="K811" s="718"/>
      <c r="L811" s="655" t="str">
        <f t="shared" si="785"/>
        <v>0</v>
      </c>
      <c r="M811" s="656">
        <f t="shared" si="780"/>
        <v>0</v>
      </c>
      <c r="N811" s="657">
        <f>+IF(OR($Q811=Parametres!$G$2,$Q811=Parametres!$G$3),I811,C811)</f>
        <v>0</v>
      </c>
      <c r="O811" s="657">
        <f>+IF(OR($Q811=Parametres!$G$2,$Q811=Parametres!$G$3),J811,D811)</f>
        <v>0</v>
      </c>
      <c r="P811" s="657">
        <f>+IF(OR($Q811=Parametres!$G$2,$Q811=Parametres!$G$3),K811,E811)</f>
        <v>0</v>
      </c>
      <c r="Q811" s="656">
        <f t="shared" ref="Q811:S811" si="826">+F811</f>
        <v>0</v>
      </c>
      <c r="R811" s="655">
        <f t="shared" si="826"/>
        <v>0</v>
      </c>
      <c r="S811" s="656">
        <f t="shared" si="826"/>
        <v>0</v>
      </c>
      <c r="T811" s="658" t="e">
        <f>+VLOOKUP($L811,Data_Validation!$A:$D,1,0)</f>
        <v>#N/A</v>
      </c>
      <c r="U811" s="658" t="e">
        <f>+VLOOKUP($L811,Data_Validation!$A:$D,3,0)</f>
        <v>#N/A</v>
      </c>
      <c r="V811" s="658" t="e">
        <f>+VLOOKUP($L811,Data_Validation!$A:$D,4,0)</f>
        <v>#N/A</v>
      </c>
      <c r="W811" s="658" t="e">
        <f>+VLOOKUP($L811,Data_Validation!$A:$E,5,0)</f>
        <v>#N/A</v>
      </c>
    </row>
    <row r="812" spans="1:23" ht="15.75" customHeight="1">
      <c r="A812" s="718"/>
      <c r="B812" s="656"/>
      <c r="C812" s="719"/>
      <c r="D812" s="718"/>
      <c r="E812" s="718"/>
      <c r="F812" s="718"/>
      <c r="G812" s="718"/>
      <c r="H812" s="718"/>
      <c r="I812" s="718"/>
      <c r="J812" s="718"/>
      <c r="K812" s="718"/>
      <c r="L812" s="655" t="str">
        <f t="shared" si="785"/>
        <v>0</v>
      </c>
      <c r="M812" s="656">
        <f t="shared" si="780"/>
        <v>0</v>
      </c>
      <c r="N812" s="657">
        <f>+IF(OR($Q812=Parametres!$G$2,$Q812=Parametres!$G$3),I812,C812)</f>
        <v>0</v>
      </c>
      <c r="O812" s="657">
        <f>+IF(OR($Q812=Parametres!$G$2,$Q812=Parametres!$G$3),J812,D812)</f>
        <v>0</v>
      </c>
      <c r="P812" s="657">
        <f>+IF(OR($Q812=Parametres!$G$2,$Q812=Parametres!$G$3),K812,E812)</f>
        <v>0</v>
      </c>
      <c r="Q812" s="656">
        <f t="shared" ref="Q812:S812" si="827">+F812</f>
        <v>0</v>
      </c>
      <c r="R812" s="655">
        <f t="shared" si="827"/>
        <v>0</v>
      </c>
      <c r="S812" s="656">
        <f t="shared" si="827"/>
        <v>0</v>
      </c>
      <c r="T812" s="658" t="e">
        <f>+VLOOKUP($L812,Data_Validation!$A:$D,1,0)</f>
        <v>#N/A</v>
      </c>
      <c r="U812" s="658" t="e">
        <f>+VLOOKUP($L812,Data_Validation!$A:$D,3,0)</f>
        <v>#N/A</v>
      </c>
      <c r="V812" s="658" t="e">
        <f>+VLOOKUP($L812,Data_Validation!$A:$D,4,0)</f>
        <v>#N/A</v>
      </c>
      <c r="W812" s="658" t="e">
        <f>+VLOOKUP($L812,Data_Validation!$A:$E,5,0)</f>
        <v>#N/A</v>
      </c>
    </row>
    <row r="813" spans="1:23" ht="15.75" customHeight="1">
      <c r="A813" s="718"/>
      <c r="B813" s="656"/>
      <c r="C813" s="719"/>
      <c r="D813" s="718"/>
      <c r="E813" s="718"/>
      <c r="F813" s="718"/>
      <c r="G813" s="718"/>
      <c r="H813" s="718"/>
      <c r="I813" s="718"/>
      <c r="J813" s="718"/>
      <c r="K813" s="718"/>
      <c r="L813" s="655" t="str">
        <f t="shared" si="785"/>
        <v>0</v>
      </c>
      <c r="M813" s="656">
        <f t="shared" si="780"/>
        <v>0</v>
      </c>
      <c r="N813" s="657">
        <f>+IF(OR($Q813=Parametres!$G$2,$Q813=Parametres!$G$3),I813,C813)</f>
        <v>0</v>
      </c>
      <c r="O813" s="657">
        <f>+IF(OR($Q813=Parametres!$G$2,$Q813=Parametres!$G$3),J813,D813)</f>
        <v>0</v>
      </c>
      <c r="P813" s="657">
        <f>+IF(OR($Q813=Parametres!$G$2,$Q813=Parametres!$G$3),K813,E813)</f>
        <v>0</v>
      </c>
      <c r="Q813" s="656">
        <f t="shared" ref="Q813:S813" si="828">+F813</f>
        <v>0</v>
      </c>
      <c r="R813" s="655">
        <f t="shared" si="828"/>
        <v>0</v>
      </c>
      <c r="S813" s="656">
        <f t="shared" si="828"/>
        <v>0</v>
      </c>
      <c r="T813" s="658" t="e">
        <f>+VLOOKUP($L813,Data_Validation!$A:$D,1,0)</f>
        <v>#N/A</v>
      </c>
      <c r="U813" s="658" t="e">
        <f>+VLOOKUP($L813,Data_Validation!$A:$D,3,0)</f>
        <v>#N/A</v>
      </c>
      <c r="V813" s="658" t="e">
        <f>+VLOOKUP($L813,Data_Validation!$A:$D,4,0)</f>
        <v>#N/A</v>
      </c>
      <c r="W813" s="658" t="e">
        <f>+VLOOKUP($L813,Data_Validation!$A:$E,5,0)</f>
        <v>#N/A</v>
      </c>
    </row>
    <row r="814" spans="1:23" ht="15.75" customHeight="1">
      <c r="A814" s="718"/>
      <c r="B814" s="656"/>
      <c r="C814" s="719"/>
      <c r="D814" s="718"/>
      <c r="E814" s="718"/>
      <c r="F814" s="718"/>
      <c r="G814" s="718"/>
      <c r="H814" s="718"/>
      <c r="I814" s="718"/>
      <c r="J814" s="718"/>
      <c r="K814" s="718"/>
      <c r="L814" s="655" t="str">
        <f t="shared" si="785"/>
        <v>0</v>
      </c>
      <c r="M814" s="656">
        <f t="shared" si="780"/>
        <v>0</v>
      </c>
      <c r="N814" s="657">
        <f>+IF(OR($Q814=Parametres!$G$2,$Q814=Parametres!$G$3),I814,C814)</f>
        <v>0</v>
      </c>
      <c r="O814" s="657">
        <f>+IF(OR($Q814=Parametres!$G$2,$Q814=Parametres!$G$3),J814,D814)</f>
        <v>0</v>
      </c>
      <c r="P814" s="657">
        <f>+IF(OR($Q814=Parametres!$G$2,$Q814=Parametres!$G$3),K814,E814)</f>
        <v>0</v>
      </c>
      <c r="Q814" s="656">
        <f t="shared" ref="Q814:S814" si="829">+F814</f>
        <v>0</v>
      </c>
      <c r="R814" s="655">
        <f t="shared" si="829"/>
        <v>0</v>
      </c>
      <c r="S814" s="656">
        <f t="shared" si="829"/>
        <v>0</v>
      </c>
      <c r="T814" s="658" t="e">
        <f>+VLOOKUP($L814,Data_Validation!$A:$D,1,0)</f>
        <v>#N/A</v>
      </c>
      <c r="U814" s="658" t="e">
        <f>+VLOOKUP($L814,Data_Validation!$A:$D,3,0)</f>
        <v>#N/A</v>
      </c>
      <c r="V814" s="658" t="e">
        <f>+VLOOKUP($L814,Data_Validation!$A:$D,4,0)</f>
        <v>#N/A</v>
      </c>
      <c r="W814" s="658" t="e">
        <f>+VLOOKUP($L814,Data_Validation!$A:$E,5,0)</f>
        <v>#N/A</v>
      </c>
    </row>
    <row r="815" spans="1:23" ht="15.75" customHeight="1">
      <c r="A815" s="718"/>
      <c r="B815" s="656"/>
      <c r="C815" s="719"/>
      <c r="D815" s="718"/>
      <c r="E815" s="718"/>
      <c r="F815" s="718"/>
      <c r="G815" s="718"/>
      <c r="H815" s="718"/>
      <c r="I815" s="718"/>
      <c r="J815" s="718"/>
      <c r="K815" s="718"/>
      <c r="L815" s="655" t="str">
        <f t="shared" si="785"/>
        <v>0</v>
      </c>
      <c r="M815" s="656">
        <f t="shared" si="780"/>
        <v>0</v>
      </c>
      <c r="N815" s="657">
        <f>+IF(OR($Q815=Parametres!$G$2,$Q815=Parametres!$G$3),I815,C815)</f>
        <v>0</v>
      </c>
      <c r="O815" s="657">
        <f>+IF(OR($Q815=Parametres!$G$2,$Q815=Parametres!$G$3),J815,D815)</f>
        <v>0</v>
      </c>
      <c r="P815" s="657">
        <f>+IF(OR($Q815=Parametres!$G$2,$Q815=Parametres!$G$3),K815,E815)</f>
        <v>0</v>
      </c>
      <c r="Q815" s="656">
        <f t="shared" ref="Q815:S815" si="830">+F815</f>
        <v>0</v>
      </c>
      <c r="R815" s="655">
        <f t="shared" si="830"/>
        <v>0</v>
      </c>
      <c r="S815" s="656">
        <f t="shared" si="830"/>
        <v>0</v>
      </c>
      <c r="T815" s="658" t="e">
        <f>+VLOOKUP($L815,Data_Validation!$A:$D,1,0)</f>
        <v>#N/A</v>
      </c>
      <c r="U815" s="658" t="e">
        <f>+VLOOKUP($L815,Data_Validation!$A:$D,3,0)</f>
        <v>#N/A</v>
      </c>
      <c r="V815" s="658" t="e">
        <f>+VLOOKUP($L815,Data_Validation!$A:$D,4,0)</f>
        <v>#N/A</v>
      </c>
      <c r="W815" s="658" t="e">
        <f>+VLOOKUP($L815,Data_Validation!$A:$E,5,0)</f>
        <v>#N/A</v>
      </c>
    </row>
    <row r="816" spans="1:23" ht="15.75" customHeight="1">
      <c r="A816" s="718"/>
      <c r="B816" s="656"/>
      <c r="C816" s="719"/>
      <c r="D816" s="718"/>
      <c r="E816" s="718"/>
      <c r="F816" s="718"/>
      <c r="G816" s="718"/>
      <c r="H816" s="718"/>
      <c r="I816" s="718"/>
      <c r="J816" s="718"/>
      <c r="K816" s="718"/>
      <c r="L816" s="655" t="str">
        <f t="shared" si="785"/>
        <v>0</v>
      </c>
      <c r="M816" s="656">
        <f t="shared" si="780"/>
        <v>0</v>
      </c>
      <c r="N816" s="657">
        <f>+IF(OR($Q816=Parametres!$G$2,$Q816=Parametres!$G$3),I816,C816)</f>
        <v>0</v>
      </c>
      <c r="O816" s="657">
        <f>+IF(OR($Q816=Parametres!$G$2,$Q816=Parametres!$G$3),J816,D816)</f>
        <v>0</v>
      </c>
      <c r="P816" s="657">
        <f>+IF(OR($Q816=Parametres!$G$2,$Q816=Parametres!$G$3),K816,E816)</f>
        <v>0</v>
      </c>
      <c r="Q816" s="656">
        <f t="shared" ref="Q816:S816" si="831">+F816</f>
        <v>0</v>
      </c>
      <c r="R816" s="655">
        <f t="shared" si="831"/>
        <v>0</v>
      </c>
      <c r="S816" s="656">
        <f t="shared" si="831"/>
        <v>0</v>
      </c>
      <c r="T816" s="658" t="e">
        <f>+VLOOKUP($L816,Data_Validation!$A:$D,1,0)</f>
        <v>#N/A</v>
      </c>
      <c r="U816" s="658" t="e">
        <f>+VLOOKUP($L816,Data_Validation!$A:$D,3,0)</f>
        <v>#N/A</v>
      </c>
      <c r="V816" s="658" t="e">
        <f>+VLOOKUP($L816,Data_Validation!$A:$D,4,0)</f>
        <v>#N/A</v>
      </c>
      <c r="W816" s="658" t="e">
        <f>+VLOOKUP($L816,Data_Validation!$A:$E,5,0)</f>
        <v>#N/A</v>
      </c>
    </row>
    <row r="817" spans="1:23" ht="15.75" customHeight="1">
      <c r="A817" s="718"/>
      <c r="B817" s="656"/>
      <c r="C817" s="719"/>
      <c r="D817" s="718"/>
      <c r="E817" s="718"/>
      <c r="F817" s="718"/>
      <c r="G817" s="718"/>
      <c r="H817" s="718"/>
      <c r="I817" s="718"/>
      <c r="J817" s="718"/>
      <c r="K817" s="718"/>
      <c r="L817" s="655" t="str">
        <f t="shared" si="785"/>
        <v>0</v>
      </c>
      <c r="M817" s="656">
        <f t="shared" si="780"/>
        <v>0</v>
      </c>
      <c r="N817" s="657">
        <f>+IF(OR($Q817=Parametres!$G$2,$Q817=Parametres!$G$3),I817,C817)</f>
        <v>0</v>
      </c>
      <c r="O817" s="657">
        <f>+IF(OR($Q817=Parametres!$G$2,$Q817=Parametres!$G$3),J817,D817)</f>
        <v>0</v>
      </c>
      <c r="P817" s="657">
        <f>+IF(OR($Q817=Parametres!$G$2,$Q817=Parametres!$G$3),K817,E817)</f>
        <v>0</v>
      </c>
      <c r="Q817" s="656">
        <f t="shared" ref="Q817:S817" si="832">+F817</f>
        <v>0</v>
      </c>
      <c r="R817" s="655">
        <f t="shared" si="832"/>
        <v>0</v>
      </c>
      <c r="S817" s="656">
        <f t="shared" si="832"/>
        <v>0</v>
      </c>
      <c r="T817" s="658" t="e">
        <f>+VLOOKUP($L817,Data_Validation!$A:$D,1,0)</f>
        <v>#N/A</v>
      </c>
      <c r="U817" s="658" t="e">
        <f>+VLOOKUP($L817,Data_Validation!$A:$D,3,0)</f>
        <v>#N/A</v>
      </c>
      <c r="V817" s="658" t="e">
        <f>+VLOOKUP($L817,Data_Validation!$A:$D,4,0)</f>
        <v>#N/A</v>
      </c>
      <c r="W817" s="658" t="e">
        <f>+VLOOKUP($L817,Data_Validation!$A:$E,5,0)</f>
        <v>#N/A</v>
      </c>
    </row>
    <row r="818" spans="1:23" ht="15.75" customHeight="1">
      <c r="A818" s="718"/>
      <c r="B818" s="656"/>
      <c r="C818" s="719"/>
      <c r="D818" s="718"/>
      <c r="E818" s="718"/>
      <c r="F818" s="718"/>
      <c r="G818" s="718"/>
      <c r="H818" s="718"/>
      <c r="I818" s="718"/>
      <c r="J818" s="718"/>
      <c r="K818" s="718"/>
      <c r="L818" s="655" t="str">
        <f t="shared" si="785"/>
        <v>0</v>
      </c>
      <c r="M818" s="656">
        <f t="shared" si="780"/>
        <v>0</v>
      </c>
      <c r="N818" s="657">
        <f>+IF(OR($Q818=Parametres!$G$2,$Q818=Parametres!$G$3),I818,C818)</f>
        <v>0</v>
      </c>
      <c r="O818" s="657">
        <f>+IF(OR($Q818=Parametres!$G$2,$Q818=Parametres!$G$3),J818,D818)</f>
        <v>0</v>
      </c>
      <c r="P818" s="657">
        <f>+IF(OR($Q818=Parametres!$G$2,$Q818=Parametres!$G$3),K818,E818)</f>
        <v>0</v>
      </c>
      <c r="Q818" s="656">
        <f t="shared" ref="Q818:S818" si="833">+F818</f>
        <v>0</v>
      </c>
      <c r="R818" s="655">
        <f t="shared" si="833"/>
        <v>0</v>
      </c>
      <c r="S818" s="656">
        <f t="shared" si="833"/>
        <v>0</v>
      </c>
      <c r="T818" s="658" t="e">
        <f>+VLOOKUP($L818,Data_Validation!$A:$D,1,0)</f>
        <v>#N/A</v>
      </c>
      <c r="U818" s="658" t="e">
        <f>+VLOOKUP($L818,Data_Validation!$A:$D,3,0)</f>
        <v>#N/A</v>
      </c>
      <c r="V818" s="658" t="e">
        <f>+VLOOKUP($L818,Data_Validation!$A:$D,4,0)</f>
        <v>#N/A</v>
      </c>
      <c r="W818" s="658" t="e">
        <f>+VLOOKUP($L818,Data_Validation!$A:$E,5,0)</f>
        <v>#N/A</v>
      </c>
    </row>
    <row r="819" spans="1:23" ht="15.75" customHeight="1">
      <c r="A819" s="718"/>
      <c r="B819" s="656"/>
      <c r="C819" s="719"/>
      <c r="D819" s="718"/>
      <c r="E819" s="718"/>
      <c r="F819" s="718"/>
      <c r="G819" s="718"/>
      <c r="H819" s="718"/>
      <c r="I819" s="718"/>
      <c r="J819" s="718"/>
      <c r="K819" s="718"/>
      <c r="L819" s="655" t="str">
        <f t="shared" si="785"/>
        <v>0</v>
      </c>
      <c r="M819" s="656">
        <f t="shared" si="780"/>
        <v>0</v>
      </c>
      <c r="N819" s="657">
        <f>+IF(OR($Q819=Parametres!$G$2,$Q819=Parametres!$G$3),I819,C819)</f>
        <v>0</v>
      </c>
      <c r="O819" s="657">
        <f>+IF(OR($Q819=Parametres!$G$2,$Q819=Parametres!$G$3),J819,D819)</f>
        <v>0</v>
      </c>
      <c r="P819" s="657">
        <f>+IF(OR($Q819=Parametres!$G$2,$Q819=Parametres!$G$3),K819,E819)</f>
        <v>0</v>
      </c>
      <c r="Q819" s="656">
        <f t="shared" ref="Q819:S819" si="834">+F819</f>
        <v>0</v>
      </c>
      <c r="R819" s="655">
        <f t="shared" si="834"/>
        <v>0</v>
      </c>
      <c r="S819" s="656">
        <f t="shared" si="834"/>
        <v>0</v>
      </c>
      <c r="T819" s="658" t="e">
        <f>+VLOOKUP($L819,Data_Validation!$A:$D,1,0)</f>
        <v>#N/A</v>
      </c>
      <c r="U819" s="658" t="e">
        <f>+VLOOKUP($L819,Data_Validation!$A:$D,3,0)</f>
        <v>#N/A</v>
      </c>
      <c r="V819" s="658" t="e">
        <f>+VLOOKUP($L819,Data_Validation!$A:$D,4,0)</f>
        <v>#N/A</v>
      </c>
      <c r="W819" s="658" t="e">
        <f>+VLOOKUP($L819,Data_Validation!$A:$E,5,0)</f>
        <v>#N/A</v>
      </c>
    </row>
    <row r="820" spans="1:23" ht="15.75" customHeight="1">
      <c r="A820" s="718"/>
      <c r="B820" s="656"/>
      <c r="C820" s="719"/>
      <c r="D820" s="718"/>
      <c r="E820" s="718"/>
      <c r="F820" s="718"/>
      <c r="G820" s="718"/>
      <c r="H820" s="718"/>
      <c r="I820" s="718"/>
      <c r="J820" s="718"/>
      <c r="K820" s="718"/>
      <c r="L820" s="655" t="str">
        <f t="shared" si="785"/>
        <v>0</v>
      </c>
      <c r="M820" s="656">
        <f t="shared" si="780"/>
        <v>0</v>
      </c>
      <c r="N820" s="657">
        <f>+IF(OR($Q820=Parametres!$G$2,$Q820=Parametres!$G$3),I820,C820)</f>
        <v>0</v>
      </c>
      <c r="O820" s="657">
        <f>+IF(OR($Q820=Parametres!$G$2,$Q820=Parametres!$G$3),J820,D820)</f>
        <v>0</v>
      </c>
      <c r="P820" s="657">
        <f>+IF(OR($Q820=Parametres!$G$2,$Q820=Parametres!$G$3),K820,E820)</f>
        <v>0</v>
      </c>
      <c r="Q820" s="656">
        <f t="shared" ref="Q820:S820" si="835">+F820</f>
        <v>0</v>
      </c>
      <c r="R820" s="655">
        <f t="shared" si="835"/>
        <v>0</v>
      </c>
      <c r="S820" s="656">
        <f t="shared" si="835"/>
        <v>0</v>
      </c>
      <c r="T820" s="658" t="e">
        <f>+VLOOKUP($L820,Data_Validation!$A:$D,1,0)</f>
        <v>#N/A</v>
      </c>
      <c r="U820" s="658" t="e">
        <f>+VLOOKUP($L820,Data_Validation!$A:$D,3,0)</f>
        <v>#N/A</v>
      </c>
      <c r="V820" s="658" t="e">
        <f>+VLOOKUP($L820,Data_Validation!$A:$D,4,0)</f>
        <v>#N/A</v>
      </c>
      <c r="W820" s="658" t="e">
        <f>+VLOOKUP($L820,Data_Validation!$A:$E,5,0)</f>
        <v>#N/A</v>
      </c>
    </row>
    <row r="821" spans="1:23" ht="15.75" customHeight="1">
      <c r="A821" s="718"/>
      <c r="B821" s="656"/>
      <c r="C821" s="719"/>
      <c r="D821" s="718"/>
      <c r="E821" s="718"/>
      <c r="F821" s="718"/>
      <c r="G821" s="718"/>
      <c r="H821" s="718"/>
      <c r="I821" s="718"/>
      <c r="J821" s="718"/>
      <c r="K821" s="718"/>
      <c r="L821" s="655" t="str">
        <f t="shared" si="785"/>
        <v>0</v>
      </c>
      <c r="M821" s="656">
        <f t="shared" si="780"/>
        <v>0</v>
      </c>
      <c r="N821" s="657">
        <f>+IF(OR($Q821=Parametres!$G$2,$Q821=Parametres!$G$3),I821,C821)</f>
        <v>0</v>
      </c>
      <c r="O821" s="657">
        <f>+IF(OR($Q821=Parametres!$G$2,$Q821=Parametres!$G$3),J821,D821)</f>
        <v>0</v>
      </c>
      <c r="P821" s="657">
        <f>+IF(OR($Q821=Parametres!$G$2,$Q821=Parametres!$G$3),K821,E821)</f>
        <v>0</v>
      </c>
      <c r="Q821" s="656">
        <f t="shared" ref="Q821:S821" si="836">+F821</f>
        <v>0</v>
      </c>
      <c r="R821" s="655">
        <f t="shared" si="836"/>
        <v>0</v>
      </c>
      <c r="S821" s="656">
        <f t="shared" si="836"/>
        <v>0</v>
      </c>
      <c r="T821" s="658" t="e">
        <f>+VLOOKUP($L821,Data_Validation!$A:$D,1,0)</f>
        <v>#N/A</v>
      </c>
      <c r="U821" s="658" t="e">
        <f>+VLOOKUP($L821,Data_Validation!$A:$D,3,0)</f>
        <v>#N/A</v>
      </c>
      <c r="V821" s="658" t="e">
        <f>+VLOOKUP($L821,Data_Validation!$A:$D,4,0)</f>
        <v>#N/A</v>
      </c>
      <c r="W821" s="658" t="e">
        <f>+VLOOKUP($L821,Data_Validation!$A:$E,5,0)</f>
        <v>#N/A</v>
      </c>
    </row>
    <row r="822" spans="1:23" ht="15.75" customHeight="1">
      <c r="A822" s="718"/>
      <c r="B822" s="656"/>
      <c r="C822" s="719"/>
      <c r="D822" s="718"/>
      <c r="E822" s="718"/>
      <c r="F822" s="718"/>
      <c r="G822" s="718"/>
      <c r="H822" s="718"/>
      <c r="I822" s="718"/>
      <c r="J822" s="718"/>
      <c r="K822" s="718"/>
      <c r="L822" s="655" t="str">
        <f t="shared" si="785"/>
        <v>0</v>
      </c>
      <c r="M822" s="656">
        <f t="shared" si="780"/>
        <v>0</v>
      </c>
      <c r="N822" s="657">
        <f>+IF(OR($Q822=Parametres!$G$2,$Q822=Parametres!$G$3),I822,C822)</f>
        <v>0</v>
      </c>
      <c r="O822" s="657">
        <f>+IF(OR($Q822=Parametres!$G$2,$Q822=Parametres!$G$3),J822,D822)</f>
        <v>0</v>
      </c>
      <c r="P822" s="657">
        <f>+IF(OR($Q822=Parametres!$G$2,$Q822=Parametres!$G$3),K822,E822)</f>
        <v>0</v>
      </c>
      <c r="Q822" s="656">
        <f t="shared" ref="Q822:S822" si="837">+F822</f>
        <v>0</v>
      </c>
      <c r="R822" s="655">
        <f t="shared" si="837"/>
        <v>0</v>
      </c>
      <c r="S822" s="656">
        <f t="shared" si="837"/>
        <v>0</v>
      </c>
      <c r="T822" s="658" t="e">
        <f>+VLOOKUP($L822,Data_Validation!$A:$D,1,0)</f>
        <v>#N/A</v>
      </c>
      <c r="U822" s="658" t="e">
        <f>+VLOOKUP($L822,Data_Validation!$A:$D,3,0)</f>
        <v>#N/A</v>
      </c>
      <c r="V822" s="658" t="e">
        <f>+VLOOKUP($L822,Data_Validation!$A:$D,4,0)</f>
        <v>#N/A</v>
      </c>
      <c r="W822" s="658" t="e">
        <f>+VLOOKUP($L822,Data_Validation!$A:$E,5,0)</f>
        <v>#N/A</v>
      </c>
    </row>
    <row r="823" spans="1:23" ht="15.75" customHeight="1">
      <c r="A823" s="718"/>
      <c r="B823" s="656"/>
      <c r="C823" s="719"/>
      <c r="D823" s="718"/>
      <c r="E823" s="718"/>
      <c r="F823" s="718"/>
      <c r="G823" s="718"/>
      <c r="H823" s="718"/>
      <c r="I823" s="718"/>
      <c r="J823" s="718"/>
      <c r="K823" s="718"/>
      <c r="L823" s="655" t="str">
        <f t="shared" si="785"/>
        <v>0</v>
      </c>
      <c r="M823" s="656">
        <f t="shared" si="780"/>
        <v>0</v>
      </c>
      <c r="N823" s="657">
        <f>+IF(OR($Q823=Parametres!$G$2,$Q823=Parametres!$G$3),I823,C823)</f>
        <v>0</v>
      </c>
      <c r="O823" s="657">
        <f>+IF(OR($Q823=Parametres!$G$2,$Q823=Parametres!$G$3),J823,D823)</f>
        <v>0</v>
      </c>
      <c r="P823" s="657">
        <f>+IF(OR($Q823=Parametres!$G$2,$Q823=Parametres!$G$3),K823,E823)</f>
        <v>0</v>
      </c>
      <c r="Q823" s="656">
        <f t="shared" ref="Q823:S823" si="838">+F823</f>
        <v>0</v>
      </c>
      <c r="R823" s="655">
        <f t="shared" si="838"/>
        <v>0</v>
      </c>
      <c r="S823" s="656">
        <f t="shared" si="838"/>
        <v>0</v>
      </c>
      <c r="T823" s="658" t="e">
        <f>+VLOOKUP($L823,Data_Validation!$A:$D,1,0)</f>
        <v>#N/A</v>
      </c>
      <c r="U823" s="658" t="e">
        <f>+VLOOKUP($L823,Data_Validation!$A:$D,3,0)</f>
        <v>#N/A</v>
      </c>
      <c r="V823" s="658" t="e">
        <f>+VLOOKUP($L823,Data_Validation!$A:$D,4,0)</f>
        <v>#N/A</v>
      </c>
      <c r="W823" s="658" t="e">
        <f>+VLOOKUP($L823,Data_Validation!$A:$E,5,0)</f>
        <v>#N/A</v>
      </c>
    </row>
    <row r="824" spans="1:23" ht="15.75" customHeight="1">
      <c r="A824" s="718"/>
      <c r="B824" s="656"/>
      <c r="C824" s="719"/>
      <c r="D824" s="718"/>
      <c r="E824" s="718"/>
      <c r="F824" s="718"/>
      <c r="G824" s="718"/>
      <c r="H824" s="718"/>
      <c r="I824" s="718"/>
      <c r="J824" s="718"/>
      <c r="K824" s="718"/>
      <c r="L824" s="655" t="str">
        <f t="shared" si="785"/>
        <v>0</v>
      </c>
      <c r="M824" s="656">
        <f t="shared" si="780"/>
        <v>0</v>
      </c>
      <c r="N824" s="657">
        <f>+IF(OR($Q824=Parametres!$G$2,$Q824=Parametres!$G$3),I824,C824)</f>
        <v>0</v>
      </c>
      <c r="O824" s="657">
        <f>+IF(OR($Q824=Parametres!$G$2,$Q824=Parametres!$G$3),J824,D824)</f>
        <v>0</v>
      </c>
      <c r="P824" s="657">
        <f>+IF(OR($Q824=Parametres!$G$2,$Q824=Parametres!$G$3),K824,E824)</f>
        <v>0</v>
      </c>
      <c r="Q824" s="656">
        <f t="shared" ref="Q824:S824" si="839">+F824</f>
        <v>0</v>
      </c>
      <c r="R824" s="655">
        <f t="shared" si="839"/>
        <v>0</v>
      </c>
      <c r="S824" s="656">
        <f t="shared" si="839"/>
        <v>0</v>
      </c>
      <c r="T824" s="658" t="e">
        <f>+VLOOKUP($L824,Data_Validation!$A:$D,1,0)</f>
        <v>#N/A</v>
      </c>
      <c r="U824" s="658" t="e">
        <f>+VLOOKUP($L824,Data_Validation!$A:$D,3,0)</f>
        <v>#N/A</v>
      </c>
      <c r="V824" s="658" t="e">
        <f>+VLOOKUP($L824,Data_Validation!$A:$D,4,0)</f>
        <v>#N/A</v>
      </c>
      <c r="W824" s="658" t="e">
        <f>+VLOOKUP($L824,Data_Validation!$A:$E,5,0)</f>
        <v>#N/A</v>
      </c>
    </row>
    <row r="825" spans="1:23" ht="15.75" customHeight="1">
      <c r="A825" s="718"/>
      <c r="B825" s="656"/>
      <c r="C825" s="719"/>
      <c r="D825" s="718"/>
      <c r="E825" s="718"/>
      <c r="F825" s="718"/>
      <c r="G825" s="718"/>
      <c r="H825" s="718"/>
      <c r="I825" s="718"/>
      <c r="J825" s="718"/>
      <c r="K825" s="718"/>
      <c r="L825" s="655" t="str">
        <f t="shared" si="785"/>
        <v>0</v>
      </c>
      <c r="M825" s="656">
        <f t="shared" si="780"/>
        <v>0</v>
      </c>
      <c r="N825" s="657">
        <f>+IF(OR($Q825=Parametres!$G$2,$Q825=Parametres!$G$3),I825,C825)</f>
        <v>0</v>
      </c>
      <c r="O825" s="657">
        <f>+IF(OR($Q825=Parametres!$G$2,$Q825=Parametres!$G$3),J825,D825)</f>
        <v>0</v>
      </c>
      <c r="P825" s="657">
        <f>+IF(OR($Q825=Parametres!$G$2,$Q825=Parametres!$G$3),K825,E825)</f>
        <v>0</v>
      </c>
      <c r="Q825" s="656">
        <f t="shared" ref="Q825:S825" si="840">+F825</f>
        <v>0</v>
      </c>
      <c r="R825" s="655">
        <f t="shared" si="840"/>
        <v>0</v>
      </c>
      <c r="S825" s="656">
        <f t="shared" si="840"/>
        <v>0</v>
      </c>
      <c r="T825" s="658" t="e">
        <f>+VLOOKUP($L825,Data_Validation!$A:$D,1,0)</f>
        <v>#N/A</v>
      </c>
      <c r="U825" s="658" t="e">
        <f>+VLOOKUP($L825,Data_Validation!$A:$D,3,0)</f>
        <v>#N/A</v>
      </c>
      <c r="V825" s="658" t="e">
        <f>+VLOOKUP($L825,Data_Validation!$A:$D,4,0)</f>
        <v>#N/A</v>
      </c>
      <c r="W825" s="658" t="e">
        <f>+VLOOKUP($L825,Data_Validation!$A:$E,5,0)</f>
        <v>#N/A</v>
      </c>
    </row>
    <row r="826" spans="1:23" ht="15.75" customHeight="1">
      <c r="A826" s="718"/>
      <c r="B826" s="656"/>
      <c r="C826" s="719"/>
      <c r="D826" s="718"/>
      <c r="E826" s="718"/>
      <c r="F826" s="718"/>
      <c r="G826" s="718"/>
      <c r="H826" s="718"/>
      <c r="I826" s="718"/>
      <c r="J826" s="718"/>
      <c r="K826" s="718"/>
      <c r="L826" s="655" t="str">
        <f t="shared" si="785"/>
        <v>0</v>
      </c>
      <c r="M826" s="656">
        <f t="shared" si="780"/>
        <v>0</v>
      </c>
      <c r="N826" s="657">
        <f>+IF(OR($Q826=Parametres!$G$2,$Q826=Parametres!$G$3),I826,C826)</f>
        <v>0</v>
      </c>
      <c r="O826" s="657">
        <f>+IF(OR($Q826=Parametres!$G$2,$Q826=Parametres!$G$3),J826,D826)</f>
        <v>0</v>
      </c>
      <c r="P826" s="657">
        <f>+IF(OR($Q826=Parametres!$G$2,$Q826=Parametres!$G$3),K826,E826)</f>
        <v>0</v>
      </c>
      <c r="Q826" s="656">
        <f t="shared" ref="Q826:S826" si="841">+F826</f>
        <v>0</v>
      </c>
      <c r="R826" s="655">
        <f t="shared" si="841"/>
        <v>0</v>
      </c>
      <c r="S826" s="656">
        <f t="shared" si="841"/>
        <v>0</v>
      </c>
      <c r="T826" s="658" t="e">
        <f>+VLOOKUP($L826,Data_Validation!$A:$D,1,0)</f>
        <v>#N/A</v>
      </c>
      <c r="U826" s="658" t="e">
        <f>+VLOOKUP($L826,Data_Validation!$A:$D,3,0)</f>
        <v>#N/A</v>
      </c>
      <c r="V826" s="658" t="e">
        <f>+VLOOKUP($L826,Data_Validation!$A:$D,4,0)</f>
        <v>#N/A</v>
      </c>
      <c r="W826" s="658" t="e">
        <f>+VLOOKUP($L826,Data_Validation!$A:$E,5,0)</f>
        <v>#N/A</v>
      </c>
    </row>
    <row r="827" spans="1:23" ht="15.75" customHeight="1">
      <c r="A827" s="718"/>
      <c r="B827" s="656"/>
      <c r="C827" s="719"/>
      <c r="D827" s="718"/>
      <c r="E827" s="718"/>
      <c r="F827" s="718"/>
      <c r="G827" s="718"/>
      <c r="H827" s="718"/>
      <c r="I827" s="718"/>
      <c r="J827" s="718"/>
      <c r="K827" s="718"/>
      <c r="L827" s="655" t="str">
        <f t="shared" si="785"/>
        <v>0</v>
      </c>
      <c r="M827" s="656">
        <f t="shared" si="780"/>
        <v>0</v>
      </c>
      <c r="N827" s="657">
        <f>+IF(OR($Q827=Parametres!$G$2,$Q827=Parametres!$G$3),I827,C827)</f>
        <v>0</v>
      </c>
      <c r="O827" s="657">
        <f>+IF(OR($Q827=Parametres!$G$2,$Q827=Parametres!$G$3),J827,D827)</f>
        <v>0</v>
      </c>
      <c r="P827" s="657">
        <f>+IF(OR($Q827=Parametres!$G$2,$Q827=Parametres!$G$3),K827,E827)</f>
        <v>0</v>
      </c>
      <c r="Q827" s="656">
        <f t="shared" ref="Q827:S827" si="842">+F827</f>
        <v>0</v>
      </c>
      <c r="R827" s="655">
        <f t="shared" si="842"/>
        <v>0</v>
      </c>
      <c r="S827" s="656">
        <f t="shared" si="842"/>
        <v>0</v>
      </c>
      <c r="T827" s="658" t="e">
        <f>+VLOOKUP($L827,Data_Validation!$A:$D,1,0)</f>
        <v>#N/A</v>
      </c>
      <c r="U827" s="658" t="e">
        <f>+VLOOKUP($L827,Data_Validation!$A:$D,3,0)</f>
        <v>#N/A</v>
      </c>
      <c r="V827" s="658" t="e">
        <f>+VLOOKUP($L827,Data_Validation!$A:$D,4,0)</f>
        <v>#N/A</v>
      </c>
      <c r="W827" s="658" t="e">
        <f>+VLOOKUP($L827,Data_Validation!$A:$E,5,0)</f>
        <v>#N/A</v>
      </c>
    </row>
    <row r="828" spans="1:23" ht="15.75" customHeight="1">
      <c r="A828" s="718"/>
      <c r="B828" s="656"/>
      <c r="C828" s="719"/>
      <c r="D828" s="718"/>
      <c r="E828" s="718"/>
      <c r="F828" s="718"/>
      <c r="G828" s="718"/>
      <c r="H828" s="718"/>
      <c r="I828" s="718"/>
      <c r="J828" s="718"/>
      <c r="K828" s="718"/>
      <c r="L828" s="655" t="str">
        <f t="shared" si="785"/>
        <v>0</v>
      </c>
      <c r="M828" s="656">
        <f t="shared" si="780"/>
        <v>0</v>
      </c>
      <c r="N828" s="657">
        <f>+IF(OR($Q828=Parametres!$G$2,$Q828=Parametres!$G$3),I828,C828)</f>
        <v>0</v>
      </c>
      <c r="O828" s="657">
        <f>+IF(OR($Q828=Parametres!$G$2,$Q828=Parametres!$G$3),J828,D828)</f>
        <v>0</v>
      </c>
      <c r="P828" s="657">
        <f>+IF(OR($Q828=Parametres!$G$2,$Q828=Parametres!$G$3),K828,E828)</f>
        <v>0</v>
      </c>
      <c r="Q828" s="656">
        <f t="shared" ref="Q828:S828" si="843">+F828</f>
        <v>0</v>
      </c>
      <c r="R828" s="655">
        <f t="shared" si="843"/>
        <v>0</v>
      </c>
      <c r="S828" s="656">
        <f t="shared" si="843"/>
        <v>0</v>
      </c>
      <c r="T828" s="658" t="e">
        <f>+VLOOKUP($L828,Data_Validation!$A:$D,1,0)</f>
        <v>#N/A</v>
      </c>
      <c r="U828" s="658" t="e">
        <f>+VLOOKUP($L828,Data_Validation!$A:$D,3,0)</f>
        <v>#N/A</v>
      </c>
      <c r="V828" s="658" t="e">
        <f>+VLOOKUP($L828,Data_Validation!$A:$D,4,0)</f>
        <v>#N/A</v>
      </c>
      <c r="W828" s="658" t="e">
        <f>+VLOOKUP($L828,Data_Validation!$A:$E,5,0)</f>
        <v>#N/A</v>
      </c>
    </row>
    <row r="829" spans="1:23" ht="15.75" customHeight="1">
      <c r="A829" s="718"/>
      <c r="B829" s="656"/>
      <c r="C829" s="719"/>
      <c r="D829" s="718"/>
      <c r="E829" s="718"/>
      <c r="F829" s="718"/>
      <c r="G829" s="718"/>
      <c r="H829" s="718"/>
      <c r="I829" s="718"/>
      <c r="J829" s="718"/>
      <c r="K829" s="718"/>
      <c r="L829" s="655" t="str">
        <f t="shared" si="785"/>
        <v>0</v>
      </c>
      <c r="M829" s="656">
        <f t="shared" si="780"/>
        <v>0</v>
      </c>
      <c r="N829" s="657">
        <f>+IF(OR($Q829=Parametres!$G$2,$Q829=Parametres!$G$3),I829,C829)</f>
        <v>0</v>
      </c>
      <c r="O829" s="657">
        <f>+IF(OR($Q829=Parametres!$G$2,$Q829=Parametres!$G$3),J829,D829)</f>
        <v>0</v>
      </c>
      <c r="P829" s="657">
        <f>+IF(OR($Q829=Parametres!$G$2,$Q829=Parametres!$G$3),K829,E829)</f>
        <v>0</v>
      </c>
      <c r="Q829" s="656">
        <f t="shared" ref="Q829:S829" si="844">+F829</f>
        <v>0</v>
      </c>
      <c r="R829" s="655">
        <f t="shared" si="844"/>
        <v>0</v>
      </c>
      <c r="S829" s="656">
        <f t="shared" si="844"/>
        <v>0</v>
      </c>
      <c r="T829" s="658" t="e">
        <f>+VLOOKUP($L829,Data_Validation!$A:$D,1,0)</f>
        <v>#N/A</v>
      </c>
      <c r="U829" s="658" t="e">
        <f>+VLOOKUP($L829,Data_Validation!$A:$D,3,0)</f>
        <v>#N/A</v>
      </c>
      <c r="V829" s="658" t="e">
        <f>+VLOOKUP($L829,Data_Validation!$A:$D,4,0)</f>
        <v>#N/A</v>
      </c>
      <c r="W829" s="658" t="e">
        <f>+VLOOKUP($L829,Data_Validation!$A:$E,5,0)</f>
        <v>#N/A</v>
      </c>
    </row>
    <row r="830" spans="1:23" ht="15.75" customHeight="1">
      <c r="A830" s="718"/>
      <c r="B830" s="656"/>
      <c r="C830" s="719"/>
      <c r="D830" s="718"/>
      <c r="E830" s="718"/>
      <c r="F830" s="718"/>
      <c r="G830" s="718"/>
      <c r="H830" s="718"/>
      <c r="I830" s="718"/>
      <c r="J830" s="718"/>
      <c r="K830" s="718"/>
      <c r="L830" s="655" t="str">
        <f t="shared" si="785"/>
        <v>0</v>
      </c>
      <c r="M830" s="656">
        <f t="shared" si="780"/>
        <v>0</v>
      </c>
      <c r="N830" s="657">
        <f>+IF(OR($Q830=Parametres!$G$2,$Q830=Parametres!$G$3),I830,C830)</f>
        <v>0</v>
      </c>
      <c r="O830" s="657">
        <f>+IF(OR($Q830=Parametres!$G$2,$Q830=Parametres!$G$3),J830,D830)</f>
        <v>0</v>
      </c>
      <c r="P830" s="657">
        <f>+IF(OR($Q830=Parametres!$G$2,$Q830=Parametres!$G$3),K830,E830)</f>
        <v>0</v>
      </c>
      <c r="Q830" s="656">
        <f t="shared" ref="Q830:S830" si="845">+F830</f>
        <v>0</v>
      </c>
      <c r="R830" s="655">
        <f t="shared" si="845"/>
        <v>0</v>
      </c>
      <c r="S830" s="656">
        <f t="shared" si="845"/>
        <v>0</v>
      </c>
      <c r="T830" s="658" t="e">
        <f>+VLOOKUP($L830,Data_Validation!$A:$D,1,0)</f>
        <v>#N/A</v>
      </c>
      <c r="U830" s="658" t="e">
        <f>+VLOOKUP($L830,Data_Validation!$A:$D,3,0)</f>
        <v>#N/A</v>
      </c>
      <c r="V830" s="658" t="e">
        <f>+VLOOKUP($L830,Data_Validation!$A:$D,4,0)</f>
        <v>#N/A</v>
      </c>
      <c r="W830" s="658" t="e">
        <f>+VLOOKUP($L830,Data_Validation!$A:$E,5,0)</f>
        <v>#N/A</v>
      </c>
    </row>
    <row r="831" spans="1:23" ht="15.75" customHeight="1">
      <c r="A831" s="718"/>
      <c r="B831" s="656"/>
      <c r="C831" s="719"/>
      <c r="D831" s="718"/>
      <c r="E831" s="718"/>
      <c r="F831" s="718"/>
      <c r="G831" s="718"/>
      <c r="H831" s="718"/>
      <c r="I831" s="718"/>
      <c r="J831" s="718"/>
      <c r="K831" s="718"/>
      <c r="L831" s="655" t="str">
        <f t="shared" si="785"/>
        <v>0</v>
      </c>
      <c r="M831" s="656">
        <f t="shared" si="780"/>
        <v>0</v>
      </c>
      <c r="N831" s="657">
        <f>+IF(OR($Q831=Parametres!$G$2,$Q831=Parametres!$G$3),I831,C831)</f>
        <v>0</v>
      </c>
      <c r="O831" s="657">
        <f>+IF(OR($Q831=Parametres!$G$2,$Q831=Parametres!$G$3),J831,D831)</f>
        <v>0</v>
      </c>
      <c r="P831" s="657">
        <f>+IF(OR($Q831=Parametres!$G$2,$Q831=Parametres!$G$3),K831,E831)</f>
        <v>0</v>
      </c>
      <c r="Q831" s="656">
        <f t="shared" ref="Q831:S831" si="846">+F831</f>
        <v>0</v>
      </c>
      <c r="R831" s="655">
        <f t="shared" si="846"/>
        <v>0</v>
      </c>
      <c r="S831" s="656">
        <f t="shared" si="846"/>
        <v>0</v>
      </c>
      <c r="T831" s="658" t="e">
        <f>+VLOOKUP($L831,Data_Validation!$A:$D,1,0)</f>
        <v>#N/A</v>
      </c>
      <c r="U831" s="658" t="e">
        <f>+VLOOKUP($L831,Data_Validation!$A:$D,3,0)</f>
        <v>#N/A</v>
      </c>
      <c r="V831" s="658" t="e">
        <f>+VLOOKUP($L831,Data_Validation!$A:$D,4,0)</f>
        <v>#N/A</v>
      </c>
      <c r="W831" s="658" t="e">
        <f>+VLOOKUP($L831,Data_Validation!$A:$E,5,0)</f>
        <v>#N/A</v>
      </c>
    </row>
    <row r="832" spans="1:23" ht="15.75" customHeight="1">
      <c r="A832" s="718"/>
      <c r="B832" s="656"/>
      <c r="C832" s="719"/>
      <c r="D832" s="718"/>
      <c r="E832" s="718"/>
      <c r="F832" s="718"/>
      <c r="G832" s="718"/>
      <c r="H832" s="718"/>
      <c r="I832" s="718"/>
      <c r="J832" s="718"/>
      <c r="K832" s="718"/>
      <c r="L832" s="655" t="str">
        <f t="shared" si="785"/>
        <v>0</v>
      </c>
      <c r="M832" s="656">
        <f t="shared" si="780"/>
        <v>0</v>
      </c>
      <c r="N832" s="657">
        <f>+IF(OR($Q832=Parametres!$G$2,$Q832=Parametres!$G$3),I832,C832)</f>
        <v>0</v>
      </c>
      <c r="O832" s="657">
        <f>+IF(OR($Q832=Parametres!$G$2,$Q832=Parametres!$G$3),J832,D832)</f>
        <v>0</v>
      </c>
      <c r="P832" s="657">
        <f>+IF(OR($Q832=Parametres!$G$2,$Q832=Parametres!$G$3),K832,E832)</f>
        <v>0</v>
      </c>
      <c r="Q832" s="656">
        <f t="shared" ref="Q832:S832" si="847">+F832</f>
        <v>0</v>
      </c>
      <c r="R832" s="655">
        <f t="shared" si="847"/>
        <v>0</v>
      </c>
      <c r="S832" s="656">
        <f t="shared" si="847"/>
        <v>0</v>
      </c>
      <c r="T832" s="658" t="e">
        <f>+VLOOKUP($L832,Data_Validation!$A:$D,1,0)</f>
        <v>#N/A</v>
      </c>
      <c r="U832" s="658" t="e">
        <f>+VLOOKUP($L832,Data_Validation!$A:$D,3,0)</f>
        <v>#N/A</v>
      </c>
      <c r="V832" s="658" t="e">
        <f>+VLOOKUP($L832,Data_Validation!$A:$D,4,0)</f>
        <v>#N/A</v>
      </c>
      <c r="W832" s="658" t="e">
        <f>+VLOOKUP($L832,Data_Validation!$A:$E,5,0)</f>
        <v>#N/A</v>
      </c>
    </row>
    <row r="833" spans="1:23" ht="15.75" customHeight="1">
      <c r="A833" s="718"/>
      <c r="B833" s="656"/>
      <c r="C833" s="719"/>
      <c r="D833" s="718"/>
      <c r="E833" s="718"/>
      <c r="F833" s="718"/>
      <c r="G833" s="718"/>
      <c r="H833" s="718"/>
      <c r="I833" s="718"/>
      <c r="J833" s="718"/>
      <c r="K833" s="718"/>
      <c r="L833" s="655" t="str">
        <f t="shared" si="785"/>
        <v>0</v>
      </c>
      <c r="M833" s="656">
        <f t="shared" si="780"/>
        <v>0</v>
      </c>
      <c r="N833" s="657">
        <f>+IF(OR($Q833=Parametres!$G$2,$Q833=Parametres!$G$3),I833,C833)</f>
        <v>0</v>
      </c>
      <c r="O833" s="657">
        <f>+IF(OR($Q833=Parametres!$G$2,$Q833=Parametres!$G$3),J833,D833)</f>
        <v>0</v>
      </c>
      <c r="P833" s="657">
        <f>+IF(OR($Q833=Parametres!$G$2,$Q833=Parametres!$G$3),K833,E833)</f>
        <v>0</v>
      </c>
      <c r="Q833" s="656">
        <f t="shared" ref="Q833:S833" si="848">+F833</f>
        <v>0</v>
      </c>
      <c r="R833" s="655">
        <f t="shared" si="848"/>
        <v>0</v>
      </c>
      <c r="S833" s="656">
        <f t="shared" si="848"/>
        <v>0</v>
      </c>
      <c r="T833" s="658" t="e">
        <f>+VLOOKUP($L833,Data_Validation!$A:$D,1,0)</f>
        <v>#N/A</v>
      </c>
      <c r="U833" s="658" t="e">
        <f>+VLOOKUP($L833,Data_Validation!$A:$D,3,0)</f>
        <v>#N/A</v>
      </c>
      <c r="V833" s="658" t="e">
        <f>+VLOOKUP($L833,Data_Validation!$A:$D,4,0)</f>
        <v>#N/A</v>
      </c>
      <c r="W833" s="658" t="e">
        <f>+VLOOKUP($L833,Data_Validation!$A:$E,5,0)</f>
        <v>#N/A</v>
      </c>
    </row>
    <row r="834" spans="1:23" ht="15.75" customHeight="1">
      <c r="A834" s="718"/>
      <c r="B834" s="656"/>
      <c r="C834" s="719"/>
      <c r="D834" s="718"/>
      <c r="E834" s="718"/>
      <c r="F834" s="718"/>
      <c r="G834" s="718"/>
      <c r="H834" s="718"/>
      <c r="I834" s="718"/>
      <c r="J834" s="718"/>
      <c r="K834" s="718"/>
      <c r="L834" s="655" t="str">
        <f t="shared" si="785"/>
        <v>0</v>
      </c>
      <c r="M834" s="656">
        <f t="shared" si="780"/>
        <v>0</v>
      </c>
      <c r="N834" s="657">
        <f>+IF(OR($Q834=Parametres!$G$2,$Q834=Parametres!$G$3),I834,C834)</f>
        <v>0</v>
      </c>
      <c r="O834" s="657">
        <f>+IF(OR($Q834=Parametres!$G$2,$Q834=Parametres!$G$3),J834,D834)</f>
        <v>0</v>
      </c>
      <c r="P834" s="657">
        <f>+IF(OR($Q834=Parametres!$G$2,$Q834=Parametres!$G$3),K834,E834)</f>
        <v>0</v>
      </c>
      <c r="Q834" s="656">
        <f t="shared" ref="Q834:S834" si="849">+F834</f>
        <v>0</v>
      </c>
      <c r="R834" s="655">
        <f t="shared" si="849"/>
        <v>0</v>
      </c>
      <c r="S834" s="656">
        <f t="shared" si="849"/>
        <v>0</v>
      </c>
      <c r="T834" s="658" t="e">
        <f>+VLOOKUP($L834,Data_Validation!$A:$D,1,0)</f>
        <v>#N/A</v>
      </c>
      <c r="U834" s="658" t="e">
        <f>+VLOOKUP($L834,Data_Validation!$A:$D,3,0)</f>
        <v>#N/A</v>
      </c>
      <c r="V834" s="658" t="e">
        <f>+VLOOKUP($L834,Data_Validation!$A:$D,4,0)</f>
        <v>#N/A</v>
      </c>
      <c r="W834" s="658" t="e">
        <f>+VLOOKUP($L834,Data_Validation!$A:$E,5,0)</f>
        <v>#N/A</v>
      </c>
    </row>
    <row r="835" spans="1:23" ht="15.75" customHeight="1">
      <c r="A835" s="718"/>
      <c r="B835" s="656"/>
      <c r="C835" s="719"/>
      <c r="D835" s="718"/>
      <c r="E835" s="718"/>
      <c r="F835" s="718"/>
      <c r="G835" s="718"/>
      <c r="H835" s="718"/>
      <c r="I835" s="718"/>
      <c r="J835" s="718"/>
      <c r="K835" s="718"/>
      <c r="L835" s="655" t="str">
        <f t="shared" ref="L835:L898" si="850">TEXT(B835,0)</f>
        <v>0</v>
      </c>
      <c r="M835" s="656">
        <f t="shared" si="780"/>
        <v>0</v>
      </c>
      <c r="N835" s="657">
        <f>+IF(OR($Q835=Parametres!$G$2,$Q835=Parametres!$G$3),I835,C835)</f>
        <v>0</v>
      </c>
      <c r="O835" s="657">
        <f>+IF(OR($Q835=Parametres!$G$2,$Q835=Parametres!$G$3),J835,D835)</f>
        <v>0</v>
      </c>
      <c r="P835" s="657">
        <f>+IF(OR($Q835=Parametres!$G$2,$Q835=Parametres!$G$3),K835,E835)</f>
        <v>0</v>
      </c>
      <c r="Q835" s="656">
        <f t="shared" ref="Q835:S835" si="851">+F835</f>
        <v>0</v>
      </c>
      <c r="R835" s="655">
        <f t="shared" si="851"/>
        <v>0</v>
      </c>
      <c r="S835" s="656">
        <f t="shared" si="851"/>
        <v>0</v>
      </c>
      <c r="T835" s="658" t="e">
        <f>+VLOOKUP($L835,Data_Validation!$A:$D,1,0)</f>
        <v>#N/A</v>
      </c>
      <c r="U835" s="658" t="e">
        <f>+VLOOKUP($L835,Data_Validation!$A:$D,3,0)</f>
        <v>#N/A</v>
      </c>
      <c r="V835" s="658" t="e">
        <f>+VLOOKUP($L835,Data_Validation!$A:$D,4,0)</f>
        <v>#N/A</v>
      </c>
      <c r="W835" s="658" t="e">
        <f>+VLOOKUP($L835,Data_Validation!$A:$E,5,0)</f>
        <v>#N/A</v>
      </c>
    </row>
    <row r="836" spans="1:23" ht="15.75" customHeight="1">
      <c r="A836" s="718"/>
      <c r="B836" s="656"/>
      <c r="C836" s="719"/>
      <c r="D836" s="718"/>
      <c r="E836" s="718"/>
      <c r="F836" s="718"/>
      <c r="G836" s="718"/>
      <c r="H836" s="718"/>
      <c r="I836" s="718"/>
      <c r="J836" s="718"/>
      <c r="K836" s="718"/>
      <c r="L836" s="655" t="str">
        <f t="shared" si="850"/>
        <v>0</v>
      </c>
      <c r="M836" s="656">
        <f t="shared" si="780"/>
        <v>0</v>
      </c>
      <c r="N836" s="657">
        <f>+IF(OR($Q836=Parametres!$G$2,$Q836=Parametres!$G$3),I836,C836)</f>
        <v>0</v>
      </c>
      <c r="O836" s="657">
        <f>+IF(OR($Q836=Parametres!$G$2,$Q836=Parametres!$G$3),J836,D836)</f>
        <v>0</v>
      </c>
      <c r="P836" s="657">
        <f>+IF(OR($Q836=Parametres!$G$2,$Q836=Parametres!$G$3),K836,E836)</f>
        <v>0</v>
      </c>
      <c r="Q836" s="656">
        <f t="shared" ref="Q836:S836" si="852">+F836</f>
        <v>0</v>
      </c>
      <c r="R836" s="655">
        <f t="shared" si="852"/>
        <v>0</v>
      </c>
      <c r="S836" s="656">
        <f t="shared" si="852"/>
        <v>0</v>
      </c>
      <c r="T836" s="658" t="e">
        <f>+VLOOKUP($L836,Data_Validation!$A:$D,1,0)</f>
        <v>#N/A</v>
      </c>
      <c r="U836" s="658" t="e">
        <f>+VLOOKUP($L836,Data_Validation!$A:$D,3,0)</f>
        <v>#N/A</v>
      </c>
      <c r="V836" s="658" t="e">
        <f>+VLOOKUP($L836,Data_Validation!$A:$D,4,0)</f>
        <v>#N/A</v>
      </c>
      <c r="W836" s="658" t="e">
        <f>+VLOOKUP($L836,Data_Validation!$A:$E,5,0)</f>
        <v>#N/A</v>
      </c>
    </row>
    <row r="837" spans="1:23" ht="15.75" customHeight="1">
      <c r="A837" s="718"/>
      <c r="B837" s="656"/>
      <c r="C837" s="719"/>
      <c r="D837" s="718"/>
      <c r="E837" s="718"/>
      <c r="F837" s="718"/>
      <c r="G837" s="718"/>
      <c r="H837" s="718"/>
      <c r="I837" s="718"/>
      <c r="J837" s="718"/>
      <c r="K837" s="718"/>
      <c r="L837" s="655" t="str">
        <f t="shared" si="850"/>
        <v>0</v>
      </c>
      <c r="M837" s="656">
        <f t="shared" si="780"/>
        <v>0</v>
      </c>
      <c r="N837" s="657">
        <f>+IF(OR($Q837=Parametres!$G$2,$Q837=Parametres!$G$3),I837,C837)</f>
        <v>0</v>
      </c>
      <c r="O837" s="657">
        <f>+IF(OR($Q837=Parametres!$G$2,$Q837=Parametres!$G$3),J837,D837)</f>
        <v>0</v>
      </c>
      <c r="P837" s="657">
        <f>+IF(OR($Q837=Parametres!$G$2,$Q837=Parametres!$G$3),K837,E837)</f>
        <v>0</v>
      </c>
      <c r="Q837" s="656">
        <f t="shared" ref="Q837:S837" si="853">+F837</f>
        <v>0</v>
      </c>
      <c r="R837" s="655">
        <f t="shared" si="853"/>
        <v>0</v>
      </c>
      <c r="S837" s="656">
        <f t="shared" si="853"/>
        <v>0</v>
      </c>
      <c r="T837" s="658" t="e">
        <f>+VLOOKUP($L837,Data_Validation!$A:$D,1,0)</f>
        <v>#N/A</v>
      </c>
      <c r="U837" s="658" t="e">
        <f>+VLOOKUP($L837,Data_Validation!$A:$D,3,0)</f>
        <v>#N/A</v>
      </c>
      <c r="V837" s="658" t="e">
        <f>+VLOOKUP($L837,Data_Validation!$A:$D,4,0)</f>
        <v>#N/A</v>
      </c>
      <c r="W837" s="658" t="e">
        <f>+VLOOKUP($L837,Data_Validation!$A:$E,5,0)</f>
        <v>#N/A</v>
      </c>
    </row>
    <row r="838" spans="1:23" ht="15.75" customHeight="1">
      <c r="A838" s="718"/>
      <c r="B838" s="656"/>
      <c r="C838" s="719"/>
      <c r="D838" s="718"/>
      <c r="E838" s="718"/>
      <c r="F838" s="718"/>
      <c r="G838" s="718"/>
      <c r="H838" s="718"/>
      <c r="I838" s="718"/>
      <c r="J838" s="718"/>
      <c r="K838" s="718"/>
      <c r="L838" s="655" t="str">
        <f t="shared" si="850"/>
        <v>0</v>
      </c>
      <c r="M838" s="656">
        <f t="shared" si="780"/>
        <v>0</v>
      </c>
      <c r="N838" s="657">
        <f>+IF(OR($Q838=Parametres!$G$2,$Q838=Parametres!$G$3),I838,C838)</f>
        <v>0</v>
      </c>
      <c r="O838" s="657">
        <f>+IF(OR($Q838=Parametres!$G$2,$Q838=Parametres!$G$3),J838,D838)</f>
        <v>0</v>
      </c>
      <c r="P838" s="657">
        <f>+IF(OR($Q838=Parametres!$G$2,$Q838=Parametres!$G$3),K838,E838)</f>
        <v>0</v>
      </c>
      <c r="Q838" s="656">
        <f t="shared" ref="Q838:S838" si="854">+F838</f>
        <v>0</v>
      </c>
      <c r="R838" s="655">
        <f t="shared" si="854"/>
        <v>0</v>
      </c>
      <c r="S838" s="656">
        <f t="shared" si="854"/>
        <v>0</v>
      </c>
      <c r="T838" s="658" t="e">
        <f>+VLOOKUP($L838,Data_Validation!$A:$D,1,0)</f>
        <v>#N/A</v>
      </c>
      <c r="U838" s="658" t="e">
        <f>+VLOOKUP($L838,Data_Validation!$A:$D,3,0)</f>
        <v>#N/A</v>
      </c>
      <c r="V838" s="658" t="e">
        <f>+VLOOKUP($L838,Data_Validation!$A:$D,4,0)</f>
        <v>#N/A</v>
      </c>
      <c r="W838" s="658" t="e">
        <f>+VLOOKUP($L838,Data_Validation!$A:$E,5,0)</f>
        <v>#N/A</v>
      </c>
    </row>
    <row r="839" spans="1:23" ht="15.75" customHeight="1">
      <c r="A839" s="718"/>
      <c r="B839" s="656"/>
      <c r="C839" s="719"/>
      <c r="D839" s="718"/>
      <c r="E839" s="718"/>
      <c r="F839" s="718"/>
      <c r="G839" s="718"/>
      <c r="H839" s="718"/>
      <c r="I839" s="718"/>
      <c r="J839" s="718"/>
      <c r="K839" s="718"/>
      <c r="L839" s="655" t="str">
        <f t="shared" si="850"/>
        <v>0</v>
      </c>
      <c r="M839" s="656">
        <f t="shared" si="780"/>
        <v>0</v>
      </c>
      <c r="N839" s="657">
        <f>+IF(OR($Q839=Parametres!$G$2,$Q839=Parametres!$G$3),I839,C839)</f>
        <v>0</v>
      </c>
      <c r="O839" s="657">
        <f>+IF(OR($Q839=Parametres!$G$2,$Q839=Parametres!$G$3),J839,D839)</f>
        <v>0</v>
      </c>
      <c r="P839" s="657">
        <f>+IF(OR($Q839=Parametres!$G$2,$Q839=Parametres!$G$3),K839,E839)</f>
        <v>0</v>
      </c>
      <c r="Q839" s="656">
        <f t="shared" ref="Q839:S839" si="855">+F839</f>
        <v>0</v>
      </c>
      <c r="R839" s="655">
        <f t="shared" si="855"/>
        <v>0</v>
      </c>
      <c r="S839" s="656">
        <f t="shared" si="855"/>
        <v>0</v>
      </c>
      <c r="T839" s="658" t="e">
        <f>+VLOOKUP($L839,Data_Validation!$A:$D,1,0)</f>
        <v>#N/A</v>
      </c>
      <c r="U839" s="658" t="e">
        <f>+VLOOKUP($L839,Data_Validation!$A:$D,3,0)</f>
        <v>#N/A</v>
      </c>
      <c r="V839" s="658" t="e">
        <f>+VLOOKUP($L839,Data_Validation!$A:$D,4,0)</f>
        <v>#N/A</v>
      </c>
      <c r="W839" s="658" t="e">
        <f>+VLOOKUP($L839,Data_Validation!$A:$E,5,0)</f>
        <v>#N/A</v>
      </c>
    </row>
    <row r="840" spans="1:23" ht="15.75" customHeight="1">
      <c r="A840" s="718"/>
      <c r="B840" s="656"/>
      <c r="C840" s="719"/>
      <c r="D840" s="718"/>
      <c r="E840" s="718"/>
      <c r="F840" s="718"/>
      <c r="G840" s="718"/>
      <c r="H840" s="718"/>
      <c r="I840" s="718"/>
      <c r="J840" s="718"/>
      <c r="K840" s="718"/>
      <c r="L840" s="655" t="str">
        <f t="shared" si="850"/>
        <v>0</v>
      </c>
      <c r="M840" s="656">
        <f t="shared" si="780"/>
        <v>0</v>
      </c>
      <c r="N840" s="657">
        <f>+IF(OR($Q840=Parametres!$G$2,$Q840=Parametres!$G$3),I840,C840)</f>
        <v>0</v>
      </c>
      <c r="O840" s="657">
        <f>+IF(OR($Q840=Parametres!$G$2,$Q840=Parametres!$G$3),J840,D840)</f>
        <v>0</v>
      </c>
      <c r="P840" s="657">
        <f>+IF(OR($Q840=Parametres!$G$2,$Q840=Parametres!$G$3),K840,E840)</f>
        <v>0</v>
      </c>
      <c r="Q840" s="656">
        <f t="shared" ref="Q840:S840" si="856">+F840</f>
        <v>0</v>
      </c>
      <c r="R840" s="655">
        <f t="shared" si="856"/>
        <v>0</v>
      </c>
      <c r="S840" s="656">
        <f t="shared" si="856"/>
        <v>0</v>
      </c>
      <c r="T840" s="658" t="e">
        <f>+VLOOKUP($L840,Data_Validation!$A:$D,1,0)</f>
        <v>#N/A</v>
      </c>
      <c r="U840" s="658" t="e">
        <f>+VLOOKUP($L840,Data_Validation!$A:$D,3,0)</f>
        <v>#N/A</v>
      </c>
      <c r="V840" s="658" t="e">
        <f>+VLOOKUP($L840,Data_Validation!$A:$D,4,0)</f>
        <v>#N/A</v>
      </c>
      <c r="W840" s="658" t="e">
        <f>+VLOOKUP($L840,Data_Validation!$A:$E,5,0)</f>
        <v>#N/A</v>
      </c>
    </row>
    <row r="841" spans="1:23" ht="15.75" customHeight="1">
      <c r="A841" s="718"/>
      <c r="B841" s="656"/>
      <c r="C841" s="719"/>
      <c r="D841" s="718"/>
      <c r="E841" s="718"/>
      <c r="F841" s="718"/>
      <c r="G841" s="718"/>
      <c r="H841" s="718"/>
      <c r="I841" s="718"/>
      <c r="J841" s="718"/>
      <c r="K841" s="718"/>
      <c r="L841" s="655" t="str">
        <f t="shared" si="850"/>
        <v>0</v>
      </c>
      <c r="M841" s="656">
        <f t="shared" si="780"/>
        <v>0</v>
      </c>
      <c r="N841" s="657">
        <f>+IF(OR($Q841=Parametres!$G$2,$Q841=Parametres!$G$3),I841,C841)</f>
        <v>0</v>
      </c>
      <c r="O841" s="657">
        <f>+IF(OR($Q841=Parametres!$G$2,$Q841=Parametres!$G$3),J841,D841)</f>
        <v>0</v>
      </c>
      <c r="P841" s="657">
        <f>+IF(OR($Q841=Parametres!$G$2,$Q841=Parametres!$G$3),K841,E841)</f>
        <v>0</v>
      </c>
      <c r="Q841" s="656">
        <f t="shared" ref="Q841:S841" si="857">+F841</f>
        <v>0</v>
      </c>
      <c r="R841" s="655">
        <f t="shared" si="857"/>
        <v>0</v>
      </c>
      <c r="S841" s="656">
        <f t="shared" si="857"/>
        <v>0</v>
      </c>
      <c r="T841" s="658" t="e">
        <f>+VLOOKUP($L841,Data_Validation!$A:$D,1,0)</f>
        <v>#N/A</v>
      </c>
      <c r="U841" s="658" t="e">
        <f>+VLOOKUP($L841,Data_Validation!$A:$D,3,0)</f>
        <v>#N/A</v>
      </c>
      <c r="V841" s="658" t="e">
        <f>+VLOOKUP($L841,Data_Validation!$A:$D,4,0)</f>
        <v>#N/A</v>
      </c>
      <c r="W841" s="658" t="e">
        <f>+VLOOKUP($L841,Data_Validation!$A:$E,5,0)</f>
        <v>#N/A</v>
      </c>
    </row>
    <row r="842" spans="1:23" ht="15.75" customHeight="1">
      <c r="A842" s="718"/>
      <c r="B842" s="656"/>
      <c r="C842" s="719"/>
      <c r="D842" s="718"/>
      <c r="E842" s="718"/>
      <c r="F842" s="718"/>
      <c r="G842" s="718"/>
      <c r="H842" s="718"/>
      <c r="I842" s="718"/>
      <c r="J842" s="718"/>
      <c r="K842" s="718"/>
      <c r="L842" s="655" t="str">
        <f t="shared" si="850"/>
        <v>0</v>
      </c>
      <c r="M842" s="656">
        <f t="shared" si="780"/>
        <v>0</v>
      </c>
      <c r="N842" s="657">
        <f>+IF(OR($Q842=Parametres!$G$2,$Q842=Parametres!$G$3),I842,C842)</f>
        <v>0</v>
      </c>
      <c r="O842" s="657">
        <f>+IF(OR($Q842=Parametres!$G$2,$Q842=Parametres!$G$3),J842,D842)</f>
        <v>0</v>
      </c>
      <c r="P842" s="657">
        <f>+IF(OR($Q842=Parametres!$G$2,$Q842=Parametres!$G$3),K842,E842)</f>
        <v>0</v>
      </c>
      <c r="Q842" s="656">
        <f t="shared" ref="Q842:S842" si="858">+F842</f>
        <v>0</v>
      </c>
      <c r="R842" s="655">
        <f t="shared" si="858"/>
        <v>0</v>
      </c>
      <c r="S842" s="656">
        <f t="shared" si="858"/>
        <v>0</v>
      </c>
      <c r="T842" s="658" t="e">
        <f>+VLOOKUP($L842,Data_Validation!$A:$D,1,0)</f>
        <v>#N/A</v>
      </c>
      <c r="U842" s="658" t="e">
        <f>+VLOOKUP($L842,Data_Validation!$A:$D,3,0)</f>
        <v>#N/A</v>
      </c>
      <c r="V842" s="658" t="e">
        <f>+VLOOKUP($L842,Data_Validation!$A:$D,4,0)</f>
        <v>#N/A</v>
      </c>
      <c r="W842" s="658" t="e">
        <f>+VLOOKUP($L842,Data_Validation!$A:$E,5,0)</f>
        <v>#N/A</v>
      </c>
    </row>
    <row r="843" spans="1:23" ht="15.75" customHeight="1">
      <c r="A843" s="718"/>
      <c r="B843" s="656"/>
      <c r="C843" s="719"/>
      <c r="D843" s="718"/>
      <c r="E843" s="718"/>
      <c r="F843" s="718"/>
      <c r="G843" s="718"/>
      <c r="H843" s="718"/>
      <c r="I843" s="718"/>
      <c r="J843" s="718"/>
      <c r="K843" s="718"/>
      <c r="L843" s="655" t="str">
        <f t="shared" si="850"/>
        <v>0</v>
      </c>
      <c r="M843" s="656">
        <f t="shared" si="780"/>
        <v>0</v>
      </c>
      <c r="N843" s="657">
        <f>+IF(OR($Q843=Parametres!$G$2,$Q843=Parametres!$G$3),I843,C843)</f>
        <v>0</v>
      </c>
      <c r="O843" s="657">
        <f>+IF(OR($Q843=Parametres!$G$2,$Q843=Parametres!$G$3),J843,D843)</f>
        <v>0</v>
      </c>
      <c r="P843" s="657">
        <f>+IF(OR($Q843=Parametres!$G$2,$Q843=Parametres!$G$3),K843,E843)</f>
        <v>0</v>
      </c>
      <c r="Q843" s="656">
        <f t="shared" ref="Q843:S843" si="859">+F843</f>
        <v>0</v>
      </c>
      <c r="R843" s="655">
        <f t="shared" si="859"/>
        <v>0</v>
      </c>
      <c r="S843" s="656">
        <f t="shared" si="859"/>
        <v>0</v>
      </c>
      <c r="T843" s="658" t="e">
        <f>+VLOOKUP($L843,Data_Validation!$A:$D,1,0)</f>
        <v>#N/A</v>
      </c>
      <c r="U843" s="658" t="e">
        <f>+VLOOKUP($L843,Data_Validation!$A:$D,3,0)</f>
        <v>#N/A</v>
      </c>
      <c r="V843" s="658" t="e">
        <f>+VLOOKUP($L843,Data_Validation!$A:$D,4,0)</f>
        <v>#N/A</v>
      </c>
      <c r="W843" s="658" t="e">
        <f>+VLOOKUP($L843,Data_Validation!$A:$E,5,0)</f>
        <v>#N/A</v>
      </c>
    </row>
    <row r="844" spans="1:23" ht="15.75" customHeight="1">
      <c r="A844" s="718"/>
      <c r="B844" s="656"/>
      <c r="C844" s="719"/>
      <c r="D844" s="718"/>
      <c r="E844" s="718"/>
      <c r="F844" s="718"/>
      <c r="G844" s="718"/>
      <c r="H844" s="718"/>
      <c r="I844" s="718"/>
      <c r="J844" s="718"/>
      <c r="K844" s="718"/>
      <c r="L844" s="655" t="str">
        <f t="shared" si="850"/>
        <v>0</v>
      </c>
      <c r="M844" s="656">
        <f t="shared" si="780"/>
        <v>0</v>
      </c>
      <c r="N844" s="657">
        <f>+IF(OR($Q844=Parametres!$G$2,$Q844=Parametres!$G$3),I844,C844)</f>
        <v>0</v>
      </c>
      <c r="O844" s="657">
        <f>+IF(OR($Q844=Parametres!$G$2,$Q844=Parametres!$G$3),J844,D844)</f>
        <v>0</v>
      </c>
      <c r="P844" s="657">
        <f>+IF(OR($Q844=Parametres!$G$2,$Q844=Parametres!$G$3),K844,E844)</f>
        <v>0</v>
      </c>
      <c r="Q844" s="656">
        <f t="shared" ref="Q844:S844" si="860">+F844</f>
        <v>0</v>
      </c>
      <c r="R844" s="655">
        <f t="shared" si="860"/>
        <v>0</v>
      </c>
      <c r="S844" s="656">
        <f t="shared" si="860"/>
        <v>0</v>
      </c>
      <c r="T844" s="658" t="e">
        <f>+VLOOKUP($L844,Data_Validation!$A:$D,1,0)</f>
        <v>#N/A</v>
      </c>
      <c r="U844" s="658" t="e">
        <f>+VLOOKUP($L844,Data_Validation!$A:$D,3,0)</f>
        <v>#N/A</v>
      </c>
      <c r="V844" s="658" t="e">
        <f>+VLOOKUP($L844,Data_Validation!$A:$D,4,0)</f>
        <v>#N/A</v>
      </c>
      <c r="W844" s="658" t="e">
        <f>+VLOOKUP($L844,Data_Validation!$A:$E,5,0)</f>
        <v>#N/A</v>
      </c>
    </row>
    <row r="845" spans="1:23" ht="15.75" customHeight="1">
      <c r="A845" s="718"/>
      <c r="B845" s="656"/>
      <c r="C845" s="719"/>
      <c r="D845" s="718"/>
      <c r="E845" s="718"/>
      <c r="F845" s="718"/>
      <c r="G845" s="718"/>
      <c r="H845" s="718"/>
      <c r="I845" s="718"/>
      <c r="J845" s="718"/>
      <c r="K845" s="718"/>
      <c r="L845" s="655" t="str">
        <f t="shared" si="850"/>
        <v>0</v>
      </c>
      <c r="M845" s="656">
        <f t="shared" si="780"/>
        <v>0</v>
      </c>
      <c r="N845" s="657">
        <f>+IF(OR($Q845=Parametres!$G$2,$Q845=Parametres!$G$3),I845,C845)</f>
        <v>0</v>
      </c>
      <c r="O845" s="657">
        <f>+IF(OR($Q845=Parametres!$G$2,$Q845=Parametres!$G$3),J845,D845)</f>
        <v>0</v>
      </c>
      <c r="P845" s="657">
        <f>+IF(OR($Q845=Parametres!$G$2,$Q845=Parametres!$G$3),K845,E845)</f>
        <v>0</v>
      </c>
      <c r="Q845" s="656">
        <f t="shared" ref="Q845:S845" si="861">+F845</f>
        <v>0</v>
      </c>
      <c r="R845" s="655">
        <f t="shared" si="861"/>
        <v>0</v>
      </c>
      <c r="S845" s="656">
        <f t="shared" si="861"/>
        <v>0</v>
      </c>
      <c r="T845" s="658" t="e">
        <f>+VLOOKUP($L845,Data_Validation!$A:$D,1,0)</f>
        <v>#N/A</v>
      </c>
      <c r="U845" s="658" t="e">
        <f>+VLOOKUP($L845,Data_Validation!$A:$D,3,0)</f>
        <v>#N/A</v>
      </c>
      <c r="V845" s="658" t="e">
        <f>+VLOOKUP($L845,Data_Validation!$A:$D,4,0)</f>
        <v>#N/A</v>
      </c>
      <c r="W845" s="658" t="e">
        <f>+VLOOKUP($L845,Data_Validation!$A:$E,5,0)</f>
        <v>#N/A</v>
      </c>
    </row>
    <row r="846" spans="1:23" ht="15.75" customHeight="1">
      <c r="A846" s="718"/>
      <c r="B846" s="656"/>
      <c r="C846" s="719"/>
      <c r="D846" s="718"/>
      <c r="E846" s="718"/>
      <c r="F846" s="718"/>
      <c r="G846" s="718"/>
      <c r="H846" s="718"/>
      <c r="I846" s="718"/>
      <c r="J846" s="718"/>
      <c r="K846" s="718"/>
      <c r="L846" s="655" t="str">
        <f t="shared" si="850"/>
        <v>0</v>
      </c>
      <c r="M846" s="656">
        <f t="shared" si="780"/>
        <v>0</v>
      </c>
      <c r="N846" s="657">
        <f>+IF(OR($Q846=Parametres!$G$2,$Q846=Parametres!$G$3),I846,C846)</f>
        <v>0</v>
      </c>
      <c r="O846" s="657">
        <f>+IF(OR($Q846=Parametres!$G$2,$Q846=Parametres!$G$3),J846,D846)</f>
        <v>0</v>
      </c>
      <c r="P846" s="657">
        <f>+IF(OR($Q846=Parametres!$G$2,$Q846=Parametres!$G$3),K846,E846)</f>
        <v>0</v>
      </c>
      <c r="Q846" s="656">
        <f t="shared" ref="Q846:S846" si="862">+F846</f>
        <v>0</v>
      </c>
      <c r="R846" s="655">
        <f t="shared" si="862"/>
        <v>0</v>
      </c>
      <c r="S846" s="656">
        <f t="shared" si="862"/>
        <v>0</v>
      </c>
      <c r="T846" s="658" t="e">
        <f>+VLOOKUP($L846,Data_Validation!$A:$D,1,0)</f>
        <v>#N/A</v>
      </c>
      <c r="U846" s="658" t="e">
        <f>+VLOOKUP($L846,Data_Validation!$A:$D,3,0)</f>
        <v>#N/A</v>
      </c>
      <c r="V846" s="658" t="e">
        <f>+VLOOKUP($L846,Data_Validation!$A:$D,4,0)</f>
        <v>#N/A</v>
      </c>
      <c r="W846" s="658" t="e">
        <f>+VLOOKUP($L846,Data_Validation!$A:$E,5,0)</f>
        <v>#N/A</v>
      </c>
    </row>
    <row r="847" spans="1:23" ht="15.75" customHeight="1">
      <c r="A847" s="718"/>
      <c r="B847" s="656"/>
      <c r="C847" s="719"/>
      <c r="D847" s="718"/>
      <c r="E847" s="718"/>
      <c r="F847" s="718"/>
      <c r="G847" s="718"/>
      <c r="H847" s="718"/>
      <c r="I847" s="718"/>
      <c r="J847" s="718"/>
      <c r="K847" s="718"/>
      <c r="L847" s="655" t="str">
        <f t="shared" si="850"/>
        <v>0</v>
      </c>
      <c r="M847" s="656">
        <f t="shared" si="780"/>
        <v>0</v>
      </c>
      <c r="N847" s="657">
        <f>+IF(OR($Q847=Parametres!$G$2,$Q847=Parametres!$G$3),I847,C847)</f>
        <v>0</v>
      </c>
      <c r="O847" s="657">
        <f>+IF(OR($Q847=Parametres!$G$2,$Q847=Parametres!$G$3),J847,D847)</f>
        <v>0</v>
      </c>
      <c r="P847" s="657">
        <f>+IF(OR($Q847=Parametres!$G$2,$Q847=Parametres!$G$3),K847,E847)</f>
        <v>0</v>
      </c>
      <c r="Q847" s="656">
        <f t="shared" ref="Q847:S847" si="863">+F847</f>
        <v>0</v>
      </c>
      <c r="R847" s="655">
        <f t="shared" si="863"/>
        <v>0</v>
      </c>
      <c r="S847" s="656">
        <f t="shared" si="863"/>
        <v>0</v>
      </c>
      <c r="T847" s="658" t="e">
        <f>+VLOOKUP($L847,Data_Validation!$A:$D,1,0)</f>
        <v>#N/A</v>
      </c>
      <c r="U847" s="658" t="e">
        <f>+VLOOKUP($L847,Data_Validation!$A:$D,3,0)</f>
        <v>#N/A</v>
      </c>
      <c r="V847" s="658" t="e">
        <f>+VLOOKUP($L847,Data_Validation!$A:$D,4,0)</f>
        <v>#N/A</v>
      </c>
      <c r="W847" s="658" t="e">
        <f>+VLOOKUP($L847,Data_Validation!$A:$E,5,0)</f>
        <v>#N/A</v>
      </c>
    </row>
    <row r="848" spans="1:23" ht="15.75" customHeight="1">
      <c r="A848" s="718"/>
      <c r="B848" s="656"/>
      <c r="C848" s="719"/>
      <c r="D848" s="718"/>
      <c r="E848" s="718"/>
      <c r="F848" s="718"/>
      <c r="G848" s="718"/>
      <c r="H848" s="718"/>
      <c r="I848" s="718"/>
      <c r="J848" s="718"/>
      <c r="K848" s="718"/>
      <c r="L848" s="655" t="str">
        <f t="shared" si="850"/>
        <v>0</v>
      </c>
      <c r="M848" s="656">
        <f t="shared" si="780"/>
        <v>0</v>
      </c>
      <c r="N848" s="657">
        <f>+IF(OR($Q848=Parametres!$G$2,$Q848=Parametres!$G$3),I848,C848)</f>
        <v>0</v>
      </c>
      <c r="O848" s="657">
        <f>+IF(OR($Q848=Parametres!$G$2,$Q848=Parametres!$G$3),J848,D848)</f>
        <v>0</v>
      </c>
      <c r="P848" s="657">
        <f>+IF(OR($Q848=Parametres!$G$2,$Q848=Parametres!$G$3),K848,E848)</f>
        <v>0</v>
      </c>
      <c r="Q848" s="656">
        <f t="shared" ref="Q848:S848" si="864">+F848</f>
        <v>0</v>
      </c>
      <c r="R848" s="655">
        <f t="shared" si="864"/>
        <v>0</v>
      </c>
      <c r="S848" s="656">
        <f t="shared" si="864"/>
        <v>0</v>
      </c>
      <c r="T848" s="658" t="e">
        <f>+VLOOKUP($L848,Data_Validation!$A:$D,1,0)</f>
        <v>#N/A</v>
      </c>
      <c r="U848" s="658" t="e">
        <f>+VLOOKUP($L848,Data_Validation!$A:$D,3,0)</f>
        <v>#N/A</v>
      </c>
      <c r="V848" s="658" t="e">
        <f>+VLOOKUP($L848,Data_Validation!$A:$D,4,0)</f>
        <v>#N/A</v>
      </c>
      <c r="W848" s="658" t="e">
        <f>+VLOOKUP($L848,Data_Validation!$A:$E,5,0)</f>
        <v>#N/A</v>
      </c>
    </row>
    <row r="849" spans="1:23" ht="15.75" customHeight="1">
      <c r="A849" s="718"/>
      <c r="B849" s="656"/>
      <c r="C849" s="719"/>
      <c r="D849" s="718"/>
      <c r="E849" s="718"/>
      <c r="F849" s="718"/>
      <c r="G849" s="718"/>
      <c r="H849" s="718"/>
      <c r="I849" s="718"/>
      <c r="J849" s="718"/>
      <c r="K849" s="718"/>
      <c r="L849" s="655" t="str">
        <f t="shared" si="850"/>
        <v>0</v>
      </c>
      <c r="M849" s="656">
        <f t="shared" si="780"/>
        <v>0</v>
      </c>
      <c r="N849" s="657">
        <f>+IF(OR($Q849=Parametres!$G$2,$Q849=Parametres!$G$3),I849,C849)</f>
        <v>0</v>
      </c>
      <c r="O849" s="657">
        <f>+IF(OR($Q849=Parametres!$G$2,$Q849=Parametres!$G$3),J849,D849)</f>
        <v>0</v>
      </c>
      <c r="P849" s="657">
        <f>+IF(OR($Q849=Parametres!$G$2,$Q849=Parametres!$G$3),K849,E849)</f>
        <v>0</v>
      </c>
      <c r="Q849" s="656">
        <f t="shared" ref="Q849:S849" si="865">+F849</f>
        <v>0</v>
      </c>
      <c r="R849" s="655">
        <f t="shared" si="865"/>
        <v>0</v>
      </c>
      <c r="S849" s="656">
        <f t="shared" si="865"/>
        <v>0</v>
      </c>
      <c r="T849" s="658" t="e">
        <f>+VLOOKUP($L849,Data_Validation!$A:$D,1,0)</f>
        <v>#N/A</v>
      </c>
      <c r="U849" s="658" t="e">
        <f>+VLOOKUP($L849,Data_Validation!$A:$D,3,0)</f>
        <v>#N/A</v>
      </c>
      <c r="V849" s="658" t="e">
        <f>+VLOOKUP($L849,Data_Validation!$A:$D,4,0)</f>
        <v>#N/A</v>
      </c>
      <c r="W849" s="658" t="e">
        <f>+VLOOKUP($L849,Data_Validation!$A:$E,5,0)</f>
        <v>#N/A</v>
      </c>
    </row>
    <row r="850" spans="1:23" ht="15.75" customHeight="1">
      <c r="A850" s="718"/>
      <c r="B850" s="656"/>
      <c r="C850" s="719"/>
      <c r="D850" s="718"/>
      <c r="E850" s="718"/>
      <c r="F850" s="718"/>
      <c r="G850" s="718"/>
      <c r="H850" s="718"/>
      <c r="I850" s="718"/>
      <c r="J850" s="718"/>
      <c r="K850" s="718"/>
      <c r="L850" s="655" t="str">
        <f t="shared" si="850"/>
        <v>0</v>
      </c>
      <c r="M850" s="656">
        <f t="shared" si="780"/>
        <v>0</v>
      </c>
      <c r="N850" s="657">
        <f>+IF(OR($Q850=Parametres!$G$2,$Q850=Parametres!$G$3),I850,C850)</f>
        <v>0</v>
      </c>
      <c r="O850" s="657">
        <f>+IF(OR($Q850=Parametres!$G$2,$Q850=Parametres!$G$3),J850,D850)</f>
        <v>0</v>
      </c>
      <c r="P850" s="657">
        <f>+IF(OR($Q850=Parametres!$G$2,$Q850=Parametres!$G$3),K850,E850)</f>
        <v>0</v>
      </c>
      <c r="Q850" s="656">
        <f t="shared" ref="Q850:S850" si="866">+F850</f>
        <v>0</v>
      </c>
      <c r="R850" s="655">
        <f t="shared" si="866"/>
        <v>0</v>
      </c>
      <c r="S850" s="656">
        <f t="shared" si="866"/>
        <v>0</v>
      </c>
      <c r="T850" s="658" t="e">
        <f>+VLOOKUP($L850,Data_Validation!$A:$D,1,0)</f>
        <v>#N/A</v>
      </c>
      <c r="U850" s="658" t="e">
        <f>+VLOOKUP($L850,Data_Validation!$A:$D,3,0)</f>
        <v>#N/A</v>
      </c>
      <c r="V850" s="658" t="e">
        <f>+VLOOKUP($L850,Data_Validation!$A:$D,4,0)</f>
        <v>#N/A</v>
      </c>
      <c r="W850" s="658" t="e">
        <f>+VLOOKUP($L850,Data_Validation!$A:$E,5,0)</f>
        <v>#N/A</v>
      </c>
    </row>
    <row r="851" spans="1:23" ht="15.75" customHeight="1">
      <c r="A851" s="718"/>
      <c r="B851" s="656"/>
      <c r="C851" s="719"/>
      <c r="D851" s="718"/>
      <c r="E851" s="718"/>
      <c r="F851" s="718"/>
      <c r="G851" s="718"/>
      <c r="H851" s="718"/>
      <c r="I851" s="718"/>
      <c r="J851" s="718"/>
      <c r="K851" s="718"/>
      <c r="L851" s="655" t="str">
        <f t="shared" si="850"/>
        <v>0</v>
      </c>
      <c r="M851" s="656">
        <f t="shared" si="780"/>
        <v>0</v>
      </c>
      <c r="N851" s="657">
        <f>+IF(OR($Q851=Parametres!$G$2,$Q851=Parametres!$G$3),I851,C851)</f>
        <v>0</v>
      </c>
      <c r="O851" s="657">
        <f>+IF(OR($Q851=Parametres!$G$2,$Q851=Parametres!$G$3),J851,D851)</f>
        <v>0</v>
      </c>
      <c r="P851" s="657">
        <f>+IF(OR($Q851=Parametres!$G$2,$Q851=Parametres!$G$3),K851,E851)</f>
        <v>0</v>
      </c>
      <c r="Q851" s="656">
        <f t="shared" ref="Q851:S851" si="867">+F851</f>
        <v>0</v>
      </c>
      <c r="R851" s="655">
        <f t="shared" si="867"/>
        <v>0</v>
      </c>
      <c r="S851" s="656">
        <f t="shared" si="867"/>
        <v>0</v>
      </c>
      <c r="T851" s="658" t="e">
        <f>+VLOOKUP($L851,Data_Validation!$A:$D,1,0)</f>
        <v>#N/A</v>
      </c>
      <c r="U851" s="658" t="e">
        <f>+VLOOKUP($L851,Data_Validation!$A:$D,3,0)</f>
        <v>#N/A</v>
      </c>
      <c r="V851" s="658" t="e">
        <f>+VLOOKUP($L851,Data_Validation!$A:$D,4,0)</f>
        <v>#N/A</v>
      </c>
      <c r="W851" s="658" t="e">
        <f>+VLOOKUP($L851,Data_Validation!$A:$E,5,0)</f>
        <v>#N/A</v>
      </c>
    </row>
    <row r="852" spans="1:23" ht="15.75" customHeight="1">
      <c r="A852" s="718"/>
      <c r="B852" s="656"/>
      <c r="C852" s="719"/>
      <c r="D852" s="718"/>
      <c r="E852" s="718"/>
      <c r="F852" s="718"/>
      <c r="G852" s="718"/>
      <c r="H852" s="718"/>
      <c r="I852" s="718"/>
      <c r="J852" s="718"/>
      <c r="K852" s="718"/>
      <c r="L852" s="655" t="str">
        <f t="shared" si="850"/>
        <v>0</v>
      </c>
      <c r="M852" s="656">
        <f t="shared" si="780"/>
        <v>0</v>
      </c>
      <c r="N852" s="657">
        <f>+IF(OR($Q852=Parametres!$G$2,$Q852=Parametres!$G$3),I852,C852)</f>
        <v>0</v>
      </c>
      <c r="O852" s="657">
        <f>+IF(OR($Q852=Parametres!$G$2,$Q852=Parametres!$G$3),J852,D852)</f>
        <v>0</v>
      </c>
      <c r="P852" s="657">
        <f>+IF(OR($Q852=Parametres!$G$2,$Q852=Parametres!$G$3),K852,E852)</f>
        <v>0</v>
      </c>
      <c r="Q852" s="656">
        <f t="shared" ref="Q852:S852" si="868">+F852</f>
        <v>0</v>
      </c>
      <c r="R852" s="655">
        <f t="shared" si="868"/>
        <v>0</v>
      </c>
      <c r="S852" s="656">
        <f t="shared" si="868"/>
        <v>0</v>
      </c>
      <c r="T852" s="658" t="e">
        <f>+VLOOKUP($L852,Data_Validation!$A:$D,1,0)</f>
        <v>#N/A</v>
      </c>
      <c r="U852" s="658" t="e">
        <f>+VLOOKUP($L852,Data_Validation!$A:$D,3,0)</f>
        <v>#N/A</v>
      </c>
      <c r="V852" s="658" t="e">
        <f>+VLOOKUP($L852,Data_Validation!$A:$D,4,0)</f>
        <v>#N/A</v>
      </c>
      <c r="W852" s="658" t="e">
        <f>+VLOOKUP($L852,Data_Validation!$A:$E,5,0)</f>
        <v>#N/A</v>
      </c>
    </row>
    <row r="853" spans="1:23" ht="15.75" customHeight="1">
      <c r="A853" s="718"/>
      <c r="B853" s="656"/>
      <c r="C853" s="719"/>
      <c r="D853" s="718"/>
      <c r="E853" s="718"/>
      <c r="F853" s="718"/>
      <c r="G853" s="718"/>
      <c r="H853" s="718"/>
      <c r="I853" s="718"/>
      <c r="J853" s="718"/>
      <c r="K853" s="718"/>
      <c r="L853" s="655" t="str">
        <f t="shared" si="850"/>
        <v>0</v>
      </c>
      <c r="M853" s="656">
        <f t="shared" si="780"/>
        <v>0</v>
      </c>
      <c r="N853" s="657">
        <f>+IF(OR($Q853=Parametres!$G$2,$Q853=Parametres!$G$3),I853,C853)</f>
        <v>0</v>
      </c>
      <c r="O853" s="657">
        <f>+IF(OR($Q853=Parametres!$G$2,$Q853=Parametres!$G$3),J853,D853)</f>
        <v>0</v>
      </c>
      <c r="P853" s="657">
        <f>+IF(OR($Q853=Parametres!$G$2,$Q853=Parametres!$G$3),K853,E853)</f>
        <v>0</v>
      </c>
      <c r="Q853" s="656">
        <f t="shared" ref="Q853:S853" si="869">+F853</f>
        <v>0</v>
      </c>
      <c r="R853" s="655">
        <f t="shared" si="869"/>
        <v>0</v>
      </c>
      <c r="S853" s="656">
        <f t="shared" si="869"/>
        <v>0</v>
      </c>
      <c r="T853" s="658" t="e">
        <f>+VLOOKUP($L853,Data_Validation!$A:$D,1,0)</f>
        <v>#N/A</v>
      </c>
      <c r="U853" s="658" t="e">
        <f>+VLOOKUP($L853,Data_Validation!$A:$D,3,0)</f>
        <v>#N/A</v>
      </c>
      <c r="V853" s="658" t="e">
        <f>+VLOOKUP($L853,Data_Validation!$A:$D,4,0)</f>
        <v>#N/A</v>
      </c>
      <c r="W853" s="658" t="e">
        <f>+VLOOKUP($L853,Data_Validation!$A:$E,5,0)</f>
        <v>#N/A</v>
      </c>
    </row>
    <row r="854" spans="1:23" ht="15.75" customHeight="1">
      <c r="A854" s="718"/>
      <c r="B854" s="656"/>
      <c r="C854" s="719"/>
      <c r="D854" s="718"/>
      <c r="E854" s="718"/>
      <c r="F854" s="718"/>
      <c r="G854" s="718"/>
      <c r="H854" s="718"/>
      <c r="I854" s="718"/>
      <c r="J854" s="718"/>
      <c r="K854" s="718"/>
      <c r="L854" s="655" t="str">
        <f t="shared" si="850"/>
        <v>0</v>
      </c>
      <c r="M854" s="656">
        <f t="shared" si="780"/>
        <v>0</v>
      </c>
      <c r="N854" s="657">
        <f>+IF(OR($Q854=Parametres!$G$2,$Q854=Parametres!$G$3),I854,C854)</f>
        <v>0</v>
      </c>
      <c r="O854" s="657">
        <f>+IF(OR($Q854=Parametres!$G$2,$Q854=Parametres!$G$3),J854,D854)</f>
        <v>0</v>
      </c>
      <c r="P854" s="657">
        <f>+IF(OR($Q854=Parametres!$G$2,$Q854=Parametres!$G$3),K854,E854)</f>
        <v>0</v>
      </c>
      <c r="Q854" s="656">
        <f t="shared" ref="Q854:S854" si="870">+F854</f>
        <v>0</v>
      </c>
      <c r="R854" s="655">
        <f t="shared" si="870"/>
        <v>0</v>
      </c>
      <c r="S854" s="656">
        <f t="shared" si="870"/>
        <v>0</v>
      </c>
      <c r="T854" s="658" t="e">
        <f>+VLOOKUP($L854,Data_Validation!$A:$D,1,0)</f>
        <v>#N/A</v>
      </c>
      <c r="U854" s="658" t="e">
        <f>+VLOOKUP($L854,Data_Validation!$A:$D,3,0)</f>
        <v>#N/A</v>
      </c>
      <c r="V854" s="658" t="e">
        <f>+VLOOKUP($L854,Data_Validation!$A:$D,4,0)</f>
        <v>#N/A</v>
      </c>
      <c r="W854" s="658" t="e">
        <f>+VLOOKUP($L854,Data_Validation!$A:$E,5,0)</f>
        <v>#N/A</v>
      </c>
    </row>
    <row r="855" spans="1:23" ht="15.75" customHeight="1">
      <c r="A855" s="718"/>
      <c r="B855" s="656"/>
      <c r="C855" s="719"/>
      <c r="D855" s="718"/>
      <c r="E855" s="718"/>
      <c r="F855" s="718"/>
      <c r="G855" s="718"/>
      <c r="H855" s="718"/>
      <c r="I855" s="718"/>
      <c r="J855" s="718"/>
      <c r="K855" s="718"/>
      <c r="L855" s="655" t="str">
        <f t="shared" si="850"/>
        <v>0</v>
      </c>
      <c r="M855" s="656">
        <f t="shared" si="780"/>
        <v>0</v>
      </c>
      <c r="N855" s="657">
        <f>+IF(OR($Q855=Parametres!$G$2,$Q855=Parametres!$G$3),I855,C855)</f>
        <v>0</v>
      </c>
      <c r="O855" s="657">
        <f>+IF(OR($Q855=Parametres!$G$2,$Q855=Parametres!$G$3),J855,D855)</f>
        <v>0</v>
      </c>
      <c r="P855" s="657">
        <f>+IF(OR($Q855=Parametres!$G$2,$Q855=Parametres!$G$3),K855,E855)</f>
        <v>0</v>
      </c>
      <c r="Q855" s="656">
        <f t="shared" ref="Q855:S855" si="871">+F855</f>
        <v>0</v>
      </c>
      <c r="R855" s="655">
        <f t="shared" si="871"/>
        <v>0</v>
      </c>
      <c r="S855" s="656">
        <f t="shared" si="871"/>
        <v>0</v>
      </c>
      <c r="T855" s="658" t="e">
        <f>+VLOOKUP($L855,Data_Validation!$A:$D,1,0)</f>
        <v>#N/A</v>
      </c>
      <c r="U855" s="658" t="e">
        <f>+VLOOKUP($L855,Data_Validation!$A:$D,3,0)</f>
        <v>#N/A</v>
      </c>
      <c r="V855" s="658" t="e">
        <f>+VLOOKUP($L855,Data_Validation!$A:$D,4,0)</f>
        <v>#N/A</v>
      </c>
      <c r="W855" s="658" t="e">
        <f>+VLOOKUP($L855,Data_Validation!$A:$E,5,0)</f>
        <v>#N/A</v>
      </c>
    </row>
    <row r="856" spans="1:23" ht="15.75" customHeight="1">
      <c r="A856" s="718"/>
      <c r="B856" s="656"/>
      <c r="C856" s="719"/>
      <c r="D856" s="718"/>
      <c r="E856" s="718"/>
      <c r="F856" s="718"/>
      <c r="G856" s="718"/>
      <c r="H856" s="718"/>
      <c r="I856" s="718"/>
      <c r="J856" s="718"/>
      <c r="K856" s="718"/>
      <c r="L856" s="655" t="str">
        <f t="shared" si="850"/>
        <v>0</v>
      </c>
      <c r="M856" s="656">
        <f t="shared" si="780"/>
        <v>0</v>
      </c>
      <c r="N856" s="657">
        <f>+IF(OR($Q856=Parametres!$G$2,$Q856=Parametres!$G$3),I856,C856)</f>
        <v>0</v>
      </c>
      <c r="O856" s="657">
        <f>+IF(OR($Q856=Parametres!$G$2,$Q856=Parametres!$G$3),J856,D856)</f>
        <v>0</v>
      </c>
      <c r="P856" s="657">
        <f>+IF(OR($Q856=Parametres!$G$2,$Q856=Parametres!$G$3),K856,E856)</f>
        <v>0</v>
      </c>
      <c r="Q856" s="656">
        <f t="shared" ref="Q856:S856" si="872">+F856</f>
        <v>0</v>
      </c>
      <c r="R856" s="655">
        <f t="shared" si="872"/>
        <v>0</v>
      </c>
      <c r="S856" s="656">
        <f t="shared" si="872"/>
        <v>0</v>
      </c>
      <c r="T856" s="658" t="e">
        <f>+VLOOKUP($L856,Data_Validation!$A:$D,1,0)</f>
        <v>#N/A</v>
      </c>
      <c r="U856" s="658" t="e">
        <f>+VLOOKUP($L856,Data_Validation!$A:$D,3,0)</f>
        <v>#N/A</v>
      </c>
      <c r="V856" s="658" t="e">
        <f>+VLOOKUP($L856,Data_Validation!$A:$D,4,0)</f>
        <v>#N/A</v>
      </c>
      <c r="W856" s="658" t="e">
        <f>+VLOOKUP($L856,Data_Validation!$A:$E,5,0)</f>
        <v>#N/A</v>
      </c>
    </row>
    <row r="857" spans="1:23" ht="15.75" customHeight="1">
      <c r="A857" s="718"/>
      <c r="B857" s="656"/>
      <c r="C857" s="719"/>
      <c r="D857" s="718"/>
      <c r="E857" s="718"/>
      <c r="F857" s="718"/>
      <c r="G857" s="718"/>
      <c r="H857" s="718"/>
      <c r="I857" s="718"/>
      <c r="J857" s="718"/>
      <c r="K857" s="718"/>
      <c r="L857" s="655" t="str">
        <f t="shared" si="850"/>
        <v>0</v>
      </c>
      <c r="M857" s="656">
        <f t="shared" si="780"/>
        <v>0</v>
      </c>
      <c r="N857" s="657">
        <f>+IF(OR($Q857=Parametres!$G$2,$Q857=Parametres!$G$3),I857,C857)</f>
        <v>0</v>
      </c>
      <c r="O857" s="657">
        <f>+IF(OR($Q857=Parametres!$G$2,$Q857=Parametres!$G$3),J857,D857)</f>
        <v>0</v>
      </c>
      <c r="P857" s="657">
        <f>+IF(OR($Q857=Parametres!$G$2,$Q857=Parametres!$G$3),K857,E857)</f>
        <v>0</v>
      </c>
      <c r="Q857" s="656">
        <f t="shared" ref="Q857:S857" si="873">+F857</f>
        <v>0</v>
      </c>
      <c r="R857" s="655">
        <f t="shared" si="873"/>
        <v>0</v>
      </c>
      <c r="S857" s="656">
        <f t="shared" si="873"/>
        <v>0</v>
      </c>
      <c r="T857" s="658" t="e">
        <f>+VLOOKUP($L857,Data_Validation!$A:$D,1,0)</f>
        <v>#N/A</v>
      </c>
      <c r="U857" s="658" t="e">
        <f>+VLOOKUP($L857,Data_Validation!$A:$D,3,0)</f>
        <v>#N/A</v>
      </c>
      <c r="V857" s="658" t="e">
        <f>+VLOOKUP($L857,Data_Validation!$A:$D,4,0)</f>
        <v>#N/A</v>
      </c>
      <c r="W857" s="658" t="e">
        <f>+VLOOKUP($L857,Data_Validation!$A:$E,5,0)</f>
        <v>#N/A</v>
      </c>
    </row>
    <row r="858" spans="1:23" ht="15.75" customHeight="1">
      <c r="A858" s="718"/>
      <c r="B858" s="656"/>
      <c r="C858" s="719"/>
      <c r="D858" s="718"/>
      <c r="E858" s="718"/>
      <c r="F858" s="718"/>
      <c r="G858" s="718"/>
      <c r="H858" s="718"/>
      <c r="I858" s="718"/>
      <c r="J858" s="718"/>
      <c r="K858" s="718"/>
      <c r="L858" s="655" t="str">
        <f t="shared" si="850"/>
        <v>0</v>
      </c>
      <c r="M858" s="656">
        <f t="shared" si="780"/>
        <v>0</v>
      </c>
      <c r="N858" s="657">
        <f>+IF(OR($Q858=Parametres!$G$2,$Q858=Parametres!$G$3),I858,C858)</f>
        <v>0</v>
      </c>
      <c r="O858" s="657">
        <f>+IF(OR($Q858=Parametres!$G$2,$Q858=Parametres!$G$3),J858,D858)</f>
        <v>0</v>
      </c>
      <c r="P858" s="657">
        <f>+IF(OR($Q858=Parametres!$G$2,$Q858=Parametres!$G$3),K858,E858)</f>
        <v>0</v>
      </c>
      <c r="Q858" s="656">
        <f t="shared" ref="Q858:S858" si="874">+F858</f>
        <v>0</v>
      </c>
      <c r="R858" s="655">
        <f t="shared" si="874"/>
        <v>0</v>
      </c>
      <c r="S858" s="656">
        <f t="shared" si="874"/>
        <v>0</v>
      </c>
      <c r="T858" s="658" t="e">
        <f>+VLOOKUP($L858,Data_Validation!$A:$D,1,0)</f>
        <v>#N/A</v>
      </c>
      <c r="U858" s="658" t="e">
        <f>+VLOOKUP($L858,Data_Validation!$A:$D,3,0)</f>
        <v>#N/A</v>
      </c>
      <c r="V858" s="658" t="e">
        <f>+VLOOKUP($L858,Data_Validation!$A:$D,4,0)</f>
        <v>#N/A</v>
      </c>
      <c r="W858" s="658" t="e">
        <f>+VLOOKUP($L858,Data_Validation!$A:$E,5,0)</f>
        <v>#N/A</v>
      </c>
    </row>
    <row r="859" spans="1:23" ht="15.75" customHeight="1">
      <c r="A859" s="718"/>
      <c r="B859" s="656"/>
      <c r="C859" s="719"/>
      <c r="D859" s="718"/>
      <c r="E859" s="718"/>
      <c r="F859" s="718"/>
      <c r="G859" s="718"/>
      <c r="H859" s="718"/>
      <c r="I859" s="718"/>
      <c r="J859" s="718"/>
      <c r="K859" s="718"/>
      <c r="L859" s="655" t="str">
        <f t="shared" si="850"/>
        <v>0</v>
      </c>
      <c r="M859" s="656">
        <f t="shared" si="780"/>
        <v>0</v>
      </c>
      <c r="N859" s="657">
        <f>+IF(OR($Q859=Parametres!$G$2,$Q859=Parametres!$G$3),I859,C859)</f>
        <v>0</v>
      </c>
      <c r="O859" s="657">
        <f>+IF(OR($Q859=Parametres!$G$2,$Q859=Parametres!$G$3),J859,D859)</f>
        <v>0</v>
      </c>
      <c r="P859" s="657">
        <f>+IF(OR($Q859=Parametres!$G$2,$Q859=Parametres!$G$3),K859,E859)</f>
        <v>0</v>
      </c>
      <c r="Q859" s="656">
        <f t="shared" ref="Q859:S859" si="875">+F859</f>
        <v>0</v>
      </c>
      <c r="R859" s="655">
        <f t="shared" si="875"/>
        <v>0</v>
      </c>
      <c r="S859" s="656">
        <f t="shared" si="875"/>
        <v>0</v>
      </c>
      <c r="T859" s="658" t="e">
        <f>+VLOOKUP($L859,Data_Validation!$A:$D,1,0)</f>
        <v>#N/A</v>
      </c>
      <c r="U859" s="658" t="e">
        <f>+VLOOKUP($L859,Data_Validation!$A:$D,3,0)</f>
        <v>#N/A</v>
      </c>
      <c r="V859" s="658" t="e">
        <f>+VLOOKUP($L859,Data_Validation!$A:$D,4,0)</f>
        <v>#N/A</v>
      </c>
      <c r="W859" s="658" t="e">
        <f>+VLOOKUP($L859,Data_Validation!$A:$E,5,0)</f>
        <v>#N/A</v>
      </c>
    </row>
    <row r="860" spans="1:23" ht="15.75" customHeight="1">
      <c r="A860" s="718"/>
      <c r="B860" s="656"/>
      <c r="C860" s="719"/>
      <c r="D860" s="718"/>
      <c r="E860" s="718"/>
      <c r="F860" s="718"/>
      <c r="G860" s="718"/>
      <c r="H860" s="718"/>
      <c r="I860" s="718"/>
      <c r="J860" s="718"/>
      <c r="K860" s="718"/>
      <c r="L860" s="655" t="str">
        <f t="shared" si="850"/>
        <v>0</v>
      </c>
      <c r="M860" s="656">
        <f t="shared" si="780"/>
        <v>0</v>
      </c>
      <c r="N860" s="657">
        <f>+IF(OR($Q860=Parametres!$G$2,$Q860=Parametres!$G$3),I860,C860)</f>
        <v>0</v>
      </c>
      <c r="O860" s="657">
        <f>+IF(OR($Q860=Parametres!$G$2,$Q860=Parametres!$G$3),J860,D860)</f>
        <v>0</v>
      </c>
      <c r="P860" s="657">
        <f>+IF(OR($Q860=Parametres!$G$2,$Q860=Parametres!$G$3),K860,E860)</f>
        <v>0</v>
      </c>
      <c r="Q860" s="656">
        <f t="shared" ref="Q860:S860" si="876">+F860</f>
        <v>0</v>
      </c>
      <c r="R860" s="655">
        <f t="shared" si="876"/>
        <v>0</v>
      </c>
      <c r="S860" s="656">
        <f t="shared" si="876"/>
        <v>0</v>
      </c>
      <c r="T860" s="658" t="e">
        <f>+VLOOKUP($L860,Data_Validation!$A:$D,1,0)</f>
        <v>#N/A</v>
      </c>
      <c r="U860" s="658" t="e">
        <f>+VLOOKUP($L860,Data_Validation!$A:$D,3,0)</f>
        <v>#N/A</v>
      </c>
      <c r="V860" s="658" t="e">
        <f>+VLOOKUP($L860,Data_Validation!$A:$D,4,0)</f>
        <v>#N/A</v>
      </c>
      <c r="W860" s="658" t="e">
        <f>+VLOOKUP($L860,Data_Validation!$A:$E,5,0)</f>
        <v>#N/A</v>
      </c>
    </row>
    <row r="861" spans="1:23" ht="15.75" customHeight="1">
      <c r="A861" s="718"/>
      <c r="B861" s="656"/>
      <c r="C861" s="719"/>
      <c r="D861" s="718"/>
      <c r="E861" s="718"/>
      <c r="F861" s="718"/>
      <c r="G861" s="718"/>
      <c r="H861" s="718"/>
      <c r="I861" s="718"/>
      <c r="J861" s="718"/>
      <c r="K861" s="718"/>
      <c r="L861" s="655" t="str">
        <f t="shared" si="850"/>
        <v>0</v>
      </c>
      <c r="M861" s="656">
        <f t="shared" si="780"/>
        <v>0</v>
      </c>
      <c r="N861" s="657">
        <f>+IF(OR($Q861=Parametres!$G$2,$Q861=Parametres!$G$3),I861,C861)</f>
        <v>0</v>
      </c>
      <c r="O861" s="657">
        <f>+IF(OR($Q861=Parametres!$G$2,$Q861=Parametres!$G$3),J861,D861)</f>
        <v>0</v>
      </c>
      <c r="P861" s="657">
        <f>+IF(OR($Q861=Parametres!$G$2,$Q861=Parametres!$G$3),K861,E861)</f>
        <v>0</v>
      </c>
      <c r="Q861" s="656">
        <f t="shared" ref="Q861:S861" si="877">+F861</f>
        <v>0</v>
      </c>
      <c r="R861" s="655">
        <f t="shared" si="877"/>
        <v>0</v>
      </c>
      <c r="S861" s="656">
        <f t="shared" si="877"/>
        <v>0</v>
      </c>
      <c r="T861" s="658" t="e">
        <f>+VLOOKUP($L861,Data_Validation!$A:$D,1,0)</f>
        <v>#N/A</v>
      </c>
      <c r="U861" s="658" t="e">
        <f>+VLOOKUP($L861,Data_Validation!$A:$D,3,0)</f>
        <v>#N/A</v>
      </c>
      <c r="V861" s="658" t="e">
        <f>+VLOOKUP($L861,Data_Validation!$A:$D,4,0)</f>
        <v>#N/A</v>
      </c>
      <c r="W861" s="658" t="e">
        <f>+VLOOKUP($L861,Data_Validation!$A:$E,5,0)</f>
        <v>#N/A</v>
      </c>
    </row>
    <row r="862" spans="1:23" ht="15.75" customHeight="1">
      <c r="A862" s="718"/>
      <c r="B862" s="656"/>
      <c r="C862" s="719"/>
      <c r="D862" s="718"/>
      <c r="E862" s="718"/>
      <c r="F862" s="718"/>
      <c r="G862" s="718"/>
      <c r="H862" s="718"/>
      <c r="I862" s="718"/>
      <c r="J862" s="718"/>
      <c r="K862" s="718"/>
      <c r="L862" s="655" t="str">
        <f t="shared" si="850"/>
        <v>0</v>
      </c>
      <c r="M862" s="656">
        <f t="shared" si="780"/>
        <v>0</v>
      </c>
      <c r="N862" s="657">
        <f>+IF(OR($Q862=Parametres!$G$2,$Q862=Parametres!$G$3),I862,C862)</f>
        <v>0</v>
      </c>
      <c r="O862" s="657">
        <f>+IF(OR($Q862=Parametres!$G$2,$Q862=Parametres!$G$3),J862,D862)</f>
        <v>0</v>
      </c>
      <c r="P862" s="657">
        <f>+IF(OR($Q862=Parametres!$G$2,$Q862=Parametres!$G$3),K862,E862)</f>
        <v>0</v>
      </c>
      <c r="Q862" s="656">
        <f t="shared" ref="Q862:S862" si="878">+F862</f>
        <v>0</v>
      </c>
      <c r="R862" s="655">
        <f t="shared" si="878"/>
        <v>0</v>
      </c>
      <c r="S862" s="656">
        <f t="shared" si="878"/>
        <v>0</v>
      </c>
      <c r="T862" s="658" t="e">
        <f>+VLOOKUP($L862,Data_Validation!$A:$D,1,0)</f>
        <v>#N/A</v>
      </c>
      <c r="U862" s="658" t="e">
        <f>+VLOOKUP($L862,Data_Validation!$A:$D,3,0)</f>
        <v>#N/A</v>
      </c>
      <c r="V862" s="658" t="e">
        <f>+VLOOKUP($L862,Data_Validation!$A:$D,4,0)</f>
        <v>#N/A</v>
      </c>
      <c r="W862" s="658" t="e">
        <f>+VLOOKUP($L862,Data_Validation!$A:$E,5,0)</f>
        <v>#N/A</v>
      </c>
    </row>
    <row r="863" spans="1:23" ht="15.75" customHeight="1">
      <c r="A863" s="718"/>
      <c r="B863" s="656"/>
      <c r="C863" s="719"/>
      <c r="D863" s="718"/>
      <c r="E863" s="718"/>
      <c r="F863" s="718"/>
      <c r="G863" s="718"/>
      <c r="H863" s="718"/>
      <c r="I863" s="718"/>
      <c r="J863" s="718"/>
      <c r="K863" s="718"/>
      <c r="L863" s="655" t="str">
        <f t="shared" si="850"/>
        <v>0</v>
      </c>
      <c r="M863" s="656">
        <f t="shared" si="780"/>
        <v>0</v>
      </c>
      <c r="N863" s="657">
        <f>+IF(OR($Q863=Parametres!$G$2,$Q863=Parametres!$G$3),I863,C863)</f>
        <v>0</v>
      </c>
      <c r="O863" s="657">
        <f>+IF(OR($Q863=Parametres!$G$2,$Q863=Parametres!$G$3),J863,D863)</f>
        <v>0</v>
      </c>
      <c r="P863" s="657">
        <f>+IF(OR($Q863=Parametres!$G$2,$Q863=Parametres!$G$3),K863,E863)</f>
        <v>0</v>
      </c>
      <c r="Q863" s="656">
        <f t="shared" ref="Q863:S863" si="879">+F863</f>
        <v>0</v>
      </c>
      <c r="R863" s="655">
        <f t="shared" si="879"/>
        <v>0</v>
      </c>
      <c r="S863" s="656">
        <f t="shared" si="879"/>
        <v>0</v>
      </c>
      <c r="T863" s="658" t="e">
        <f>+VLOOKUP($L863,Data_Validation!$A:$D,1,0)</f>
        <v>#N/A</v>
      </c>
      <c r="U863" s="658" t="e">
        <f>+VLOOKUP($L863,Data_Validation!$A:$D,3,0)</f>
        <v>#N/A</v>
      </c>
      <c r="V863" s="658" t="e">
        <f>+VLOOKUP($L863,Data_Validation!$A:$D,4,0)</f>
        <v>#N/A</v>
      </c>
      <c r="W863" s="658" t="e">
        <f>+VLOOKUP($L863,Data_Validation!$A:$E,5,0)</f>
        <v>#N/A</v>
      </c>
    </row>
    <row r="864" spans="1:23" ht="15.75" customHeight="1">
      <c r="A864" s="718"/>
      <c r="B864" s="656"/>
      <c r="C864" s="719"/>
      <c r="D864" s="718"/>
      <c r="E864" s="718"/>
      <c r="F864" s="718"/>
      <c r="G864" s="718"/>
      <c r="H864" s="718"/>
      <c r="I864" s="718"/>
      <c r="J864" s="718"/>
      <c r="K864" s="718"/>
      <c r="L864" s="655" t="str">
        <f t="shared" si="850"/>
        <v>0</v>
      </c>
      <c r="M864" s="656">
        <f t="shared" si="780"/>
        <v>0</v>
      </c>
      <c r="N864" s="657">
        <f>+IF(OR($Q864=Parametres!$G$2,$Q864=Parametres!$G$3),I864,C864)</f>
        <v>0</v>
      </c>
      <c r="O864" s="657">
        <f>+IF(OR($Q864=Parametres!$G$2,$Q864=Parametres!$G$3),J864,D864)</f>
        <v>0</v>
      </c>
      <c r="P864" s="657">
        <f>+IF(OR($Q864=Parametres!$G$2,$Q864=Parametres!$G$3),K864,E864)</f>
        <v>0</v>
      </c>
      <c r="Q864" s="656">
        <f t="shared" ref="Q864:S864" si="880">+F864</f>
        <v>0</v>
      </c>
      <c r="R864" s="655">
        <f t="shared" si="880"/>
        <v>0</v>
      </c>
      <c r="S864" s="656">
        <f t="shared" si="880"/>
        <v>0</v>
      </c>
      <c r="T864" s="658" t="e">
        <f>+VLOOKUP($L864,Data_Validation!$A:$D,1,0)</f>
        <v>#N/A</v>
      </c>
      <c r="U864" s="658" t="e">
        <f>+VLOOKUP($L864,Data_Validation!$A:$D,3,0)</f>
        <v>#N/A</v>
      </c>
      <c r="V864" s="658" t="e">
        <f>+VLOOKUP($L864,Data_Validation!$A:$D,4,0)</f>
        <v>#N/A</v>
      </c>
      <c r="W864" s="658" t="e">
        <f>+VLOOKUP($L864,Data_Validation!$A:$E,5,0)</f>
        <v>#N/A</v>
      </c>
    </row>
    <row r="865" spans="1:23" ht="15.75" customHeight="1">
      <c r="A865" s="718"/>
      <c r="B865" s="656"/>
      <c r="C865" s="719"/>
      <c r="D865" s="718"/>
      <c r="E865" s="718"/>
      <c r="F865" s="718"/>
      <c r="G865" s="718"/>
      <c r="H865" s="718"/>
      <c r="I865" s="718"/>
      <c r="J865" s="718"/>
      <c r="K865" s="718"/>
      <c r="L865" s="655" t="str">
        <f t="shared" si="850"/>
        <v>0</v>
      </c>
      <c r="M865" s="656">
        <f t="shared" si="780"/>
        <v>0</v>
      </c>
      <c r="N865" s="657">
        <f>+IF(OR($Q865=Parametres!$G$2,$Q865=Parametres!$G$3),I865,C865)</f>
        <v>0</v>
      </c>
      <c r="O865" s="657">
        <f>+IF(OR($Q865=Parametres!$G$2,$Q865=Parametres!$G$3),J865,D865)</f>
        <v>0</v>
      </c>
      <c r="P865" s="657">
        <f>+IF(OR($Q865=Parametres!$G$2,$Q865=Parametres!$G$3),K865,E865)</f>
        <v>0</v>
      </c>
      <c r="Q865" s="656">
        <f t="shared" ref="Q865:S865" si="881">+F865</f>
        <v>0</v>
      </c>
      <c r="R865" s="655">
        <f t="shared" si="881"/>
        <v>0</v>
      </c>
      <c r="S865" s="656">
        <f t="shared" si="881"/>
        <v>0</v>
      </c>
      <c r="T865" s="658" t="e">
        <f>+VLOOKUP($L865,Data_Validation!$A:$D,1,0)</f>
        <v>#N/A</v>
      </c>
      <c r="U865" s="658" t="e">
        <f>+VLOOKUP($L865,Data_Validation!$A:$D,3,0)</f>
        <v>#N/A</v>
      </c>
      <c r="V865" s="658" t="e">
        <f>+VLOOKUP($L865,Data_Validation!$A:$D,4,0)</f>
        <v>#N/A</v>
      </c>
      <c r="W865" s="658" t="e">
        <f>+VLOOKUP($L865,Data_Validation!$A:$E,5,0)</f>
        <v>#N/A</v>
      </c>
    </row>
    <row r="866" spans="1:23" ht="15.75" customHeight="1">
      <c r="A866" s="718"/>
      <c r="B866" s="656"/>
      <c r="C866" s="719"/>
      <c r="D866" s="718"/>
      <c r="E866" s="718"/>
      <c r="F866" s="718"/>
      <c r="G866" s="718"/>
      <c r="H866" s="718"/>
      <c r="I866" s="718"/>
      <c r="J866" s="718"/>
      <c r="K866" s="718"/>
      <c r="L866" s="655" t="str">
        <f t="shared" si="850"/>
        <v>0</v>
      </c>
      <c r="M866" s="656">
        <f t="shared" si="780"/>
        <v>0</v>
      </c>
      <c r="N866" s="657">
        <f>+IF(OR($Q866=Parametres!$G$2,$Q866=Parametres!$G$3),I866,C866)</f>
        <v>0</v>
      </c>
      <c r="O866" s="657">
        <f>+IF(OR($Q866=Parametres!$G$2,$Q866=Parametres!$G$3),J866,D866)</f>
        <v>0</v>
      </c>
      <c r="P866" s="657">
        <f>+IF(OR($Q866=Parametres!$G$2,$Q866=Parametres!$G$3),K866,E866)</f>
        <v>0</v>
      </c>
      <c r="Q866" s="656">
        <f t="shared" ref="Q866:S866" si="882">+F866</f>
        <v>0</v>
      </c>
      <c r="R866" s="655">
        <f t="shared" si="882"/>
        <v>0</v>
      </c>
      <c r="S866" s="656">
        <f t="shared" si="882"/>
        <v>0</v>
      </c>
      <c r="T866" s="658" t="e">
        <f>+VLOOKUP($L866,Data_Validation!$A:$D,1,0)</f>
        <v>#N/A</v>
      </c>
      <c r="U866" s="658" t="e">
        <f>+VLOOKUP($L866,Data_Validation!$A:$D,3,0)</f>
        <v>#N/A</v>
      </c>
      <c r="V866" s="658" t="e">
        <f>+VLOOKUP($L866,Data_Validation!$A:$D,4,0)</f>
        <v>#N/A</v>
      </c>
      <c r="W866" s="658" t="e">
        <f>+VLOOKUP($L866,Data_Validation!$A:$E,5,0)</f>
        <v>#N/A</v>
      </c>
    </row>
    <row r="867" spans="1:23" ht="15.75" customHeight="1">
      <c r="A867" s="718"/>
      <c r="B867" s="656"/>
      <c r="C867" s="719"/>
      <c r="D867" s="718"/>
      <c r="E867" s="718"/>
      <c r="F867" s="718"/>
      <c r="G867" s="718"/>
      <c r="H867" s="718"/>
      <c r="I867" s="718"/>
      <c r="J867" s="718"/>
      <c r="K867" s="718"/>
      <c r="L867" s="655" t="str">
        <f t="shared" si="850"/>
        <v>0</v>
      </c>
      <c r="M867" s="656">
        <f t="shared" si="780"/>
        <v>0</v>
      </c>
      <c r="N867" s="657">
        <f>+IF(OR($Q867=Parametres!$G$2,$Q867=Parametres!$G$3),I867,C867)</f>
        <v>0</v>
      </c>
      <c r="O867" s="657">
        <f>+IF(OR($Q867=Parametres!$G$2,$Q867=Parametres!$G$3),J867,D867)</f>
        <v>0</v>
      </c>
      <c r="P867" s="657">
        <f>+IF(OR($Q867=Parametres!$G$2,$Q867=Parametres!$G$3),K867,E867)</f>
        <v>0</v>
      </c>
      <c r="Q867" s="656">
        <f t="shared" ref="Q867:S867" si="883">+F867</f>
        <v>0</v>
      </c>
      <c r="R867" s="655">
        <f t="shared" si="883"/>
        <v>0</v>
      </c>
      <c r="S867" s="656">
        <f t="shared" si="883"/>
        <v>0</v>
      </c>
      <c r="T867" s="658" t="e">
        <f>+VLOOKUP($L867,Data_Validation!$A:$D,1,0)</f>
        <v>#N/A</v>
      </c>
      <c r="U867" s="658" t="e">
        <f>+VLOOKUP($L867,Data_Validation!$A:$D,3,0)</f>
        <v>#N/A</v>
      </c>
      <c r="V867" s="658" t="e">
        <f>+VLOOKUP($L867,Data_Validation!$A:$D,4,0)</f>
        <v>#N/A</v>
      </c>
      <c r="W867" s="658" t="e">
        <f>+VLOOKUP($L867,Data_Validation!$A:$E,5,0)</f>
        <v>#N/A</v>
      </c>
    </row>
    <row r="868" spans="1:23" ht="15.75" customHeight="1">
      <c r="A868" s="718"/>
      <c r="B868" s="656"/>
      <c r="C868" s="719"/>
      <c r="D868" s="718"/>
      <c r="E868" s="718"/>
      <c r="F868" s="718"/>
      <c r="G868" s="718"/>
      <c r="H868" s="718"/>
      <c r="I868" s="718"/>
      <c r="J868" s="718"/>
      <c r="K868" s="718"/>
      <c r="L868" s="655" t="str">
        <f t="shared" si="850"/>
        <v>0</v>
      </c>
      <c r="M868" s="656">
        <f t="shared" si="780"/>
        <v>0</v>
      </c>
      <c r="N868" s="657">
        <f>+IF(OR($Q868=Parametres!$G$2,$Q868=Parametres!$G$3),I868,C868)</f>
        <v>0</v>
      </c>
      <c r="O868" s="657">
        <f>+IF(OR($Q868=Parametres!$G$2,$Q868=Parametres!$G$3),J868,D868)</f>
        <v>0</v>
      </c>
      <c r="P868" s="657">
        <f>+IF(OR($Q868=Parametres!$G$2,$Q868=Parametres!$G$3),K868,E868)</f>
        <v>0</v>
      </c>
      <c r="Q868" s="656">
        <f t="shared" ref="Q868:S868" si="884">+F868</f>
        <v>0</v>
      </c>
      <c r="R868" s="655">
        <f t="shared" si="884"/>
        <v>0</v>
      </c>
      <c r="S868" s="656">
        <f t="shared" si="884"/>
        <v>0</v>
      </c>
      <c r="T868" s="658" t="e">
        <f>+VLOOKUP($L868,Data_Validation!$A:$D,1,0)</f>
        <v>#N/A</v>
      </c>
      <c r="U868" s="658" t="e">
        <f>+VLOOKUP($L868,Data_Validation!$A:$D,3,0)</f>
        <v>#N/A</v>
      </c>
      <c r="V868" s="658" t="e">
        <f>+VLOOKUP($L868,Data_Validation!$A:$D,4,0)</f>
        <v>#N/A</v>
      </c>
      <c r="W868" s="658" t="e">
        <f>+VLOOKUP($L868,Data_Validation!$A:$E,5,0)</f>
        <v>#N/A</v>
      </c>
    </row>
    <row r="869" spans="1:23" ht="15.75" customHeight="1">
      <c r="A869" s="718"/>
      <c r="B869" s="656"/>
      <c r="C869" s="719"/>
      <c r="D869" s="718"/>
      <c r="E869" s="718"/>
      <c r="F869" s="718"/>
      <c r="G869" s="718"/>
      <c r="H869" s="718"/>
      <c r="I869" s="718"/>
      <c r="J869" s="718"/>
      <c r="K869" s="718"/>
      <c r="L869" s="655" t="str">
        <f t="shared" si="850"/>
        <v>0</v>
      </c>
      <c r="M869" s="656">
        <f t="shared" si="780"/>
        <v>0</v>
      </c>
      <c r="N869" s="657">
        <f>+IF(OR($Q869=Parametres!$G$2,$Q869=Parametres!$G$3),I869,C869)</f>
        <v>0</v>
      </c>
      <c r="O869" s="657">
        <f>+IF(OR($Q869=Parametres!$G$2,$Q869=Parametres!$G$3),J869,D869)</f>
        <v>0</v>
      </c>
      <c r="P869" s="657">
        <f>+IF(OR($Q869=Parametres!$G$2,$Q869=Parametres!$G$3),K869,E869)</f>
        <v>0</v>
      </c>
      <c r="Q869" s="656">
        <f t="shared" ref="Q869:S869" si="885">+F869</f>
        <v>0</v>
      </c>
      <c r="R869" s="655">
        <f t="shared" si="885"/>
        <v>0</v>
      </c>
      <c r="S869" s="656">
        <f t="shared" si="885"/>
        <v>0</v>
      </c>
      <c r="T869" s="658" t="e">
        <f>+VLOOKUP($L869,Data_Validation!$A:$D,1,0)</f>
        <v>#N/A</v>
      </c>
      <c r="U869" s="658" t="e">
        <f>+VLOOKUP($L869,Data_Validation!$A:$D,3,0)</f>
        <v>#N/A</v>
      </c>
      <c r="V869" s="658" t="e">
        <f>+VLOOKUP($L869,Data_Validation!$A:$D,4,0)</f>
        <v>#N/A</v>
      </c>
      <c r="W869" s="658" t="e">
        <f>+VLOOKUP($L869,Data_Validation!$A:$E,5,0)</f>
        <v>#N/A</v>
      </c>
    </row>
    <row r="870" spans="1:23" ht="15.75" customHeight="1">
      <c r="A870" s="718"/>
      <c r="B870" s="656"/>
      <c r="C870" s="719"/>
      <c r="D870" s="718"/>
      <c r="E870" s="718"/>
      <c r="F870" s="718"/>
      <c r="G870" s="718"/>
      <c r="H870" s="718"/>
      <c r="I870" s="718"/>
      <c r="J870" s="718"/>
      <c r="K870" s="718"/>
      <c r="L870" s="655" t="str">
        <f t="shared" si="850"/>
        <v>0</v>
      </c>
      <c r="M870" s="656">
        <f t="shared" si="780"/>
        <v>0</v>
      </c>
      <c r="N870" s="657">
        <f>+IF(OR($Q870=Parametres!$G$2,$Q870=Parametres!$G$3),I870,C870)</f>
        <v>0</v>
      </c>
      <c r="O870" s="657">
        <f>+IF(OR($Q870=Parametres!$G$2,$Q870=Parametres!$G$3),J870,D870)</f>
        <v>0</v>
      </c>
      <c r="P870" s="657">
        <f>+IF(OR($Q870=Parametres!$G$2,$Q870=Parametres!$G$3),K870,E870)</f>
        <v>0</v>
      </c>
      <c r="Q870" s="656">
        <f t="shared" ref="Q870:S870" si="886">+F870</f>
        <v>0</v>
      </c>
      <c r="R870" s="655">
        <f t="shared" si="886"/>
        <v>0</v>
      </c>
      <c r="S870" s="656">
        <f t="shared" si="886"/>
        <v>0</v>
      </c>
      <c r="T870" s="658" t="e">
        <f>+VLOOKUP($L870,Data_Validation!$A:$D,1,0)</f>
        <v>#N/A</v>
      </c>
      <c r="U870" s="658" t="e">
        <f>+VLOOKUP($L870,Data_Validation!$A:$D,3,0)</f>
        <v>#N/A</v>
      </c>
      <c r="V870" s="658" t="e">
        <f>+VLOOKUP($L870,Data_Validation!$A:$D,4,0)</f>
        <v>#N/A</v>
      </c>
      <c r="W870" s="658" t="e">
        <f>+VLOOKUP($L870,Data_Validation!$A:$E,5,0)</f>
        <v>#N/A</v>
      </c>
    </row>
    <row r="871" spans="1:23" ht="15.75" customHeight="1">
      <c r="A871" s="718"/>
      <c r="B871" s="656"/>
      <c r="C871" s="719"/>
      <c r="D871" s="718"/>
      <c r="E871" s="718"/>
      <c r="F871" s="718"/>
      <c r="G871" s="718"/>
      <c r="H871" s="718"/>
      <c r="I871" s="718"/>
      <c r="J871" s="718"/>
      <c r="K871" s="718"/>
      <c r="L871" s="655" t="str">
        <f t="shared" si="850"/>
        <v>0</v>
      </c>
      <c r="M871" s="656">
        <f t="shared" si="780"/>
        <v>0</v>
      </c>
      <c r="N871" s="657">
        <f>+IF(OR($Q871=Parametres!$G$2,$Q871=Parametres!$G$3),I871,C871)</f>
        <v>0</v>
      </c>
      <c r="O871" s="657">
        <f>+IF(OR($Q871=Parametres!$G$2,$Q871=Parametres!$G$3),J871,D871)</f>
        <v>0</v>
      </c>
      <c r="P871" s="657">
        <f>+IF(OR($Q871=Parametres!$G$2,$Q871=Parametres!$G$3),K871,E871)</f>
        <v>0</v>
      </c>
      <c r="Q871" s="656">
        <f t="shared" ref="Q871:S871" si="887">+F871</f>
        <v>0</v>
      </c>
      <c r="R871" s="655">
        <f t="shared" si="887"/>
        <v>0</v>
      </c>
      <c r="S871" s="656">
        <f t="shared" si="887"/>
        <v>0</v>
      </c>
      <c r="T871" s="658" t="e">
        <f>+VLOOKUP($L871,Data_Validation!$A:$D,1,0)</f>
        <v>#N/A</v>
      </c>
      <c r="U871" s="658" t="e">
        <f>+VLOOKUP($L871,Data_Validation!$A:$D,3,0)</f>
        <v>#N/A</v>
      </c>
      <c r="V871" s="658" t="e">
        <f>+VLOOKUP($L871,Data_Validation!$A:$D,4,0)</f>
        <v>#N/A</v>
      </c>
      <c r="W871" s="658" t="e">
        <f>+VLOOKUP($L871,Data_Validation!$A:$E,5,0)</f>
        <v>#N/A</v>
      </c>
    </row>
    <row r="872" spans="1:23" ht="15.75" customHeight="1">
      <c r="A872" s="718"/>
      <c r="B872" s="656"/>
      <c r="C872" s="719"/>
      <c r="D872" s="718"/>
      <c r="E872" s="718"/>
      <c r="F872" s="718"/>
      <c r="G872" s="718"/>
      <c r="H872" s="718"/>
      <c r="I872" s="718"/>
      <c r="J872" s="718"/>
      <c r="K872" s="718"/>
      <c r="L872" s="655" t="str">
        <f t="shared" si="850"/>
        <v>0</v>
      </c>
      <c r="M872" s="656">
        <f t="shared" si="780"/>
        <v>0</v>
      </c>
      <c r="N872" s="657">
        <f>+IF(OR($Q872=Parametres!$G$2,$Q872=Parametres!$G$3),I872,C872)</f>
        <v>0</v>
      </c>
      <c r="O872" s="657">
        <f>+IF(OR($Q872=Parametres!$G$2,$Q872=Parametres!$G$3),J872,D872)</f>
        <v>0</v>
      </c>
      <c r="P872" s="657">
        <f>+IF(OR($Q872=Parametres!$G$2,$Q872=Parametres!$G$3),K872,E872)</f>
        <v>0</v>
      </c>
      <c r="Q872" s="656">
        <f t="shared" ref="Q872:S872" si="888">+F872</f>
        <v>0</v>
      </c>
      <c r="R872" s="655">
        <f t="shared" si="888"/>
        <v>0</v>
      </c>
      <c r="S872" s="656">
        <f t="shared" si="888"/>
        <v>0</v>
      </c>
      <c r="T872" s="658" t="e">
        <f>+VLOOKUP($L872,Data_Validation!$A:$D,1,0)</f>
        <v>#N/A</v>
      </c>
      <c r="U872" s="658" t="e">
        <f>+VLOOKUP($L872,Data_Validation!$A:$D,3,0)</f>
        <v>#N/A</v>
      </c>
      <c r="V872" s="658" t="e">
        <f>+VLOOKUP($L872,Data_Validation!$A:$D,4,0)</f>
        <v>#N/A</v>
      </c>
      <c r="W872" s="658" t="e">
        <f>+VLOOKUP($L872,Data_Validation!$A:$E,5,0)</f>
        <v>#N/A</v>
      </c>
    </row>
    <row r="873" spans="1:23" ht="15.75" customHeight="1">
      <c r="A873" s="718"/>
      <c r="B873" s="656"/>
      <c r="C873" s="719"/>
      <c r="D873" s="718"/>
      <c r="E873" s="718"/>
      <c r="F873" s="718"/>
      <c r="G873" s="718"/>
      <c r="H873" s="718"/>
      <c r="I873" s="718"/>
      <c r="J873" s="718"/>
      <c r="K873" s="718"/>
      <c r="L873" s="655" t="str">
        <f t="shared" si="850"/>
        <v>0</v>
      </c>
      <c r="M873" s="656">
        <f t="shared" si="780"/>
        <v>0</v>
      </c>
      <c r="N873" s="657">
        <f>+IF(OR($Q873=Parametres!$G$2,$Q873=Parametres!$G$3),I873,C873)</f>
        <v>0</v>
      </c>
      <c r="O873" s="657">
        <f>+IF(OR($Q873=Parametres!$G$2,$Q873=Parametres!$G$3),J873,D873)</f>
        <v>0</v>
      </c>
      <c r="P873" s="657">
        <f>+IF(OR($Q873=Parametres!$G$2,$Q873=Parametres!$G$3),K873,E873)</f>
        <v>0</v>
      </c>
      <c r="Q873" s="656">
        <f t="shared" ref="Q873:S873" si="889">+F873</f>
        <v>0</v>
      </c>
      <c r="R873" s="655">
        <f t="shared" si="889"/>
        <v>0</v>
      </c>
      <c r="S873" s="656">
        <f t="shared" si="889"/>
        <v>0</v>
      </c>
      <c r="T873" s="658" t="e">
        <f>+VLOOKUP($L873,Data_Validation!$A:$D,1,0)</f>
        <v>#N/A</v>
      </c>
      <c r="U873" s="658" t="e">
        <f>+VLOOKUP($L873,Data_Validation!$A:$D,3,0)</f>
        <v>#N/A</v>
      </c>
      <c r="V873" s="658" t="e">
        <f>+VLOOKUP($L873,Data_Validation!$A:$D,4,0)</f>
        <v>#N/A</v>
      </c>
      <c r="W873" s="658" t="e">
        <f>+VLOOKUP($L873,Data_Validation!$A:$E,5,0)</f>
        <v>#N/A</v>
      </c>
    </row>
    <row r="874" spans="1:23" ht="15.75" customHeight="1">
      <c r="A874" s="718"/>
      <c r="B874" s="656"/>
      <c r="C874" s="719"/>
      <c r="D874" s="718"/>
      <c r="E874" s="718"/>
      <c r="F874" s="718"/>
      <c r="G874" s="718"/>
      <c r="H874" s="718"/>
      <c r="I874" s="718"/>
      <c r="J874" s="718"/>
      <c r="K874" s="718"/>
      <c r="L874" s="655" t="str">
        <f t="shared" si="850"/>
        <v>0</v>
      </c>
      <c r="M874" s="656">
        <f t="shared" si="780"/>
        <v>0</v>
      </c>
      <c r="N874" s="657">
        <f>+IF(OR($Q874=Parametres!$G$2,$Q874=Parametres!$G$3),I874,C874)</f>
        <v>0</v>
      </c>
      <c r="O874" s="657">
        <f>+IF(OR($Q874=Parametres!$G$2,$Q874=Parametres!$G$3),J874,D874)</f>
        <v>0</v>
      </c>
      <c r="P874" s="657">
        <f>+IF(OR($Q874=Parametres!$G$2,$Q874=Parametres!$G$3),K874,E874)</f>
        <v>0</v>
      </c>
      <c r="Q874" s="656">
        <f t="shared" ref="Q874:S874" si="890">+F874</f>
        <v>0</v>
      </c>
      <c r="R874" s="655">
        <f t="shared" si="890"/>
        <v>0</v>
      </c>
      <c r="S874" s="656">
        <f t="shared" si="890"/>
        <v>0</v>
      </c>
      <c r="T874" s="658" t="e">
        <f>+VLOOKUP($L874,Data_Validation!$A:$D,1,0)</f>
        <v>#N/A</v>
      </c>
      <c r="U874" s="658" t="e">
        <f>+VLOOKUP($L874,Data_Validation!$A:$D,3,0)</f>
        <v>#N/A</v>
      </c>
      <c r="V874" s="658" t="e">
        <f>+VLOOKUP($L874,Data_Validation!$A:$D,4,0)</f>
        <v>#N/A</v>
      </c>
      <c r="W874" s="658" t="e">
        <f>+VLOOKUP($L874,Data_Validation!$A:$E,5,0)</f>
        <v>#N/A</v>
      </c>
    </row>
    <row r="875" spans="1:23" ht="15.75" customHeight="1">
      <c r="A875" s="718"/>
      <c r="B875" s="656"/>
      <c r="C875" s="719"/>
      <c r="D875" s="718"/>
      <c r="E875" s="718"/>
      <c r="F875" s="718"/>
      <c r="G875" s="718"/>
      <c r="H875" s="718"/>
      <c r="I875" s="718"/>
      <c r="J875" s="718"/>
      <c r="K875" s="718"/>
      <c r="L875" s="655" t="str">
        <f t="shared" si="850"/>
        <v>0</v>
      </c>
      <c r="M875" s="656">
        <f t="shared" si="780"/>
        <v>0</v>
      </c>
      <c r="N875" s="657">
        <f>+IF(OR($Q875=Parametres!$G$2,$Q875=Parametres!$G$3),I875,C875)</f>
        <v>0</v>
      </c>
      <c r="O875" s="657">
        <f>+IF(OR($Q875=Parametres!$G$2,$Q875=Parametres!$G$3),J875,D875)</f>
        <v>0</v>
      </c>
      <c r="P875" s="657">
        <f>+IF(OR($Q875=Parametres!$G$2,$Q875=Parametres!$G$3),K875,E875)</f>
        <v>0</v>
      </c>
      <c r="Q875" s="656">
        <f t="shared" ref="Q875:S875" si="891">+F875</f>
        <v>0</v>
      </c>
      <c r="R875" s="655">
        <f t="shared" si="891"/>
        <v>0</v>
      </c>
      <c r="S875" s="656">
        <f t="shared" si="891"/>
        <v>0</v>
      </c>
      <c r="T875" s="658" t="e">
        <f>+VLOOKUP($L875,Data_Validation!$A:$D,1,0)</f>
        <v>#N/A</v>
      </c>
      <c r="U875" s="658" t="e">
        <f>+VLOOKUP($L875,Data_Validation!$A:$D,3,0)</f>
        <v>#N/A</v>
      </c>
      <c r="V875" s="658" t="e">
        <f>+VLOOKUP($L875,Data_Validation!$A:$D,4,0)</f>
        <v>#N/A</v>
      </c>
      <c r="W875" s="658" t="e">
        <f>+VLOOKUP($L875,Data_Validation!$A:$E,5,0)</f>
        <v>#N/A</v>
      </c>
    </row>
    <row r="876" spans="1:23" ht="15.75" customHeight="1">
      <c r="A876" s="718"/>
      <c r="B876" s="656"/>
      <c r="C876" s="719"/>
      <c r="D876" s="718"/>
      <c r="E876" s="718"/>
      <c r="F876" s="718"/>
      <c r="G876" s="718"/>
      <c r="H876" s="718"/>
      <c r="I876" s="718"/>
      <c r="J876" s="718"/>
      <c r="K876" s="718"/>
      <c r="L876" s="655" t="str">
        <f t="shared" si="850"/>
        <v>0</v>
      </c>
      <c r="M876" s="656">
        <f t="shared" si="780"/>
        <v>0</v>
      </c>
      <c r="N876" s="657">
        <f>+IF(OR($Q876=Parametres!$G$2,$Q876=Parametres!$G$3),I876,C876)</f>
        <v>0</v>
      </c>
      <c r="O876" s="657">
        <f>+IF(OR($Q876=Parametres!$G$2,$Q876=Parametres!$G$3),J876,D876)</f>
        <v>0</v>
      </c>
      <c r="P876" s="657">
        <f>+IF(OR($Q876=Parametres!$G$2,$Q876=Parametres!$G$3),K876,E876)</f>
        <v>0</v>
      </c>
      <c r="Q876" s="656">
        <f t="shared" ref="Q876:S876" si="892">+F876</f>
        <v>0</v>
      </c>
      <c r="R876" s="655">
        <f t="shared" si="892"/>
        <v>0</v>
      </c>
      <c r="S876" s="656">
        <f t="shared" si="892"/>
        <v>0</v>
      </c>
      <c r="T876" s="658" t="e">
        <f>+VLOOKUP($L876,Data_Validation!$A:$D,1,0)</f>
        <v>#N/A</v>
      </c>
      <c r="U876" s="658" t="e">
        <f>+VLOOKUP($L876,Data_Validation!$A:$D,3,0)</f>
        <v>#N/A</v>
      </c>
      <c r="V876" s="658" t="e">
        <f>+VLOOKUP($L876,Data_Validation!$A:$D,4,0)</f>
        <v>#N/A</v>
      </c>
      <c r="W876" s="658" t="e">
        <f>+VLOOKUP($L876,Data_Validation!$A:$E,5,0)</f>
        <v>#N/A</v>
      </c>
    </row>
    <row r="877" spans="1:23" ht="15.75" customHeight="1">
      <c r="A877" s="718"/>
      <c r="B877" s="656"/>
      <c r="C877" s="719"/>
      <c r="D877" s="718"/>
      <c r="E877" s="718"/>
      <c r="F877" s="718"/>
      <c r="G877" s="718"/>
      <c r="H877" s="718"/>
      <c r="I877" s="718"/>
      <c r="J877" s="718"/>
      <c r="K877" s="718"/>
      <c r="L877" s="655" t="str">
        <f t="shared" si="850"/>
        <v>0</v>
      </c>
      <c r="M877" s="656">
        <f t="shared" si="780"/>
        <v>0</v>
      </c>
      <c r="N877" s="657">
        <f>+IF(OR($Q877=Parametres!$G$2,$Q877=Parametres!$G$3),I877,C877)</f>
        <v>0</v>
      </c>
      <c r="O877" s="657">
        <f>+IF(OR($Q877=Parametres!$G$2,$Q877=Parametres!$G$3),J877,D877)</f>
        <v>0</v>
      </c>
      <c r="P877" s="657">
        <f>+IF(OR($Q877=Parametres!$G$2,$Q877=Parametres!$G$3),K877,E877)</f>
        <v>0</v>
      </c>
      <c r="Q877" s="656">
        <f t="shared" ref="Q877:S877" si="893">+F877</f>
        <v>0</v>
      </c>
      <c r="R877" s="655">
        <f t="shared" si="893"/>
        <v>0</v>
      </c>
      <c r="S877" s="656">
        <f t="shared" si="893"/>
        <v>0</v>
      </c>
      <c r="T877" s="658" t="e">
        <f>+VLOOKUP($L877,Data_Validation!$A:$D,1,0)</f>
        <v>#N/A</v>
      </c>
      <c r="U877" s="658" t="e">
        <f>+VLOOKUP($L877,Data_Validation!$A:$D,3,0)</f>
        <v>#N/A</v>
      </c>
      <c r="V877" s="658" t="e">
        <f>+VLOOKUP($L877,Data_Validation!$A:$D,4,0)</f>
        <v>#N/A</v>
      </c>
      <c r="W877" s="658" t="e">
        <f>+VLOOKUP($L877,Data_Validation!$A:$E,5,0)</f>
        <v>#N/A</v>
      </c>
    </row>
    <row r="878" spans="1:23" ht="15.75" customHeight="1">
      <c r="A878" s="718"/>
      <c r="B878" s="656"/>
      <c r="C878" s="719"/>
      <c r="D878" s="718"/>
      <c r="E878" s="718"/>
      <c r="F878" s="718"/>
      <c r="G878" s="718"/>
      <c r="H878" s="718"/>
      <c r="I878" s="718"/>
      <c r="J878" s="718"/>
      <c r="K878" s="718"/>
      <c r="L878" s="655" t="str">
        <f t="shared" si="850"/>
        <v>0</v>
      </c>
      <c r="M878" s="656">
        <f t="shared" si="780"/>
        <v>0</v>
      </c>
      <c r="N878" s="657">
        <f>+IF(OR($Q878=Parametres!$G$2,$Q878=Parametres!$G$3),I878,C878)</f>
        <v>0</v>
      </c>
      <c r="O878" s="657">
        <f>+IF(OR($Q878=Parametres!$G$2,$Q878=Parametres!$G$3),J878,D878)</f>
        <v>0</v>
      </c>
      <c r="P878" s="657">
        <f>+IF(OR($Q878=Parametres!$G$2,$Q878=Parametres!$G$3),K878,E878)</f>
        <v>0</v>
      </c>
      <c r="Q878" s="656">
        <f t="shared" ref="Q878:S878" si="894">+F878</f>
        <v>0</v>
      </c>
      <c r="R878" s="655">
        <f t="shared" si="894"/>
        <v>0</v>
      </c>
      <c r="S878" s="656">
        <f t="shared" si="894"/>
        <v>0</v>
      </c>
      <c r="T878" s="658" t="e">
        <f>+VLOOKUP($L878,Data_Validation!$A:$D,1,0)</f>
        <v>#N/A</v>
      </c>
      <c r="U878" s="658" t="e">
        <f>+VLOOKUP($L878,Data_Validation!$A:$D,3,0)</f>
        <v>#N/A</v>
      </c>
      <c r="V878" s="658" t="e">
        <f>+VLOOKUP($L878,Data_Validation!$A:$D,4,0)</f>
        <v>#N/A</v>
      </c>
      <c r="W878" s="658" t="e">
        <f>+VLOOKUP($L878,Data_Validation!$A:$E,5,0)</f>
        <v>#N/A</v>
      </c>
    </row>
    <row r="879" spans="1:23" ht="15.75" customHeight="1">
      <c r="A879" s="718"/>
      <c r="B879" s="656"/>
      <c r="C879" s="719"/>
      <c r="D879" s="718"/>
      <c r="E879" s="718"/>
      <c r="F879" s="718"/>
      <c r="G879" s="718"/>
      <c r="H879" s="718"/>
      <c r="I879" s="718"/>
      <c r="J879" s="718"/>
      <c r="K879" s="718"/>
      <c r="L879" s="655" t="str">
        <f t="shared" si="850"/>
        <v>0</v>
      </c>
      <c r="M879" s="656">
        <f t="shared" si="780"/>
        <v>0</v>
      </c>
      <c r="N879" s="657">
        <f>+IF(OR($Q879=Parametres!$G$2,$Q879=Parametres!$G$3),I879,C879)</f>
        <v>0</v>
      </c>
      <c r="O879" s="657">
        <f>+IF(OR($Q879=Parametres!$G$2,$Q879=Parametres!$G$3),J879,D879)</f>
        <v>0</v>
      </c>
      <c r="P879" s="657">
        <f>+IF(OR($Q879=Parametres!$G$2,$Q879=Parametres!$G$3),K879,E879)</f>
        <v>0</v>
      </c>
      <c r="Q879" s="656">
        <f t="shared" ref="Q879:S879" si="895">+F879</f>
        <v>0</v>
      </c>
      <c r="R879" s="655">
        <f t="shared" si="895"/>
        <v>0</v>
      </c>
      <c r="S879" s="656">
        <f t="shared" si="895"/>
        <v>0</v>
      </c>
      <c r="T879" s="658" t="e">
        <f>+VLOOKUP($L879,Data_Validation!$A:$D,1,0)</f>
        <v>#N/A</v>
      </c>
      <c r="U879" s="658" t="e">
        <f>+VLOOKUP($L879,Data_Validation!$A:$D,3,0)</f>
        <v>#N/A</v>
      </c>
      <c r="V879" s="658" t="e">
        <f>+VLOOKUP($L879,Data_Validation!$A:$D,4,0)</f>
        <v>#N/A</v>
      </c>
      <c r="W879" s="658" t="e">
        <f>+VLOOKUP($L879,Data_Validation!$A:$E,5,0)</f>
        <v>#N/A</v>
      </c>
    </row>
    <row r="880" spans="1:23" ht="15.75" customHeight="1">
      <c r="A880" s="718"/>
      <c r="B880" s="656"/>
      <c r="C880" s="719"/>
      <c r="D880" s="718"/>
      <c r="E880" s="718"/>
      <c r="F880" s="718"/>
      <c r="G880" s="718"/>
      <c r="H880" s="718"/>
      <c r="I880" s="718"/>
      <c r="J880" s="718"/>
      <c r="K880" s="718"/>
      <c r="L880" s="655" t="str">
        <f t="shared" si="850"/>
        <v>0</v>
      </c>
      <c r="M880" s="656">
        <f t="shared" si="780"/>
        <v>0</v>
      </c>
      <c r="N880" s="657">
        <f>+IF(OR($Q880=Parametres!$G$2,$Q880=Parametres!$G$3),I880,C880)</f>
        <v>0</v>
      </c>
      <c r="O880" s="657">
        <f>+IF(OR($Q880=Parametres!$G$2,$Q880=Parametres!$G$3),J880,D880)</f>
        <v>0</v>
      </c>
      <c r="P880" s="657">
        <f>+IF(OR($Q880=Parametres!$G$2,$Q880=Parametres!$G$3),K880,E880)</f>
        <v>0</v>
      </c>
      <c r="Q880" s="656">
        <f t="shared" ref="Q880:S880" si="896">+F880</f>
        <v>0</v>
      </c>
      <c r="R880" s="655">
        <f t="shared" si="896"/>
        <v>0</v>
      </c>
      <c r="S880" s="656">
        <f t="shared" si="896"/>
        <v>0</v>
      </c>
      <c r="T880" s="658" t="e">
        <f>+VLOOKUP($L880,Data_Validation!$A:$D,1,0)</f>
        <v>#N/A</v>
      </c>
      <c r="U880" s="658" t="e">
        <f>+VLOOKUP($L880,Data_Validation!$A:$D,3,0)</f>
        <v>#N/A</v>
      </c>
      <c r="V880" s="658" t="e">
        <f>+VLOOKUP($L880,Data_Validation!$A:$D,4,0)</f>
        <v>#N/A</v>
      </c>
      <c r="W880" s="658" t="e">
        <f>+VLOOKUP($L880,Data_Validation!$A:$E,5,0)</f>
        <v>#N/A</v>
      </c>
    </row>
    <row r="881" spans="1:23" ht="15.75" customHeight="1">
      <c r="A881" s="718"/>
      <c r="B881" s="656"/>
      <c r="C881" s="719"/>
      <c r="D881" s="718"/>
      <c r="E881" s="718"/>
      <c r="F881" s="718"/>
      <c r="G881" s="718"/>
      <c r="H881" s="718"/>
      <c r="I881" s="718"/>
      <c r="J881" s="718"/>
      <c r="K881" s="718"/>
      <c r="L881" s="655" t="str">
        <f t="shared" si="850"/>
        <v>0</v>
      </c>
      <c r="M881" s="656">
        <f t="shared" si="780"/>
        <v>0</v>
      </c>
      <c r="N881" s="657">
        <f>+IF(OR($Q881=Parametres!$G$2,$Q881=Parametres!$G$3),I881,C881)</f>
        <v>0</v>
      </c>
      <c r="O881" s="657">
        <f>+IF(OR($Q881=Parametres!$G$2,$Q881=Parametres!$G$3),J881,D881)</f>
        <v>0</v>
      </c>
      <c r="P881" s="657">
        <f>+IF(OR($Q881=Parametres!$G$2,$Q881=Parametres!$G$3),K881,E881)</f>
        <v>0</v>
      </c>
      <c r="Q881" s="656">
        <f t="shared" ref="Q881:S881" si="897">+F881</f>
        <v>0</v>
      </c>
      <c r="R881" s="655">
        <f t="shared" si="897"/>
        <v>0</v>
      </c>
      <c r="S881" s="656">
        <f t="shared" si="897"/>
        <v>0</v>
      </c>
      <c r="T881" s="658" t="e">
        <f>+VLOOKUP($L881,Data_Validation!$A:$D,1,0)</f>
        <v>#N/A</v>
      </c>
      <c r="U881" s="658" t="e">
        <f>+VLOOKUP($L881,Data_Validation!$A:$D,3,0)</f>
        <v>#N/A</v>
      </c>
      <c r="V881" s="658" t="e">
        <f>+VLOOKUP($L881,Data_Validation!$A:$D,4,0)</f>
        <v>#N/A</v>
      </c>
      <c r="W881" s="658" t="e">
        <f>+VLOOKUP($L881,Data_Validation!$A:$E,5,0)</f>
        <v>#N/A</v>
      </c>
    </row>
    <row r="882" spans="1:23" ht="15.75" customHeight="1">
      <c r="A882" s="718"/>
      <c r="B882" s="656"/>
      <c r="C882" s="719"/>
      <c r="D882" s="718"/>
      <c r="E882" s="718"/>
      <c r="F882" s="718"/>
      <c r="G882" s="718"/>
      <c r="H882" s="718"/>
      <c r="I882" s="718"/>
      <c r="J882" s="718"/>
      <c r="K882" s="718"/>
      <c r="L882" s="655" t="str">
        <f t="shared" si="850"/>
        <v>0</v>
      </c>
      <c r="M882" s="656">
        <f t="shared" si="780"/>
        <v>0</v>
      </c>
      <c r="N882" s="657">
        <f>+IF(OR($Q882=Parametres!$G$2,$Q882=Parametres!$G$3),I882,C882)</f>
        <v>0</v>
      </c>
      <c r="O882" s="657">
        <f>+IF(OR($Q882=Parametres!$G$2,$Q882=Parametres!$G$3),J882,D882)</f>
        <v>0</v>
      </c>
      <c r="P882" s="657">
        <f>+IF(OR($Q882=Parametres!$G$2,$Q882=Parametres!$G$3),K882,E882)</f>
        <v>0</v>
      </c>
      <c r="Q882" s="656">
        <f t="shared" ref="Q882:S882" si="898">+F882</f>
        <v>0</v>
      </c>
      <c r="R882" s="655">
        <f t="shared" si="898"/>
        <v>0</v>
      </c>
      <c r="S882" s="656">
        <f t="shared" si="898"/>
        <v>0</v>
      </c>
      <c r="T882" s="658" t="e">
        <f>+VLOOKUP($L882,Data_Validation!$A:$D,1,0)</f>
        <v>#N/A</v>
      </c>
      <c r="U882" s="658" t="e">
        <f>+VLOOKUP($L882,Data_Validation!$A:$D,3,0)</f>
        <v>#N/A</v>
      </c>
      <c r="V882" s="658" t="e">
        <f>+VLOOKUP($L882,Data_Validation!$A:$D,4,0)</f>
        <v>#N/A</v>
      </c>
      <c r="W882" s="658" t="e">
        <f>+VLOOKUP($L882,Data_Validation!$A:$E,5,0)</f>
        <v>#N/A</v>
      </c>
    </row>
    <row r="883" spans="1:23" ht="15.75" customHeight="1">
      <c r="A883" s="718"/>
      <c r="B883" s="656"/>
      <c r="C883" s="719"/>
      <c r="D883" s="718"/>
      <c r="E883" s="718"/>
      <c r="F883" s="718"/>
      <c r="G883" s="718"/>
      <c r="H883" s="718"/>
      <c r="I883" s="718"/>
      <c r="J883" s="718"/>
      <c r="K883" s="718"/>
      <c r="L883" s="655" t="str">
        <f t="shared" si="850"/>
        <v>0</v>
      </c>
      <c r="M883" s="656">
        <f t="shared" si="780"/>
        <v>0</v>
      </c>
      <c r="N883" s="657">
        <f>+IF(OR($Q883=Parametres!$G$2,$Q883=Parametres!$G$3),I883,C883)</f>
        <v>0</v>
      </c>
      <c r="O883" s="657">
        <f>+IF(OR($Q883=Parametres!$G$2,$Q883=Parametres!$G$3),J883,D883)</f>
        <v>0</v>
      </c>
      <c r="P883" s="657">
        <f>+IF(OR($Q883=Parametres!$G$2,$Q883=Parametres!$G$3),K883,E883)</f>
        <v>0</v>
      </c>
      <c r="Q883" s="656">
        <f t="shared" ref="Q883:S883" si="899">+F883</f>
        <v>0</v>
      </c>
      <c r="R883" s="655">
        <f t="shared" si="899"/>
        <v>0</v>
      </c>
      <c r="S883" s="656">
        <f t="shared" si="899"/>
        <v>0</v>
      </c>
      <c r="T883" s="658" t="e">
        <f>+VLOOKUP($L883,Data_Validation!$A:$D,1,0)</f>
        <v>#N/A</v>
      </c>
      <c r="U883" s="658" t="e">
        <f>+VLOOKUP($L883,Data_Validation!$A:$D,3,0)</f>
        <v>#N/A</v>
      </c>
      <c r="V883" s="658" t="e">
        <f>+VLOOKUP($L883,Data_Validation!$A:$D,4,0)</f>
        <v>#N/A</v>
      </c>
      <c r="W883" s="658" t="e">
        <f>+VLOOKUP($L883,Data_Validation!$A:$E,5,0)</f>
        <v>#N/A</v>
      </c>
    </row>
    <row r="884" spans="1:23" ht="15.75" customHeight="1">
      <c r="A884" s="718"/>
      <c r="B884" s="656"/>
      <c r="C884" s="719"/>
      <c r="D884" s="718"/>
      <c r="E884" s="718"/>
      <c r="F884" s="718"/>
      <c r="G884" s="718"/>
      <c r="H884" s="718"/>
      <c r="I884" s="718"/>
      <c r="J884" s="718"/>
      <c r="K884" s="718"/>
      <c r="L884" s="655" t="str">
        <f t="shared" si="850"/>
        <v>0</v>
      </c>
      <c r="M884" s="656">
        <f t="shared" si="780"/>
        <v>0</v>
      </c>
      <c r="N884" s="657">
        <f>+IF(OR($Q884=Parametres!$G$2,$Q884=Parametres!$G$3),I884,C884)</f>
        <v>0</v>
      </c>
      <c r="O884" s="657">
        <f>+IF(OR($Q884=Parametres!$G$2,$Q884=Parametres!$G$3),J884,D884)</f>
        <v>0</v>
      </c>
      <c r="P884" s="657">
        <f>+IF(OR($Q884=Parametres!$G$2,$Q884=Parametres!$G$3),K884,E884)</f>
        <v>0</v>
      </c>
      <c r="Q884" s="656">
        <f t="shared" ref="Q884:S884" si="900">+F884</f>
        <v>0</v>
      </c>
      <c r="R884" s="655">
        <f t="shared" si="900"/>
        <v>0</v>
      </c>
      <c r="S884" s="656">
        <f t="shared" si="900"/>
        <v>0</v>
      </c>
      <c r="T884" s="658" t="e">
        <f>+VLOOKUP($L884,Data_Validation!$A:$D,1,0)</f>
        <v>#N/A</v>
      </c>
      <c r="U884" s="658" t="e">
        <f>+VLOOKUP($L884,Data_Validation!$A:$D,3,0)</f>
        <v>#N/A</v>
      </c>
      <c r="V884" s="658" t="e">
        <f>+VLOOKUP($L884,Data_Validation!$A:$D,4,0)</f>
        <v>#N/A</v>
      </c>
      <c r="W884" s="658" t="e">
        <f>+VLOOKUP($L884,Data_Validation!$A:$E,5,0)</f>
        <v>#N/A</v>
      </c>
    </row>
    <row r="885" spans="1:23" ht="15.75" customHeight="1">
      <c r="A885" s="718"/>
      <c r="B885" s="656"/>
      <c r="C885" s="719"/>
      <c r="D885" s="718"/>
      <c r="E885" s="718"/>
      <c r="F885" s="718"/>
      <c r="G885" s="718"/>
      <c r="H885" s="718"/>
      <c r="I885" s="718"/>
      <c r="J885" s="718"/>
      <c r="K885" s="718"/>
      <c r="L885" s="655" t="str">
        <f t="shared" si="850"/>
        <v>0</v>
      </c>
      <c r="M885" s="656">
        <f t="shared" si="780"/>
        <v>0</v>
      </c>
      <c r="N885" s="657">
        <f>+IF(OR($Q885=Parametres!$G$2,$Q885=Parametres!$G$3),I885,C885)</f>
        <v>0</v>
      </c>
      <c r="O885" s="657">
        <f>+IF(OR($Q885=Parametres!$G$2,$Q885=Parametres!$G$3),J885,D885)</f>
        <v>0</v>
      </c>
      <c r="P885" s="657">
        <f>+IF(OR($Q885=Parametres!$G$2,$Q885=Parametres!$G$3),K885,E885)</f>
        <v>0</v>
      </c>
      <c r="Q885" s="656">
        <f t="shared" ref="Q885:S885" si="901">+F885</f>
        <v>0</v>
      </c>
      <c r="R885" s="655">
        <f t="shared" si="901"/>
        <v>0</v>
      </c>
      <c r="S885" s="656">
        <f t="shared" si="901"/>
        <v>0</v>
      </c>
      <c r="T885" s="658" t="e">
        <f>+VLOOKUP($L885,Data_Validation!$A:$D,1,0)</f>
        <v>#N/A</v>
      </c>
      <c r="U885" s="658" t="e">
        <f>+VLOOKUP($L885,Data_Validation!$A:$D,3,0)</f>
        <v>#N/A</v>
      </c>
      <c r="V885" s="658" t="e">
        <f>+VLOOKUP($L885,Data_Validation!$A:$D,4,0)</f>
        <v>#N/A</v>
      </c>
      <c r="W885" s="658" t="e">
        <f>+VLOOKUP($L885,Data_Validation!$A:$E,5,0)</f>
        <v>#N/A</v>
      </c>
    </row>
    <row r="886" spans="1:23" ht="15.75" customHeight="1">
      <c r="A886" s="718"/>
      <c r="B886" s="656"/>
      <c r="C886" s="719"/>
      <c r="D886" s="718"/>
      <c r="E886" s="718"/>
      <c r="F886" s="718"/>
      <c r="G886" s="718"/>
      <c r="H886" s="718"/>
      <c r="I886" s="718"/>
      <c r="J886" s="718"/>
      <c r="K886" s="718"/>
      <c r="L886" s="655" t="str">
        <f t="shared" si="850"/>
        <v>0</v>
      </c>
      <c r="M886" s="656">
        <f t="shared" si="780"/>
        <v>0</v>
      </c>
      <c r="N886" s="657">
        <f>+IF(OR($Q886=Parametres!$G$2,$Q886=Parametres!$G$3),I886,C886)</f>
        <v>0</v>
      </c>
      <c r="O886" s="657">
        <f>+IF(OR($Q886=Parametres!$G$2,$Q886=Parametres!$G$3),J886,D886)</f>
        <v>0</v>
      </c>
      <c r="P886" s="657">
        <f>+IF(OR($Q886=Parametres!$G$2,$Q886=Parametres!$G$3),K886,E886)</f>
        <v>0</v>
      </c>
      <c r="Q886" s="656">
        <f t="shared" ref="Q886:S886" si="902">+F886</f>
        <v>0</v>
      </c>
      <c r="R886" s="655">
        <f t="shared" si="902"/>
        <v>0</v>
      </c>
      <c r="S886" s="656">
        <f t="shared" si="902"/>
        <v>0</v>
      </c>
      <c r="T886" s="658" t="e">
        <f>+VLOOKUP($L886,Data_Validation!$A:$D,1,0)</f>
        <v>#N/A</v>
      </c>
      <c r="U886" s="658" t="e">
        <f>+VLOOKUP($L886,Data_Validation!$A:$D,3,0)</f>
        <v>#N/A</v>
      </c>
      <c r="V886" s="658" t="e">
        <f>+VLOOKUP($L886,Data_Validation!$A:$D,4,0)</f>
        <v>#N/A</v>
      </c>
      <c r="W886" s="658" t="e">
        <f>+VLOOKUP($L886,Data_Validation!$A:$E,5,0)</f>
        <v>#N/A</v>
      </c>
    </row>
    <row r="887" spans="1:23" ht="15.75" customHeight="1">
      <c r="A887" s="718"/>
      <c r="B887" s="656"/>
      <c r="C887" s="719"/>
      <c r="D887" s="718"/>
      <c r="E887" s="718"/>
      <c r="F887" s="718"/>
      <c r="G887" s="718"/>
      <c r="H887" s="718"/>
      <c r="I887" s="718"/>
      <c r="J887" s="718"/>
      <c r="K887" s="718"/>
      <c r="L887" s="655" t="str">
        <f t="shared" si="850"/>
        <v>0</v>
      </c>
      <c r="M887" s="656">
        <f t="shared" si="780"/>
        <v>0</v>
      </c>
      <c r="N887" s="657">
        <f>+IF(OR($Q887=Parametres!$G$2,$Q887=Parametres!$G$3),I887,C887)</f>
        <v>0</v>
      </c>
      <c r="O887" s="657">
        <f>+IF(OR($Q887=Parametres!$G$2,$Q887=Parametres!$G$3),J887,D887)</f>
        <v>0</v>
      </c>
      <c r="P887" s="657">
        <f>+IF(OR($Q887=Parametres!$G$2,$Q887=Parametres!$G$3),K887,E887)</f>
        <v>0</v>
      </c>
      <c r="Q887" s="656">
        <f t="shared" ref="Q887:S887" si="903">+F887</f>
        <v>0</v>
      </c>
      <c r="R887" s="655">
        <f t="shared" si="903"/>
        <v>0</v>
      </c>
      <c r="S887" s="656">
        <f t="shared" si="903"/>
        <v>0</v>
      </c>
      <c r="T887" s="658" t="e">
        <f>+VLOOKUP($L887,Data_Validation!$A:$D,1,0)</f>
        <v>#N/A</v>
      </c>
      <c r="U887" s="658" t="e">
        <f>+VLOOKUP($L887,Data_Validation!$A:$D,3,0)</f>
        <v>#N/A</v>
      </c>
      <c r="V887" s="658" t="e">
        <f>+VLOOKUP($L887,Data_Validation!$A:$D,4,0)</f>
        <v>#N/A</v>
      </c>
      <c r="W887" s="658" t="e">
        <f>+VLOOKUP($L887,Data_Validation!$A:$E,5,0)</f>
        <v>#N/A</v>
      </c>
    </row>
    <row r="888" spans="1:23" ht="15.75" customHeight="1">
      <c r="A888" s="718"/>
      <c r="B888" s="656"/>
      <c r="C888" s="719"/>
      <c r="D888" s="718"/>
      <c r="E888" s="718"/>
      <c r="F888" s="718"/>
      <c r="G888" s="718"/>
      <c r="H888" s="718"/>
      <c r="I888" s="718"/>
      <c r="J888" s="718"/>
      <c r="K888" s="718"/>
      <c r="L888" s="655" t="str">
        <f t="shared" si="850"/>
        <v>0</v>
      </c>
      <c r="M888" s="656">
        <f t="shared" si="780"/>
        <v>0</v>
      </c>
      <c r="N888" s="657">
        <f>+IF(OR($Q888=Parametres!$G$2,$Q888=Parametres!$G$3),I888,C888)</f>
        <v>0</v>
      </c>
      <c r="O888" s="657">
        <f>+IF(OR($Q888=Parametres!$G$2,$Q888=Parametres!$G$3),J888,D888)</f>
        <v>0</v>
      </c>
      <c r="P888" s="657">
        <f>+IF(OR($Q888=Parametres!$G$2,$Q888=Parametres!$G$3),K888,E888)</f>
        <v>0</v>
      </c>
      <c r="Q888" s="656">
        <f t="shared" ref="Q888:S888" si="904">+F888</f>
        <v>0</v>
      </c>
      <c r="R888" s="655">
        <f t="shared" si="904"/>
        <v>0</v>
      </c>
      <c r="S888" s="656">
        <f t="shared" si="904"/>
        <v>0</v>
      </c>
      <c r="T888" s="658" t="e">
        <f>+VLOOKUP($L888,Data_Validation!$A:$D,1,0)</f>
        <v>#N/A</v>
      </c>
      <c r="U888" s="658" t="e">
        <f>+VLOOKUP($L888,Data_Validation!$A:$D,3,0)</f>
        <v>#N/A</v>
      </c>
      <c r="V888" s="658" t="e">
        <f>+VLOOKUP($L888,Data_Validation!$A:$D,4,0)</f>
        <v>#N/A</v>
      </c>
      <c r="W888" s="658" t="e">
        <f>+VLOOKUP($L888,Data_Validation!$A:$E,5,0)</f>
        <v>#N/A</v>
      </c>
    </row>
    <row r="889" spans="1:23" ht="15.75" customHeight="1">
      <c r="A889" s="718"/>
      <c r="B889" s="656"/>
      <c r="C889" s="719"/>
      <c r="D889" s="718"/>
      <c r="E889" s="718"/>
      <c r="F889" s="718"/>
      <c r="G889" s="718"/>
      <c r="H889" s="718"/>
      <c r="I889" s="718"/>
      <c r="J889" s="718"/>
      <c r="K889" s="718"/>
      <c r="L889" s="655" t="str">
        <f t="shared" si="850"/>
        <v>0</v>
      </c>
      <c r="M889" s="656">
        <f t="shared" si="780"/>
        <v>0</v>
      </c>
      <c r="N889" s="657">
        <f>+IF(OR($Q889=Parametres!$G$2,$Q889=Parametres!$G$3),I889,C889)</f>
        <v>0</v>
      </c>
      <c r="O889" s="657">
        <f>+IF(OR($Q889=Parametres!$G$2,$Q889=Parametres!$G$3),J889,D889)</f>
        <v>0</v>
      </c>
      <c r="P889" s="657">
        <f>+IF(OR($Q889=Parametres!$G$2,$Q889=Parametres!$G$3),K889,E889)</f>
        <v>0</v>
      </c>
      <c r="Q889" s="656">
        <f t="shared" ref="Q889:S889" si="905">+F889</f>
        <v>0</v>
      </c>
      <c r="R889" s="655">
        <f t="shared" si="905"/>
        <v>0</v>
      </c>
      <c r="S889" s="656">
        <f t="shared" si="905"/>
        <v>0</v>
      </c>
      <c r="T889" s="658" t="e">
        <f>+VLOOKUP($L889,Data_Validation!$A:$D,1,0)</f>
        <v>#N/A</v>
      </c>
      <c r="U889" s="658" t="e">
        <f>+VLOOKUP($L889,Data_Validation!$A:$D,3,0)</f>
        <v>#N/A</v>
      </c>
      <c r="V889" s="658" t="e">
        <f>+VLOOKUP($L889,Data_Validation!$A:$D,4,0)</f>
        <v>#N/A</v>
      </c>
      <c r="W889" s="658" t="e">
        <f>+VLOOKUP($L889,Data_Validation!$A:$E,5,0)</f>
        <v>#N/A</v>
      </c>
    </row>
    <row r="890" spans="1:23" ht="15.75" customHeight="1">
      <c r="A890" s="718"/>
      <c r="B890" s="656"/>
      <c r="C890" s="719"/>
      <c r="D890" s="718"/>
      <c r="E890" s="718"/>
      <c r="F890" s="718"/>
      <c r="G890" s="718"/>
      <c r="H890" s="718"/>
      <c r="I890" s="718"/>
      <c r="J890" s="718"/>
      <c r="K890" s="718"/>
      <c r="L890" s="655" t="str">
        <f t="shared" si="850"/>
        <v>0</v>
      </c>
      <c r="M890" s="656">
        <f t="shared" si="780"/>
        <v>0</v>
      </c>
      <c r="N890" s="657">
        <f>+IF(OR($Q890=Parametres!$G$2,$Q890=Parametres!$G$3),I890,C890)</f>
        <v>0</v>
      </c>
      <c r="O890" s="657">
        <f>+IF(OR($Q890=Parametres!$G$2,$Q890=Parametres!$G$3),J890,D890)</f>
        <v>0</v>
      </c>
      <c r="P890" s="657">
        <f>+IF(OR($Q890=Parametres!$G$2,$Q890=Parametres!$G$3),K890,E890)</f>
        <v>0</v>
      </c>
      <c r="Q890" s="656">
        <f t="shared" ref="Q890:S890" si="906">+F890</f>
        <v>0</v>
      </c>
      <c r="R890" s="655">
        <f t="shared" si="906"/>
        <v>0</v>
      </c>
      <c r="S890" s="656">
        <f t="shared" si="906"/>
        <v>0</v>
      </c>
      <c r="T890" s="658" t="e">
        <f>+VLOOKUP($L890,Data_Validation!$A:$D,1,0)</f>
        <v>#N/A</v>
      </c>
      <c r="U890" s="658" t="e">
        <f>+VLOOKUP($L890,Data_Validation!$A:$D,3,0)</f>
        <v>#N/A</v>
      </c>
      <c r="V890" s="658" t="e">
        <f>+VLOOKUP($L890,Data_Validation!$A:$D,4,0)</f>
        <v>#N/A</v>
      </c>
      <c r="W890" s="658" t="e">
        <f>+VLOOKUP($L890,Data_Validation!$A:$E,5,0)</f>
        <v>#N/A</v>
      </c>
    </row>
    <row r="891" spans="1:23" ht="15.75" customHeight="1">
      <c r="A891" s="718"/>
      <c r="B891" s="656"/>
      <c r="C891" s="719"/>
      <c r="D891" s="718"/>
      <c r="E891" s="718"/>
      <c r="F891" s="718"/>
      <c r="G891" s="718"/>
      <c r="H891" s="718"/>
      <c r="I891" s="718"/>
      <c r="J891" s="718"/>
      <c r="K891" s="718"/>
      <c r="L891" s="655" t="str">
        <f t="shared" si="850"/>
        <v>0</v>
      </c>
      <c r="M891" s="656">
        <f t="shared" si="780"/>
        <v>0</v>
      </c>
      <c r="N891" s="657">
        <f>+IF(OR($Q891=Parametres!$G$2,$Q891=Parametres!$G$3),I891,C891)</f>
        <v>0</v>
      </c>
      <c r="O891" s="657">
        <f>+IF(OR($Q891=Parametres!$G$2,$Q891=Parametres!$G$3),J891,D891)</f>
        <v>0</v>
      </c>
      <c r="P891" s="657">
        <f>+IF(OR($Q891=Parametres!$G$2,$Q891=Parametres!$G$3),K891,E891)</f>
        <v>0</v>
      </c>
      <c r="Q891" s="656">
        <f t="shared" ref="Q891:S891" si="907">+F891</f>
        <v>0</v>
      </c>
      <c r="R891" s="655">
        <f t="shared" si="907"/>
        <v>0</v>
      </c>
      <c r="S891" s="656">
        <f t="shared" si="907"/>
        <v>0</v>
      </c>
      <c r="T891" s="658" t="e">
        <f>+VLOOKUP($L891,Data_Validation!$A:$D,1,0)</f>
        <v>#N/A</v>
      </c>
      <c r="U891" s="658" t="e">
        <f>+VLOOKUP($L891,Data_Validation!$A:$D,3,0)</f>
        <v>#N/A</v>
      </c>
      <c r="V891" s="658" t="e">
        <f>+VLOOKUP($L891,Data_Validation!$A:$D,4,0)</f>
        <v>#N/A</v>
      </c>
      <c r="W891" s="658" t="e">
        <f>+VLOOKUP($L891,Data_Validation!$A:$E,5,0)</f>
        <v>#N/A</v>
      </c>
    </row>
    <row r="892" spans="1:23" ht="15.75" customHeight="1">
      <c r="A892" s="718"/>
      <c r="B892" s="656"/>
      <c r="C892" s="719"/>
      <c r="D892" s="718"/>
      <c r="E892" s="718"/>
      <c r="F892" s="718"/>
      <c r="G892" s="718"/>
      <c r="H892" s="718"/>
      <c r="I892" s="718"/>
      <c r="J892" s="718"/>
      <c r="K892" s="718"/>
      <c r="L892" s="655" t="str">
        <f t="shared" si="850"/>
        <v>0</v>
      </c>
      <c r="M892" s="656">
        <f t="shared" si="780"/>
        <v>0</v>
      </c>
      <c r="N892" s="657">
        <f>+IF(OR($Q892=Parametres!$G$2,$Q892=Parametres!$G$3),I892,C892)</f>
        <v>0</v>
      </c>
      <c r="O892" s="657">
        <f>+IF(OR($Q892=Parametres!$G$2,$Q892=Parametres!$G$3),J892,D892)</f>
        <v>0</v>
      </c>
      <c r="P892" s="657">
        <f>+IF(OR($Q892=Parametres!$G$2,$Q892=Parametres!$G$3),K892,E892)</f>
        <v>0</v>
      </c>
      <c r="Q892" s="656">
        <f t="shared" ref="Q892:S892" si="908">+F892</f>
        <v>0</v>
      </c>
      <c r="R892" s="655">
        <f t="shared" si="908"/>
        <v>0</v>
      </c>
      <c r="S892" s="656">
        <f t="shared" si="908"/>
        <v>0</v>
      </c>
      <c r="T892" s="658" t="e">
        <f>+VLOOKUP($L892,Data_Validation!$A:$D,1,0)</f>
        <v>#N/A</v>
      </c>
      <c r="U892" s="658" t="e">
        <f>+VLOOKUP($L892,Data_Validation!$A:$D,3,0)</f>
        <v>#N/A</v>
      </c>
      <c r="V892" s="658" t="e">
        <f>+VLOOKUP($L892,Data_Validation!$A:$D,4,0)</f>
        <v>#N/A</v>
      </c>
      <c r="W892" s="658" t="e">
        <f>+VLOOKUP($L892,Data_Validation!$A:$E,5,0)</f>
        <v>#N/A</v>
      </c>
    </row>
    <row r="893" spans="1:23" ht="15.75" customHeight="1">
      <c r="A893" s="718"/>
      <c r="B893" s="656"/>
      <c r="C893" s="719"/>
      <c r="D893" s="718"/>
      <c r="E893" s="718"/>
      <c r="F893" s="718"/>
      <c r="G893" s="718"/>
      <c r="H893" s="718"/>
      <c r="I893" s="718"/>
      <c r="J893" s="718"/>
      <c r="K893" s="718"/>
      <c r="L893" s="655" t="str">
        <f t="shared" si="850"/>
        <v>0</v>
      </c>
      <c r="M893" s="656">
        <f t="shared" si="780"/>
        <v>0</v>
      </c>
      <c r="N893" s="657">
        <f>+IF(OR($Q893=Parametres!$G$2,$Q893=Parametres!$G$3),I893,C893)</f>
        <v>0</v>
      </c>
      <c r="O893" s="657">
        <f>+IF(OR($Q893=Parametres!$G$2,$Q893=Parametres!$G$3),J893,D893)</f>
        <v>0</v>
      </c>
      <c r="P893" s="657">
        <f>+IF(OR($Q893=Parametres!$G$2,$Q893=Parametres!$G$3),K893,E893)</f>
        <v>0</v>
      </c>
      <c r="Q893" s="656">
        <f t="shared" ref="Q893:S893" si="909">+F893</f>
        <v>0</v>
      </c>
      <c r="R893" s="655">
        <f t="shared" si="909"/>
        <v>0</v>
      </c>
      <c r="S893" s="656">
        <f t="shared" si="909"/>
        <v>0</v>
      </c>
      <c r="T893" s="658" t="e">
        <f>+VLOOKUP($L893,Data_Validation!$A:$D,1,0)</f>
        <v>#N/A</v>
      </c>
      <c r="U893" s="658" t="e">
        <f>+VLOOKUP($L893,Data_Validation!$A:$D,3,0)</f>
        <v>#N/A</v>
      </c>
      <c r="V893" s="658" t="e">
        <f>+VLOOKUP($L893,Data_Validation!$A:$D,4,0)</f>
        <v>#N/A</v>
      </c>
      <c r="W893" s="658" t="e">
        <f>+VLOOKUP($L893,Data_Validation!$A:$E,5,0)</f>
        <v>#N/A</v>
      </c>
    </row>
    <row r="894" spans="1:23" ht="15.75" customHeight="1">
      <c r="A894" s="718"/>
      <c r="B894" s="656"/>
      <c r="C894" s="719"/>
      <c r="D894" s="718"/>
      <c r="E894" s="718"/>
      <c r="F894" s="718"/>
      <c r="G894" s="718"/>
      <c r="H894" s="718"/>
      <c r="I894" s="718"/>
      <c r="J894" s="718"/>
      <c r="K894" s="718"/>
      <c r="L894" s="655" t="str">
        <f t="shared" si="850"/>
        <v>0</v>
      </c>
      <c r="M894" s="656">
        <f t="shared" si="780"/>
        <v>0</v>
      </c>
      <c r="N894" s="657">
        <f>+IF(OR($Q894=Parametres!$G$2,$Q894=Parametres!$G$3),I894,C894)</f>
        <v>0</v>
      </c>
      <c r="O894" s="657">
        <f>+IF(OR($Q894=Parametres!$G$2,$Q894=Parametres!$G$3),J894,D894)</f>
        <v>0</v>
      </c>
      <c r="P894" s="657">
        <f>+IF(OR($Q894=Parametres!$G$2,$Q894=Parametres!$G$3),K894,E894)</f>
        <v>0</v>
      </c>
      <c r="Q894" s="656">
        <f t="shared" ref="Q894:S894" si="910">+F894</f>
        <v>0</v>
      </c>
      <c r="R894" s="655">
        <f t="shared" si="910"/>
        <v>0</v>
      </c>
      <c r="S894" s="656">
        <f t="shared" si="910"/>
        <v>0</v>
      </c>
      <c r="T894" s="658" t="e">
        <f>+VLOOKUP($L894,Data_Validation!$A:$D,1,0)</f>
        <v>#N/A</v>
      </c>
      <c r="U894" s="658" t="e">
        <f>+VLOOKUP($L894,Data_Validation!$A:$D,3,0)</f>
        <v>#N/A</v>
      </c>
      <c r="V894" s="658" t="e">
        <f>+VLOOKUP($L894,Data_Validation!$A:$D,4,0)</f>
        <v>#N/A</v>
      </c>
      <c r="W894" s="658" t="e">
        <f>+VLOOKUP($L894,Data_Validation!$A:$E,5,0)</f>
        <v>#N/A</v>
      </c>
    </row>
    <row r="895" spans="1:23" ht="15.75" customHeight="1">
      <c r="A895" s="718"/>
      <c r="B895" s="656"/>
      <c r="C895" s="719"/>
      <c r="D895" s="718"/>
      <c r="E895" s="718"/>
      <c r="F895" s="718"/>
      <c r="G895" s="718"/>
      <c r="H895" s="718"/>
      <c r="I895" s="718"/>
      <c r="J895" s="718"/>
      <c r="K895" s="718"/>
      <c r="L895" s="655" t="str">
        <f t="shared" si="850"/>
        <v>0</v>
      </c>
      <c r="M895" s="656">
        <f t="shared" si="780"/>
        <v>0</v>
      </c>
      <c r="N895" s="657">
        <f>+IF(OR($Q895=Parametres!$G$2,$Q895=Parametres!$G$3),I895,C895)</f>
        <v>0</v>
      </c>
      <c r="O895" s="657">
        <f>+IF(OR($Q895=Parametres!$G$2,$Q895=Parametres!$G$3),J895,D895)</f>
        <v>0</v>
      </c>
      <c r="P895" s="657">
        <f>+IF(OR($Q895=Parametres!$G$2,$Q895=Parametres!$G$3),K895,E895)</f>
        <v>0</v>
      </c>
      <c r="Q895" s="656">
        <f t="shared" ref="Q895:S895" si="911">+F895</f>
        <v>0</v>
      </c>
      <c r="R895" s="655">
        <f t="shared" si="911"/>
        <v>0</v>
      </c>
      <c r="S895" s="656">
        <f t="shared" si="911"/>
        <v>0</v>
      </c>
      <c r="T895" s="658" t="e">
        <f>+VLOOKUP($L895,Data_Validation!$A:$D,1,0)</f>
        <v>#N/A</v>
      </c>
      <c r="U895" s="658" t="e">
        <f>+VLOOKUP($L895,Data_Validation!$A:$D,3,0)</f>
        <v>#N/A</v>
      </c>
      <c r="V895" s="658" t="e">
        <f>+VLOOKUP($L895,Data_Validation!$A:$D,4,0)</f>
        <v>#N/A</v>
      </c>
      <c r="W895" s="658" t="e">
        <f>+VLOOKUP($L895,Data_Validation!$A:$E,5,0)</f>
        <v>#N/A</v>
      </c>
    </row>
    <row r="896" spans="1:23" ht="15.75" customHeight="1">
      <c r="A896" s="718"/>
      <c r="B896" s="656"/>
      <c r="C896" s="719"/>
      <c r="D896" s="718"/>
      <c r="E896" s="718"/>
      <c r="F896" s="718"/>
      <c r="G896" s="718"/>
      <c r="H896" s="718"/>
      <c r="I896" s="718"/>
      <c r="J896" s="718"/>
      <c r="K896" s="718"/>
      <c r="L896" s="655" t="str">
        <f t="shared" si="850"/>
        <v>0</v>
      </c>
      <c r="M896" s="656">
        <f t="shared" si="780"/>
        <v>0</v>
      </c>
      <c r="N896" s="657">
        <f>+IF(OR($Q896=Parametres!$G$2,$Q896=Parametres!$G$3),I896,C896)</f>
        <v>0</v>
      </c>
      <c r="O896" s="657">
        <f>+IF(OR($Q896=Parametres!$G$2,$Q896=Parametres!$G$3),J896,D896)</f>
        <v>0</v>
      </c>
      <c r="P896" s="657">
        <f>+IF(OR($Q896=Parametres!$G$2,$Q896=Parametres!$G$3),K896,E896)</f>
        <v>0</v>
      </c>
      <c r="Q896" s="656">
        <f t="shared" ref="Q896:S896" si="912">+F896</f>
        <v>0</v>
      </c>
      <c r="R896" s="655">
        <f t="shared" si="912"/>
        <v>0</v>
      </c>
      <c r="S896" s="656">
        <f t="shared" si="912"/>
        <v>0</v>
      </c>
      <c r="T896" s="658" t="e">
        <f>+VLOOKUP($L896,Data_Validation!$A:$D,1,0)</f>
        <v>#N/A</v>
      </c>
      <c r="U896" s="658" t="e">
        <f>+VLOOKUP($L896,Data_Validation!$A:$D,3,0)</f>
        <v>#N/A</v>
      </c>
      <c r="V896" s="658" t="e">
        <f>+VLOOKUP($L896,Data_Validation!$A:$D,4,0)</f>
        <v>#N/A</v>
      </c>
      <c r="W896" s="658" t="e">
        <f>+VLOOKUP($L896,Data_Validation!$A:$E,5,0)</f>
        <v>#N/A</v>
      </c>
    </row>
    <row r="897" spans="1:23" ht="15.75" customHeight="1">
      <c r="A897" s="718"/>
      <c r="B897" s="656"/>
      <c r="C897" s="719"/>
      <c r="D897" s="718"/>
      <c r="E897" s="718"/>
      <c r="F897" s="718"/>
      <c r="G897" s="718"/>
      <c r="H897" s="718"/>
      <c r="I897" s="718"/>
      <c r="J897" s="718"/>
      <c r="K897" s="718"/>
      <c r="L897" s="655" t="str">
        <f t="shared" si="850"/>
        <v>0</v>
      </c>
      <c r="M897" s="656">
        <f t="shared" si="780"/>
        <v>0</v>
      </c>
      <c r="N897" s="657">
        <f>+IF(OR($Q897=Parametres!$G$2,$Q897=Parametres!$G$3),I897,C897)</f>
        <v>0</v>
      </c>
      <c r="O897" s="657">
        <f>+IF(OR($Q897=Parametres!$G$2,$Q897=Parametres!$G$3),J897,D897)</f>
        <v>0</v>
      </c>
      <c r="P897" s="657">
        <f>+IF(OR($Q897=Parametres!$G$2,$Q897=Parametres!$G$3),K897,E897)</f>
        <v>0</v>
      </c>
      <c r="Q897" s="656">
        <f t="shared" ref="Q897:S897" si="913">+F897</f>
        <v>0</v>
      </c>
      <c r="R897" s="655">
        <f t="shared" si="913"/>
        <v>0</v>
      </c>
      <c r="S897" s="656">
        <f t="shared" si="913"/>
        <v>0</v>
      </c>
      <c r="T897" s="658" t="e">
        <f>+VLOOKUP($L897,Data_Validation!$A:$D,1,0)</f>
        <v>#N/A</v>
      </c>
      <c r="U897" s="658" t="e">
        <f>+VLOOKUP($L897,Data_Validation!$A:$D,3,0)</f>
        <v>#N/A</v>
      </c>
      <c r="V897" s="658" t="e">
        <f>+VLOOKUP($L897,Data_Validation!$A:$D,4,0)</f>
        <v>#N/A</v>
      </c>
      <c r="W897" s="658" t="e">
        <f>+VLOOKUP($L897,Data_Validation!$A:$E,5,0)</f>
        <v>#N/A</v>
      </c>
    </row>
    <row r="898" spans="1:23" ht="15.75" customHeight="1">
      <c r="A898" s="718"/>
      <c r="B898" s="656"/>
      <c r="C898" s="719"/>
      <c r="D898" s="718"/>
      <c r="E898" s="718"/>
      <c r="F898" s="718"/>
      <c r="G898" s="718"/>
      <c r="H898" s="718"/>
      <c r="I898" s="718"/>
      <c r="J898" s="718"/>
      <c r="K898" s="718"/>
      <c r="L898" s="655" t="str">
        <f t="shared" si="850"/>
        <v>0</v>
      </c>
      <c r="M898" s="656">
        <f t="shared" si="780"/>
        <v>0</v>
      </c>
      <c r="N898" s="657">
        <f>+IF(OR($Q898=Parametres!$G$2,$Q898=Parametres!$G$3),I898,C898)</f>
        <v>0</v>
      </c>
      <c r="O898" s="657">
        <f>+IF(OR($Q898=Parametres!$G$2,$Q898=Parametres!$G$3),J898,D898)</f>
        <v>0</v>
      </c>
      <c r="P898" s="657">
        <f>+IF(OR($Q898=Parametres!$G$2,$Q898=Parametres!$G$3),K898,E898)</f>
        <v>0</v>
      </c>
      <c r="Q898" s="656">
        <f t="shared" ref="Q898:S898" si="914">+F898</f>
        <v>0</v>
      </c>
      <c r="R898" s="655">
        <f t="shared" si="914"/>
        <v>0</v>
      </c>
      <c r="S898" s="656">
        <f t="shared" si="914"/>
        <v>0</v>
      </c>
      <c r="T898" s="658" t="e">
        <f>+VLOOKUP($L898,Data_Validation!$A:$D,1,0)</f>
        <v>#N/A</v>
      </c>
      <c r="U898" s="658" t="e">
        <f>+VLOOKUP($L898,Data_Validation!$A:$D,3,0)</f>
        <v>#N/A</v>
      </c>
      <c r="V898" s="658" t="e">
        <f>+VLOOKUP($L898,Data_Validation!$A:$D,4,0)</f>
        <v>#N/A</v>
      </c>
      <c r="W898" s="658" t="e">
        <f>+VLOOKUP($L898,Data_Validation!$A:$E,5,0)</f>
        <v>#N/A</v>
      </c>
    </row>
    <row r="899" spans="1:23" ht="15.75" customHeight="1">
      <c r="A899" s="718"/>
      <c r="B899" s="656"/>
      <c r="C899" s="719"/>
      <c r="D899" s="718"/>
      <c r="E899" s="718"/>
      <c r="F899" s="718"/>
      <c r="G899" s="718"/>
      <c r="H899" s="718"/>
      <c r="I899" s="718"/>
      <c r="J899" s="718"/>
      <c r="K899" s="718"/>
      <c r="L899" s="655" t="str">
        <f t="shared" ref="L899:L962" si="915">TEXT(B899,0)</f>
        <v>0</v>
      </c>
      <c r="M899" s="656">
        <f t="shared" si="780"/>
        <v>0</v>
      </c>
      <c r="N899" s="657">
        <f>+IF(OR($Q899=Parametres!$G$2,$Q899=Parametres!$G$3),I899,C899)</f>
        <v>0</v>
      </c>
      <c r="O899" s="657">
        <f>+IF(OR($Q899=Parametres!$G$2,$Q899=Parametres!$G$3),J899,D899)</f>
        <v>0</v>
      </c>
      <c r="P899" s="657">
        <f>+IF(OR($Q899=Parametres!$G$2,$Q899=Parametres!$G$3),K899,E899)</f>
        <v>0</v>
      </c>
      <c r="Q899" s="656">
        <f t="shared" ref="Q899:S899" si="916">+F899</f>
        <v>0</v>
      </c>
      <c r="R899" s="655">
        <f t="shared" si="916"/>
        <v>0</v>
      </c>
      <c r="S899" s="656">
        <f t="shared" si="916"/>
        <v>0</v>
      </c>
      <c r="T899" s="658" t="e">
        <f>+VLOOKUP($L899,Data_Validation!$A:$D,1,0)</f>
        <v>#N/A</v>
      </c>
      <c r="U899" s="658" t="e">
        <f>+VLOOKUP($L899,Data_Validation!$A:$D,3,0)</f>
        <v>#N/A</v>
      </c>
      <c r="V899" s="658" t="e">
        <f>+VLOOKUP($L899,Data_Validation!$A:$D,4,0)</f>
        <v>#N/A</v>
      </c>
      <c r="W899" s="658" t="e">
        <f>+VLOOKUP($L899,Data_Validation!$A:$E,5,0)</f>
        <v>#N/A</v>
      </c>
    </row>
    <row r="900" spans="1:23" ht="15.75" customHeight="1">
      <c r="A900" s="718"/>
      <c r="B900" s="656"/>
      <c r="C900" s="719"/>
      <c r="D900" s="718"/>
      <c r="E900" s="718"/>
      <c r="F900" s="718"/>
      <c r="G900" s="718"/>
      <c r="H900" s="718"/>
      <c r="I900" s="718"/>
      <c r="J900" s="718"/>
      <c r="K900" s="718"/>
      <c r="L900" s="655" t="str">
        <f t="shared" si="915"/>
        <v>0</v>
      </c>
      <c r="M900" s="656">
        <f t="shared" si="780"/>
        <v>0</v>
      </c>
      <c r="N900" s="657">
        <f>+IF(OR($Q900=Parametres!$G$2,$Q900=Parametres!$G$3),I900,C900)</f>
        <v>0</v>
      </c>
      <c r="O900" s="657">
        <f>+IF(OR($Q900=Parametres!$G$2,$Q900=Parametres!$G$3),J900,D900)</f>
        <v>0</v>
      </c>
      <c r="P900" s="657">
        <f>+IF(OR($Q900=Parametres!$G$2,$Q900=Parametres!$G$3),K900,E900)</f>
        <v>0</v>
      </c>
      <c r="Q900" s="656">
        <f t="shared" ref="Q900:S900" si="917">+F900</f>
        <v>0</v>
      </c>
      <c r="R900" s="655">
        <f t="shared" si="917"/>
        <v>0</v>
      </c>
      <c r="S900" s="656">
        <f t="shared" si="917"/>
        <v>0</v>
      </c>
      <c r="T900" s="658" t="e">
        <f>+VLOOKUP($L900,Data_Validation!$A:$D,1,0)</f>
        <v>#N/A</v>
      </c>
      <c r="U900" s="658" t="e">
        <f>+VLOOKUP($L900,Data_Validation!$A:$D,3,0)</f>
        <v>#N/A</v>
      </c>
      <c r="V900" s="658" t="e">
        <f>+VLOOKUP($L900,Data_Validation!$A:$D,4,0)</f>
        <v>#N/A</v>
      </c>
      <c r="W900" s="658" t="e">
        <f>+VLOOKUP($L900,Data_Validation!$A:$E,5,0)</f>
        <v>#N/A</v>
      </c>
    </row>
    <row r="901" spans="1:23" ht="15.75" customHeight="1">
      <c r="A901" s="718"/>
      <c r="B901" s="656"/>
      <c r="C901" s="719"/>
      <c r="D901" s="718"/>
      <c r="E901" s="718"/>
      <c r="F901" s="718"/>
      <c r="G901" s="718"/>
      <c r="H901" s="718"/>
      <c r="I901" s="718"/>
      <c r="J901" s="718"/>
      <c r="K901" s="718"/>
      <c r="L901" s="655" t="str">
        <f t="shared" si="915"/>
        <v>0</v>
      </c>
      <c r="M901" s="656">
        <f t="shared" si="780"/>
        <v>0</v>
      </c>
      <c r="N901" s="657">
        <f>+IF(OR($Q901=Parametres!$G$2,$Q901=Parametres!$G$3),I901,C901)</f>
        <v>0</v>
      </c>
      <c r="O901" s="657">
        <f>+IF(OR($Q901=Parametres!$G$2,$Q901=Parametres!$G$3),J901,D901)</f>
        <v>0</v>
      </c>
      <c r="P901" s="657">
        <f>+IF(OR($Q901=Parametres!$G$2,$Q901=Parametres!$G$3),K901,E901)</f>
        <v>0</v>
      </c>
      <c r="Q901" s="656">
        <f t="shared" ref="Q901:S901" si="918">+F901</f>
        <v>0</v>
      </c>
      <c r="R901" s="655">
        <f t="shared" si="918"/>
        <v>0</v>
      </c>
      <c r="S901" s="656">
        <f t="shared" si="918"/>
        <v>0</v>
      </c>
      <c r="T901" s="658" t="e">
        <f>+VLOOKUP($L901,Data_Validation!$A:$D,1,0)</f>
        <v>#N/A</v>
      </c>
      <c r="U901" s="658" t="e">
        <f>+VLOOKUP($L901,Data_Validation!$A:$D,3,0)</f>
        <v>#N/A</v>
      </c>
      <c r="V901" s="658" t="e">
        <f>+VLOOKUP($L901,Data_Validation!$A:$D,4,0)</f>
        <v>#N/A</v>
      </c>
      <c r="W901" s="658" t="e">
        <f>+VLOOKUP($L901,Data_Validation!$A:$E,5,0)</f>
        <v>#N/A</v>
      </c>
    </row>
    <row r="902" spans="1:23" ht="15.75" customHeight="1">
      <c r="A902" s="718"/>
      <c r="B902" s="656"/>
      <c r="C902" s="719"/>
      <c r="D902" s="718"/>
      <c r="E902" s="718"/>
      <c r="F902" s="718"/>
      <c r="G902" s="718"/>
      <c r="H902" s="718"/>
      <c r="I902" s="718"/>
      <c r="J902" s="718"/>
      <c r="K902" s="718"/>
      <c r="L902" s="655" t="str">
        <f t="shared" si="915"/>
        <v>0</v>
      </c>
      <c r="M902" s="656">
        <f t="shared" si="780"/>
        <v>0</v>
      </c>
      <c r="N902" s="657">
        <f>+IF(OR($Q902=Parametres!$G$2,$Q902=Parametres!$G$3),I902,C902)</f>
        <v>0</v>
      </c>
      <c r="O902" s="657">
        <f>+IF(OR($Q902=Parametres!$G$2,$Q902=Parametres!$G$3),J902,D902)</f>
        <v>0</v>
      </c>
      <c r="P902" s="657">
        <f>+IF(OR($Q902=Parametres!$G$2,$Q902=Parametres!$G$3),K902,E902)</f>
        <v>0</v>
      </c>
      <c r="Q902" s="656">
        <f t="shared" ref="Q902:S902" si="919">+F902</f>
        <v>0</v>
      </c>
      <c r="R902" s="655">
        <f t="shared" si="919"/>
        <v>0</v>
      </c>
      <c r="S902" s="656">
        <f t="shared" si="919"/>
        <v>0</v>
      </c>
      <c r="T902" s="658" t="e">
        <f>+VLOOKUP($L902,Data_Validation!$A:$D,1,0)</f>
        <v>#N/A</v>
      </c>
      <c r="U902" s="658" t="e">
        <f>+VLOOKUP($L902,Data_Validation!$A:$D,3,0)</f>
        <v>#N/A</v>
      </c>
      <c r="V902" s="658" t="e">
        <f>+VLOOKUP($L902,Data_Validation!$A:$D,4,0)</f>
        <v>#N/A</v>
      </c>
      <c r="W902" s="658" t="e">
        <f>+VLOOKUP($L902,Data_Validation!$A:$E,5,0)</f>
        <v>#N/A</v>
      </c>
    </row>
    <row r="903" spans="1:23" ht="15.75" customHeight="1">
      <c r="A903" s="718"/>
      <c r="B903" s="656"/>
      <c r="C903" s="719"/>
      <c r="D903" s="718"/>
      <c r="E903" s="718"/>
      <c r="F903" s="718"/>
      <c r="G903" s="718"/>
      <c r="H903" s="718"/>
      <c r="I903" s="718"/>
      <c r="J903" s="718"/>
      <c r="K903" s="718"/>
      <c r="L903" s="655" t="str">
        <f t="shared" si="915"/>
        <v>0</v>
      </c>
      <c r="M903" s="656">
        <f t="shared" si="780"/>
        <v>0</v>
      </c>
      <c r="N903" s="657">
        <f>+IF(OR($Q903=Parametres!$G$2,$Q903=Parametres!$G$3),I903,C903)</f>
        <v>0</v>
      </c>
      <c r="O903" s="657">
        <f>+IF(OR($Q903=Parametres!$G$2,$Q903=Parametres!$G$3),J903,D903)</f>
        <v>0</v>
      </c>
      <c r="P903" s="657">
        <f>+IF(OR($Q903=Parametres!$G$2,$Q903=Parametres!$G$3),K903,E903)</f>
        <v>0</v>
      </c>
      <c r="Q903" s="656">
        <f t="shared" ref="Q903:S903" si="920">+F903</f>
        <v>0</v>
      </c>
      <c r="R903" s="655">
        <f t="shared" si="920"/>
        <v>0</v>
      </c>
      <c r="S903" s="656">
        <f t="shared" si="920"/>
        <v>0</v>
      </c>
      <c r="T903" s="658" t="e">
        <f>+VLOOKUP($L903,Data_Validation!$A:$D,1,0)</f>
        <v>#N/A</v>
      </c>
      <c r="U903" s="658" t="e">
        <f>+VLOOKUP($L903,Data_Validation!$A:$D,3,0)</f>
        <v>#N/A</v>
      </c>
      <c r="V903" s="658" t="e">
        <f>+VLOOKUP($L903,Data_Validation!$A:$D,4,0)</f>
        <v>#N/A</v>
      </c>
      <c r="W903" s="658" t="e">
        <f>+VLOOKUP($L903,Data_Validation!$A:$E,5,0)</f>
        <v>#N/A</v>
      </c>
    </row>
    <row r="904" spans="1:23" ht="15.75" customHeight="1">
      <c r="A904" s="718"/>
      <c r="B904" s="656"/>
      <c r="C904" s="719"/>
      <c r="D904" s="718"/>
      <c r="E904" s="718"/>
      <c r="F904" s="718"/>
      <c r="G904" s="718"/>
      <c r="H904" s="718"/>
      <c r="I904" s="718"/>
      <c r="J904" s="718"/>
      <c r="K904" s="718"/>
      <c r="L904" s="655" t="str">
        <f t="shared" si="915"/>
        <v>0</v>
      </c>
      <c r="M904" s="656">
        <f t="shared" si="780"/>
        <v>0</v>
      </c>
      <c r="N904" s="657">
        <f>+IF(OR($Q904=Parametres!$G$2,$Q904=Parametres!$G$3),I904,C904)</f>
        <v>0</v>
      </c>
      <c r="O904" s="657">
        <f>+IF(OR($Q904=Parametres!$G$2,$Q904=Parametres!$G$3),J904,D904)</f>
        <v>0</v>
      </c>
      <c r="P904" s="657">
        <f>+IF(OR($Q904=Parametres!$G$2,$Q904=Parametres!$G$3),K904,E904)</f>
        <v>0</v>
      </c>
      <c r="Q904" s="656">
        <f t="shared" ref="Q904:S904" si="921">+F904</f>
        <v>0</v>
      </c>
      <c r="R904" s="655">
        <f t="shared" si="921"/>
        <v>0</v>
      </c>
      <c r="S904" s="656">
        <f t="shared" si="921"/>
        <v>0</v>
      </c>
      <c r="T904" s="658" t="e">
        <f>+VLOOKUP($L904,Data_Validation!$A:$D,1,0)</f>
        <v>#N/A</v>
      </c>
      <c r="U904" s="658" t="e">
        <f>+VLOOKUP($L904,Data_Validation!$A:$D,3,0)</f>
        <v>#N/A</v>
      </c>
      <c r="V904" s="658" t="e">
        <f>+VLOOKUP($L904,Data_Validation!$A:$D,4,0)</f>
        <v>#N/A</v>
      </c>
      <c r="W904" s="658" t="e">
        <f>+VLOOKUP($L904,Data_Validation!$A:$E,5,0)</f>
        <v>#N/A</v>
      </c>
    </row>
    <row r="905" spans="1:23" ht="15.75" customHeight="1">
      <c r="A905" s="718"/>
      <c r="B905" s="656"/>
      <c r="C905" s="719"/>
      <c r="D905" s="718"/>
      <c r="E905" s="718"/>
      <c r="F905" s="718"/>
      <c r="G905" s="718"/>
      <c r="H905" s="718"/>
      <c r="I905" s="718"/>
      <c r="J905" s="718"/>
      <c r="K905" s="718"/>
      <c r="L905" s="655" t="str">
        <f t="shared" si="915"/>
        <v>0</v>
      </c>
      <c r="M905" s="656">
        <f t="shared" si="780"/>
        <v>0</v>
      </c>
      <c r="N905" s="657">
        <f>+IF(OR($Q905=Parametres!$G$2,$Q905=Parametres!$G$3),I905,C905)</f>
        <v>0</v>
      </c>
      <c r="O905" s="657">
        <f>+IF(OR($Q905=Parametres!$G$2,$Q905=Parametres!$G$3),J905,D905)</f>
        <v>0</v>
      </c>
      <c r="P905" s="657">
        <f>+IF(OR($Q905=Parametres!$G$2,$Q905=Parametres!$G$3),K905,E905)</f>
        <v>0</v>
      </c>
      <c r="Q905" s="656">
        <f t="shared" ref="Q905:S905" si="922">+F905</f>
        <v>0</v>
      </c>
      <c r="R905" s="655">
        <f t="shared" si="922"/>
        <v>0</v>
      </c>
      <c r="S905" s="656">
        <f t="shared" si="922"/>
        <v>0</v>
      </c>
      <c r="T905" s="658" t="e">
        <f>+VLOOKUP($L905,Data_Validation!$A:$D,1,0)</f>
        <v>#N/A</v>
      </c>
      <c r="U905" s="658" t="e">
        <f>+VLOOKUP($L905,Data_Validation!$A:$D,3,0)</f>
        <v>#N/A</v>
      </c>
      <c r="V905" s="658" t="e">
        <f>+VLOOKUP($L905,Data_Validation!$A:$D,4,0)</f>
        <v>#N/A</v>
      </c>
      <c r="W905" s="658" t="e">
        <f>+VLOOKUP($L905,Data_Validation!$A:$E,5,0)</f>
        <v>#N/A</v>
      </c>
    </row>
    <row r="906" spans="1:23" ht="15.75" customHeight="1">
      <c r="A906" s="718"/>
      <c r="B906" s="656"/>
      <c r="C906" s="719"/>
      <c r="D906" s="718"/>
      <c r="E906" s="718"/>
      <c r="F906" s="718"/>
      <c r="G906" s="718"/>
      <c r="H906" s="718"/>
      <c r="I906" s="718"/>
      <c r="J906" s="718"/>
      <c r="K906" s="718"/>
      <c r="L906" s="655" t="str">
        <f t="shared" si="915"/>
        <v>0</v>
      </c>
      <c r="M906" s="656">
        <f t="shared" si="780"/>
        <v>0</v>
      </c>
      <c r="N906" s="657">
        <f>+IF(OR($Q906=Parametres!$G$2,$Q906=Parametres!$G$3),I906,C906)</f>
        <v>0</v>
      </c>
      <c r="O906" s="657">
        <f>+IF(OR($Q906=Parametres!$G$2,$Q906=Parametres!$G$3),J906,D906)</f>
        <v>0</v>
      </c>
      <c r="P906" s="657">
        <f>+IF(OR($Q906=Parametres!$G$2,$Q906=Parametres!$G$3),K906,E906)</f>
        <v>0</v>
      </c>
      <c r="Q906" s="656">
        <f t="shared" ref="Q906:S906" si="923">+F906</f>
        <v>0</v>
      </c>
      <c r="R906" s="655">
        <f t="shared" si="923"/>
        <v>0</v>
      </c>
      <c r="S906" s="656">
        <f t="shared" si="923"/>
        <v>0</v>
      </c>
      <c r="T906" s="658" t="e">
        <f>+VLOOKUP($L906,Data_Validation!$A:$D,1,0)</f>
        <v>#N/A</v>
      </c>
      <c r="U906" s="658" t="e">
        <f>+VLOOKUP($L906,Data_Validation!$A:$D,3,0)</f>
        <v>#N/A</v>
      </c>
      <c r="V906" s="658" t="e">
        <f>+VLOOKUP($L906,Data_Validation!$A:$D,4,0)</f>
        <v>#N/A</v>
      </c>
      <c r="W906" s="658" t="e">
        <f>+VLOOKUP($L906,Data_Validation!$A:$E,5,0)</f>
        <v>#N/A</v>
      </c>
    </row>
    <row r="907" spans="1:23" ht="15.75" customHeight="1">
      <c r="A907" s="718"/>
      <c r="B907" s="656"/>
      <c r="C907" s="719"/>
      <c r="D907" s="718"/>
      <c r="E907" s="718"/>
      <c r="F907" s="718"/>
      <c r="G907" s="718"/>
      <c r="H907" s="718"/>
      <c r="I907" s="718"/>
      <c r="J907" s="718"/>
      <c r="K907" s="718"/>
      <c r="L907" s="655" t="str">
        <f t="shared" si="915"/>
        <v>0</v>
      </c>
      <c r="M907" s="656">
        <f t="shared" si="780"/>
        <v>0</v>
      </c>
      <c r="N907" s="657">
        <f>+IF(OR($Q907=Parametres!$G$2,$Q907=Parametres!$G$3),I907,C907)</f>
        <v>0</v>
      </c>
      <c r="O907" s="657">
        <f>+IF(OR($Q907=Parametres!$G$2,$Q907=Parametres!$G$3),J907,D907)</f>
        <v>0</v>
      </c>
      <c r="P907" s="657">
        <f>+IF(OR($Q907=Parametres!$G$2,$Q907=Parametres!$G$3),K907,E907)</f>
        <v>0</v>
      </c>
      <c r="Q907" s="656">
        <f t="shared" ref="Q907:S907" si="924">+F907</f>
        <v>0</v>
      </c>
      <c r="R907" s="655">
        <f t="shared" si="924"/>
        <v>0</v>
      </c>
      <c r="S907" s="656">
        <f t="shared" si="924"/>
        <v>0</v>
      </c>
      <c r="T907" s="658" t="e">
        <f>+VLOOKUP($L907,Data_Validation!$A:$D,1,0)</f>
        <v>#N/A</v>
      </c>
      <c r="U907" s="658" t="e">
        <f>+VLOOKUP($L907,Data_Validation!$A:$D,3,0)</f>
        <v>#N/A</v>
      </c>
      <c r="V907" s="658" t="e">
        <f>+VLOOKUP($L907,Data_Validation!$A:$D,4,0)</f>
        <v>#N/A</v>
      </c>
      <c r="W907" s="658" t="e">
        <f>+VLOOKUP($L907,Data_Validation!$A:$E,5,0)</f>
        <v>#N/A</v>
      </c>
    </row>
    <row r="908" spans="1:23" ht="15.75" customHeight="1">
      <c r="A908" s="718"/>
      <c r="B908" s="656"/>
      <c r="C908" s="719"/>
      <c r="D908" s="718"/>
      <c r="E908" s="718"/>
      <c r="F908" s="718"/>
      <c r="G908" s="718"/>
      <c r="H908" s="718"/>
      <c r="I908" s="718"/>
      <c r="J908" s="718"/>
      <c r="K908" s="718"/>
      <c r="L908" s="655" t="str">
        <f t="shared" si="915"/>
        <v>0</v>
      </c>
      <c r="M908" s="656">
        <f t="shared" si="780"/>
        <v>0</v>
      </c>
      <c r="N908" s="657">
        <f>+IF(OR($Q908=Parametres!$G$2,$Q908=Parametres!$G$3),I908,C908)</f>
        <v>0</v>
      </c>
      <c r="O908" s="657">
        <f>+IF(OR($Q908=Parametres!$G$2,$Q908=Parametres!$G$3),J908,D908)</f>
        <v>0</v>
      </c>
      <c r="P908" s="657">
        <f>+IF(OR($Q908=Parametres!$G$2,$Q908=Parametres!$G$3),K908,E908)</f>
        <v>0</v>
      </c>
      <c r="Q908" s="656">
        <f t="shared" ref="Q908:S908" si="925">+F908</f>
        <v>0</v>
      </c>
      <c r="R908" s="655">
        <f t="shared" si="925"/>
        <v>0</v>
      </c>
      <c r="S908" s="656">
        <f t="shared" si="925"/>
        <v>0</v>
      </c>
      <c r="T908" s="658" t="e">
        <f>+VLOOKUP($L908,Data_Validation!$A:$D,1,0)</f>
        <v>#N/A</v>
      </c>
      <c r="U908" s="658" t="e">
        <f>+VLOOKUP($L908,Data_Validation!$A:$D,3,0)</f>
        <v>#N/A</v>
      </c>
      <c r="V908" s="658" t="e">
        <f>+VLOOKUP($L908,Data_Validation!$A:$D,4,0)</f>
        <v>#N/A</v>
      </c>
      <c r="W908" s="658" t="e">
        <f>+VLOOKUP($L908,Data_Validation!$A:$E,5,0)</f>
        <v>#N/A</v>
      </c>
    </row>
    <row r="909" spans="1:23" ht="15.75" customHeight="1">
      <c r="A909" s="718"/>
      <c r="B909" s="656"/>
      <c r="C909" s="719"/>
      <c r="D909" s="718"/>
      <c r="E909" s="718"/>
      <c r="F909" s="718"/>
      <c r="G909" s="718"/>
      <c r="H909" s="718"/>
      <c r="I909" s="718"/>
      <c r="J909" s="718"/>
      <c r="K909" s="718"/>
      <c r="L909" s="655" t="str">
        <f t="shared" si="915"/>
        <v>0</v>
      </c>
      <c r="M909" s="656">
        <f t="shared" si="780"/>
        <v>0</v>
      </c>
      <c r="N909" s="657">
        <f>+IF(OR($Q909=Parametres!$G$2,$Q909=Parametres!$G$3),I909,C909)</f>
        <v>0</v>
      </c>
      <c r="O909" s="657">
        <f>+IF(OR($Q909=Parametres!$G$2,$Q909=Parametres!$G$3),J909,D909)</f>
        <v>0</v>
      </c>
      <c r="P909" s="657">
        <f>+IF(OR($Q909=Parametres!$G$2,$Q909=Parametres!$G$3),K909,E909)</f>
        <v>0</v>
      </c>
      <c r="Q909" s="656">
        <f t="shared" ref="Q909:S909" si="926">+F909</f>
        <v>0</v>
      </c>
      <c r="R909" s="655">
        <f t="shared" si="926"/>
        <v>0</v>
      </c>
      <c r="S909" s="656">
        <f t="shared" si="926"/>
        <v>0</v>
      </c>
      <c r="T909" s="658" t="e">
        <f>+VLOOKUP($L909,Data_Validation!$A:$D,1,0)</f>
        <v>#N/A</v>
      </c>
      <c r="U909" s="658" t="e">
        <f>+VLOOKUP($L909,Data_Validation!$A:$D,3,0)</f>
        <v>#N/A</v>
      </c>
      <c r="V909" s="658" t="e">
        <f>+VLOOKUP($L909,Data_Validation!$A:$D,4,0)</f>
        <v>#N/A</v>
      </c>
      <c r="W909" s="658" t="e">
        <f>+VLOOKUP($L909,Data_Validation!$A:$E,5,0)</f>
        <v>#N/A</v>
      </c>
    </row>
    <row r="910" spans="1:23" ht="15.75" customHeight="1">
      <c r="A910" s="718"/>
      <c r="B910" s="656"/>
      <c r="C910" s="719"/>
      <c r="D910" s="718"/>
      <c r="E910" s="718"/>
      <c r="F910" s="718"/>
      <c r="G910" s="718"/>
      <c r="H910" s="718"/>
      <c r="I910" s="718"/>
      <c r="J910" s="718"/>
      <c r="K910" s="718"/>
      <c r="L910" s="655" t="str">
        <f t="shared" si="915"/>
        <v>0</v>
      </c>
      <c r="M910" s="656">
        <f t="shared" si="780"/>
        <v>0</v>
      </c>
      <c r="N910" s="657">
        <f>+IF(OR($Q910=Parametres!$G$2,$Q910=Parametres!$G$3),I910,C910)</f>
        <v>0</v>
      </c>
      <c r="O910" s="657">
        <f>+IF(OR($Q910=Parametres!$G$2,$Q910=Parametres!$G$3),J910,D910)</f>
        <v>0</v>
      </c>
      <c r="P910" s="657">
        <f>+IF(OR($Q910=Parametres!$G$2,$Q910=Parametres!$G$3),K910,E910)</f>
        <v>0</v>
      </c>
      <c r="Q910" s="656">
        <f t="shared" ref="Q910:S910" si="927">+F910</f>
        <v>0</v>
      </c>
      <c r="R910" s="655">
        <f t="shared" si="927"/>
        <v>0</v>
      </c>
      <c r="S910" s="656">
        <f t="shared" si="927"/>
        <v>0</v>
      </c>
      <c r="T910" s="658" t="e">
        <f>+VLOOKUP($L910,Data_Validation!$A:$D,1,0)</f>
        <v>#N/A</v>
      </c>
      <c r="U910" s="658" t="e">
        <f>+VLOOKUP($L910,Data_Validation!$A:$D,3,0)</f>
        <v>#N/A</v>
      </c>
      <c r="V910" s="658" t="e">
        <f>+VLOOKUP($L910,Data_Validation!$A:$D,4,0)</f>
        <v>#N/A</v>
      </c>
      <c r="W910" s="658" t="e">
        <f>+VLOOKUP($L910,Data_Validation!$A:$E,5,0)</f>
        <v>#N/A</v>
      </c>
    </row>
    <row r="911" spans="1:23" ht="15.75" customHeight="1">
      <c r="A911" s="718"/>
      <c r="B911" s="656"/>
      <c r="C911" s="719"/>
      <c r="D911" s="718"/>
      <c r="E911" s="718"/>
      <c r="F911" s="718"/>
      <c r="G911" s="718"/>
      <c r="H911" s="718"/>
      <c r="I911" s="718"/>
      <c r="J911" s="718"/>
      <c r="K911" s="718"/>
      <c r="L911" s="655" t="str">
        <f t="shared" si="915"/>
        <v>0</v>
      </c>
      <c r="M911" s="656">
        <f t="shared" si="780"/>
        <v>0</v>
      </c>
      <c r="N911" s="657">
        <f>+IF(OR($Q911=Parametres!$G$2,$Q911=Parametres!$G$3),I911,C911)</f>
        <v>0</v>
      </c>
      <c r="O911" s="657">
        <f>+IF(OR($Q911=Parametres!$G$2,$Q911=Parametres!$G$3),J911,D911)</f>
        <v>0</v>
      </c>
      <c r="P911" s="657">
        <f>+IF(OR($Q911=Parametres!$G$2,$Q911=Parametres!$G$3),K911,E911)</f>
        <v>0</v>
      </c>
      <c r="Q911" s="656">
        <f t="shared" ref="Q911:S911" si="928">+F911</f>
        <v>0</v>
      </c>
      <c r="R911" s="655">
        <f t="shared" si="928"/>
        <v>0</v>
      </c>
      <c r="S911" s="656">
        <f t="shared" si="928"/>
        <v>0</v>
      </c>
      <c r="T911" s="658" t="e">
        <f>+VLOOKUP($L911,Data_Validation!$A:$D,1,0)</f>
        <v>#N/A</v>
      </c>
      <c r="U911" s="658" t="e">
        <f>+VLOOKUP($L911,Data_Validation!$A:$D,3,0)</f>
        <v>#N/A</v>
      </c>
      <c r="V911" s="658" t="e">
        <f>+VLOOKUP($L911,Data_Validation!$A:$D,4,0)</f>
        <v>#N/A</v>
      </c>
      <c r="W911" s="658" t="e">
        <f>+VLOOKUP($L911,Data_Validation!$A:$E,5,0)</f>
        <v>#N/A</v>
      </c>
    </row>
    <row r="912" spans="1:23" ht="15.75" customHeight="1">
      <c r="A912" s="718"/>
      <c r="B912" s="656"/>
      <c r="C912" s="719"/>
      <c r="D912" s="718"/>
      <c r="E912" s="718"/>
      <c r="F912" s="718"/>
      <c r="G912" s="718"/>
      <c r="H912" s="718"/>
      <c r="I912" s="718"/>
      <c r="J912" s="718"/>
      <c r="K912" s="718"/>
      <c r="L912" s="655" t="str">
        <f t="shared" si="915"/>
        <v>0</v>
      </c>
      <c r="M912" s="656">
        <f t="shared" si="780"/>
        <v>0</v>
      </c>
      <c r="N912" s="657">
        <f>+IF(OR($Q912=Parametres!$G$2,$Q912=Parametres!$G$3),I912,C912)</f>
        <v>0</v>
      </c>
      <c r="O912" s="657">
        <f>+IF(OR($Q912=Parametres!$G$2,$Q912=Parametres!$G$3),J912,D912)</f>
        <v>0</v>
      </c>
      <c r="P912" s="657">
        <f>+IF(OR($Q912=Parametres!$G$2,$Q912=Parametres!$G$3),K912,E912)</f>
        <v>0</v>
      </c>
      <c r="Q912" s="656">
        <f t="shared" ref="Q912:S912" si="929">+F912</f>
        <v>0</v>
      </c>
      <c r="R912" s="655">
        <f t="shared" si="929"/>
        <v>0</v>
      </c>
      <c r="S912" s="656">
        <f t="shared" si="929"/>
        <v>0</v>
      </c>
      <c r="T912" s="658" t="e">
        <f>+VLOOKUP($L912,Data_Validation!$A:$D,1,0)</f>
        <v>#N/A</v>
      </c>
      <c r="U912" s="658" t="e">
        <f>+VLOOKUP($L912,Data_Validation!$A:$D,3,0)</f>
        <v>#N/A</v>
      </c>
      <c r="V912" s="658" t="e">
        <f>+VLOOKUP($L912,Data_Validation!$A:$D,4,0)</f>
        <v>#N/A</v>
      </c>
      <c r="W912" s="658" t="e">
        <f>+VLOOKUP($L912,Data_Validation!$A:$E,5,0)</f>
        <v>#N/A</v>
      </c>
    </row>
    <row r="913" spans="1:23" ht="15.75" customHeight="1">
      <c r="A913" s="718"/>
      <c r="B913" s="656"/>
      <c r="C913" s="719"/>
      <c r="D913" s="718"/>
      <c r="E913" s="718"/>
      <c r="F913" s="718"/>
      <c r="G913" s="718"/>
      <c r="H913" s="718"/>
      <c r="I913" s="718"/>
      <c r="J913" s="718"/>
      <c r="K913" s="718"/>
      <c r="L913" s="655" t="str">
        <f t="shared" si="915"/>
        <v>0</v>
      </c>
      <c r="M913" s="656">
        <f t="shared" si="780"/>
        <v>0</v>
      </c>
      <c r="N913" s="657">
        <f>+IF(OR($Q913=Parametres!$G$2,$Q913=Parametres!$G$3),I913,C913)</f>
        <v>0</v>
      </c>
      <c r="O913" s="657">
        <f>+IF(OR($Q913=Parametres!$G$2,$Q913=Parametres!$G$3),J913,D913)</f>
        <v>0</v>
      </c>
      <c r="P913" s="657">
        <f>+IF(OR($Q913=Parametres!$G$2,$Q913=Parametres!$G$3),K913,E913)</f>
        <v>0</v>
      </c>
      <c r="Q913" s="656">
        <f t="shared" ref="Q913:S913" si="930">+F913</f>
        <v>0</v>
      </c>
      <c r="R913" s="655">
        <f t="shared" si="930"/>
        <v>0</v>
      </c>
      <c r="S913" s="656">
        <f t="shared" si="930"/>
        <v>0</v>
      </c>
      <c r="T913" s="658" t="e">
        <f>+VLOOKUP($L913,Data_Validation!$A:$D,1,0)</f>
        <v>#N/A</v>
      </c>
      <c r="U913" s="658" t="e">
        <f>+VLOOKUP($L913,Data_Validation!$A:$D,3,0)</f>
        <v>#N/A</v>
      </c>
      <c r="V913" s="658" t="e">
        <f>+VLOOKUP($L913,Data_Validation!$A:$D,4,0)</f>
        <v>#N/A</v>
      </c>
      <c r="W913" s="658" t="e">
        <f>+VLOOKUP($L913,Data_Validation!$A:$E,5,0)</f>
        <v>#N/A</v>
      </c>
    </row>
    <row r="914" spans="1:23" ht="15.75" customHeight="1">
      <c r="A914" s="718"/>
      <c r="B914" s="656"/>
      <c r="C914" s="719"/>
      <c r="D914" s="718"/>
      <c r="E914" s="718"/>
      <c r="F914" s="718"/>
      <c r="G914" s="718"/>
      <c r="H914" s="718"/>
      <c r="I914" s="718"/>
      <c r="J914" s="718"/>
      <c r="K914" s="718"/>
      <c r="L914" s="655" t="str">
        <f t="shared" si="915"/>
        <v>0</v>
      </c>
      <c r="M914" s="656">
        <f t="shared" si="780"/>
        <v>0</v>
      </c>
      <c r="N914" s="657">
        <f>+IF(OR($Q914=Parametres!$G$2,$Q914=Parametres!$G$3),I914,C914)</f>
        <v>0</v>
      </c>
      <c r="O914" s="657">
        <f>+IF(OR($Q914=Parametres!$G$2,$Q914=Parametres!$G$3),J914,D914)</f>
        <v>0</v>
      </c>
      <c r="P914" s="657">
        <f>+IF(OR($Q914=Parametres!$G$2,$Q914=Parametres!$G$3),K914,E914)</f>
        <v>0</v>
      </c>
      <c r="Q914" s="656">
        <f t="shared" ref="Q914:S914" si="931">+F914</f>
        <v>0</v>
      </c>
      <c r="R914" s="655">
        <f t="shared" si="931"/>
        <v>0</v>
      </c>
      <c r="S914" s="656">
        <f t="shared" si="931"/>
        <v>0</v>
      </c>
      <c r="T914" s="658" t="e">
        <f>+VLOOKUP($L914,Data_Validation!$A:$D,1,0)</f>
        <v>#N/A</v>
      </c>
      <c r="U914" s="658" t="e">
        <f>+VLOOKUP($L914,Data_Validation!$A:$D,3,0)</f>
        <v>#N/A</v>
      </c>
      <c r="V914" s="658" t="e">
        <f>+VLOOKUP($L914,Data_Validation!$A:$D,4,0)</f>
        <v>#N/A</v>
      </c>
      <c r="W914" s="658" t="e">
        <f>+VLOOKUP($L914,Data_Validation!$A:$E,5,0)</f>
        <v>#N/A</v>
      </c>
    </row>
    <row r="915" spans="1:23" ht="15.75" customHeight="1">
      <c r="A915" s="718"/>
      <c r="B915" s="656"/>
      <c r="C915" s="719"/>
      <c r="D915" s="718"/>
      <c r="E915" s="718"/>
      <c r="F915" s="718"/>
      <c r="G915" s="718"/>
      <c r="H915" s="718"/>
      <c r="I915" s="718"/>
      <c r="J915" s="718"/>
      <c r="K915" s="718"/>
      <c r="L915" s="655" t="str">
        <f t="shared" si="915"/>
        <v>0</v>
      </c>
      <c r="M915" s="656">
        <f t="shared" si="780"/>
        <v>0</v>
      </c>
      <c r="N915" s="657">
        <f>+IF(OR($Q915=Parametres!$G$2,$Q915=Parametres!$G$3),I915,C915)</f>
        <v>0</v>
      </c>
      <c r="O915" s="657">
        <f>+IF(OR($Q915=Parametres!$G$2,$Q915=Parametres!$G$3),J915,D915)</f>
        <v>0</v>
      </c>
      <c r="P915" s="657">
        <f>+IF(OR($Q915=Parametres!$G$2,$Q915=Parametres!$G$3),K915,E915)</f>
        <v>0</v>
      </c>
      <c r="Q915" s="656">
        <f t="shared" ref="Q915:S915" si="932">+F915</f>
        <v>0</v>
      </c>
      <c r="R915" s="655">
        <f t="shared" si="932"/>
        <v>0</v>
      </c>
      <c r="S915" s="656">
        <f t="shared" si="932"/>
        <v>0</v>
      </c>
      <c r="T915" s="658" t="e">
        <f>+VLOOKUP($L915,Data_Validation!$A:$D,1,0)</f>
        <v>#N/A</v>
      </c>
      <c r="U915" s="658" t="e">
        <f>+VLOOKUP($L915,Data_Validation!$A:$D,3,0)</f>
        <v>#N/A</v>
      </c>
      <c r="V915" s="658" t="e">
        <f>+VLOOKUP($L915,Data_Validation!$A:$D,4,0)</f>
        <v>#N/A</v>
      </c>
      <c r="W915" s="658" t="e">
        <f>+VLOOKUP($L915,Data_Validation!$A:$E,5,0)</f>
        <v>#N/A</v>
      </c>
    </row>
    <row r="916" spans="1:23" ht="15.75" customHeight="1">
      <c r="A916" s="718"/>
      <c r="B916" s="656"/>
      <c r="C916" s="719"/>
      <c r="D916" s="718"/>
      <c r="E916" s="718"/>
      <c r="F916" s="718"/>
      <c r="G916" s="718"/>
      <c r="H916" s="718"/>
      <c r="I916" s="718"/>
      <c r="J916" s="718"/>
      <c r="K916" s="718"/>
      <c r="L916" s="655" t="str">
        <f t="shared" si="915"/>
        <v>0</v>
      </c>
      <c r="M916" s="656">
        <f t="shared" si="780"/>
        <v>0</v>
      </c>
      <c r="N916" s="657">
        <f>+IF(OR($Q916=Parametres!$G$2,$Q916=Parametres!$G$3),I916,C916)</f>
        <v>0</v>
      </c>
      <c r="O916" s="657">
        <f>+IF(OR($Q916=Parametres!$G$2,$Q916=Parametres!$G$3),J916,D916)</f>
        <v>0</v>
      </c>
      <c r="P916" s="657">
        <f>+IF(OR($Q916=Parametres!$G$2,$Q916=Parametres!$G$3),K916,E916)</f>
        <v>0</v>
      </c>
      <c r="Q916" s="656">
        <f t="shared" ref="Q916:S916" si="933">+F916</f>
        <v>0</v>
      </c>
      <c r="R916" s="655">
        <f t="shared" si="933"/>
        <v>0</v>
      </c>
      <c r="S916" s="656">
        <f t="shared" si="933"/>
        <v>0</v>
      </c>
      <c r="T916" s="658" t="e">
        <f>+VLOOKUP($L916,Data_Validation!$A:$D,1,0)</f>
        <v>#N/A</v>
      </c>
      <c r="U916" s="658" t="e">
        <f>+VLOOKUP($L916,Data_Validation!$A:$D,3,0)</f>
        <v>#N/A</v>
      </c>
      <c r="V916" s="658" t="e">
        <f>+VLOOKUP($L916,Data_Validation!$A:$D,4,0)</f>
        <v>#N/A</v>
      </c>
      <c r="W916" s="658" t="e">
        <f>+VLOOKUP($L916,Data_Validation!$A:$E,5,0)</f>
        <v>#N/A</v>
      </c>
    </row>
    <row r="917" spans="1:23" ht="15.75" customHeight="1">
      <c r="A917" s="718"/>
      <c r="B917" s="656"/>
      <c r="C917" s="719"/>
      <c r="D917" s="718"/>
      <c r="E917" s="718"/>
      <c r="F917" s="718"/>
      <c r="G917" s="718"/>
      <c r="H917" s="718"/>
      <c r="I917" s="718"/>
      <c r="J917" s="718"/>
      <c r="K917" s="718"/>
      <c r="L917" s="655" t="str">
        <f t="shared" si="915"/>
        <v>0</v>
      </c>
      <c r="M917" s="656">
        <f t="shared" si="780"/>
        <v>0</v>
      </c>
      <c r="N917" s="657">
        <f>+IF(OR($Q917=Parametres!$G$2,$Q917=Parametres!$G$3),I917,C917)</f>
        <v>0</v>
      </c>
      <c r="O917" s="657">
        <f>+IF(OR($Q917=Parametres!$G$2,$Q917=Parametres!$G$3),J917,D917)</f>
        <v>0</v>
      </c>
      <c r="P917" s="657">
        <f>+IF(OR($Q917=Parametres!$G$2,$Q917=Parametres!$G$3),K917,E917)</f>
        <v>0</v>
      </c>
      <c r="Q917" s="656">
        <f t="shared" ref="Q917:S917" si="934">+F917</f>
        <v>0</v>
      </c>
      <c r="R917" s="655">
        <f t="shared" si="934"/>
        <v>0</v>
      </c>
      <c r="S917" s="656">
        <f t="shared" si="934"/>
        <v>0</v>
      </c>
      <c r="T917" s="658" t="e">
        <f>+VLOOKUP($L917,Data_Validation!$A:$D,1,0)</f>
        <v>#N/A</v>
      </c>
      <c r="U917" s="658" t="e">
        <f>+VLOOKUP($L917,Data_Validation!$A:$D,3,0)</f>
        <v>#N/A</v>
      </c>
      <c r="V917" s="658" t="e">
        <f>+VLOOKUP($L917,Data_Validation!$A:$D,4,0)</f>
        <v>#N/A</v>
      </c>
      <c r="W917" s="658" t="e">
        <f>+VLOOKUP($L917,Data_Validation!$A:$E,5,0)</f>
        <v>#N/A</v>
      </c>
    </row>
    <row r="918" spans="1:23" ht="15.75" customHeight="1">
      <c r="A918" s="718"/>
      <c r="B918" s="656"/>
      <c r="C918" s="719"/>
      <c r="D918" s="718"/>
      <c r="E918" s="718"/>
      <c r="F918" s="718"/>
      <c r="G918" s="718"/>
      <c r="H918" s="718"/>
      <c r="I918" s="718"/>
      <c r="J918" s="718"/>
      <c r="K918" s="718"/>
      <c r="L918" s="655" t="str">
        <f t="shared" si="915"/>
        <v>0</v>
      </c>
      <c r="M918" s="656">
        <f t="shared" si="780"/>
        <v>0</v>
      </c>
      <c r="N918" s="657">
        <f>+IF(OR($Q918=Parametres!$G$2,$Q918=Parametres!$G$3),I918,C918)</f>
        <v>0</v>
      </c>
      <c r="O918" s="657">
        <f>+IF(OR($Q918=Parametres!$G$2,$Q918=Parametres!$G$3),J918,D918)</f>
        <v>0</v>
      </c>
      <c r="P918" s="657">
        <f>+IF(OR($Q918=Parametres!$G$2,$Q918=Parametres!$G$3),K918,E918)</f>
        <v>0</v>
      </c>
      <c r="Q918" s="656">
        <f t="shared" ref="Q918:S918" si="935">+F918</f>
        <v>0</v>
      </c>
      <c r="R918" s="655">
        <f t="shared" si="935"/>
        <v>0</v>
      </c>
      <c r="S918" s="656">
        <f t="shared" si="935"/>
        <v>0</v>
      </c>
      <c r="T918" s="658" t="e">
        <f>+VLOOKUP($L918,Data_Validation!$A:$D,1,0)</f>
        <v>#N/A</v>
      </c>
      <c r="U918" s="658" t="e">
        <f>+VLOOKUP($L918,Data_Validation!$A:$D,3,0)</f>
        <v>#N/A</v>
      </c>
      <c r="V918" s="658" t="e">
        <f>+VLOOKUP($L918,Data_Validation!$A:$D,4,0)</f>
        <v>#N/A</v>
      </c>
      <c r="W918" s="658" t="e">
        <f>+VLOOKUP($L918,Data_Validation!$A:$E,5,0)</f>
        <v>#N/A</v>
      </c>
    </row>
    <row r="919" spans="1:23" ht="15.75" customHeight="1">
      <c r="A919" s="718"/>
      <c r="B919" s="656"/>
      <c r="C919" s="719"/>
      <c r="D919" s="718"/>
      <c r="E919" s="718"/>
      <c r="F919" s="718"/>
      <c r="G919" s="718"/>
      <c r="H919" s="718"/>
      <c r="I919" s="718"/>
      <c r="J919" s="718"/>
      <c r="K919" s="718"/>
      <c r="L919" s="655" t="str">
        <f t="shared" si="915"/>
        <v>0</v>
      </c>
      <c r="M919" s="656">
        <f t="shared" si="780"/>
        <v>0</v>
      </c>
      <c r="N919" s="657">
        <f>+IF(OR($Q919=Parametres!$G$2,$Q919=Parametres!$G$3),I919,C919)</f>
        <v>0</v>
      </c>
      <c r="O919" s="657">
        <f>+IF(OR($Q919=Parametres!$G$2,$Q919=Parametres!$G$3),J919,D919)</f>
        <v>0</v>
      </c>
      <c r="P919" s="657">
        <f>+IF(OR($Q919=Parametres!$G$2,$Q919=Parametres!$G$3),K919,E919)</f>
        <v>0</v>
      </c>
      <c r="Q919" s="656">
        <f t="shared" ref="Q919:S919" si="936">+F919</f>
        <v>0</v>
      </c>
      <c r="R919" s="655">
        <f t="shared" si="936"/>
        <v>0</v>
      </c>
      <c r="S919" s="656">
        <f t="shared" si="936"/>
        <v>0</v>
      </c>
      <c r="T919" s="658" t="e">
        <f>+VLOOKUP($L919,Data_Validation!$A:$D,1,0)</f>
        <v>#N/A</v>
      </c>
      <c r="U919" s="658" t="e">
        <f>+VLOOKUP($L919,Data_Validation!$A:$D,3,0)</f>
        <v>#N/A</v>
      </c>
      <c r="V919" s="658" t="e">
        <f>+VLOOKUP($L919,Data_Validation!$A:$D,4,0)</f>
        <v>#N/A</v>
      </c>
      <c r="W919" s="658" t="e">
        <f>+VLOOKUP($L919,Data_Validation!$A:$E,5,0)</f>
        <v>#N/A</v>
      </c>
    </row>
    <row r="920" spans="1:23" ht="15.75" customHeight="1">
      <c r="A920" s="718"/>
      <c r="B920" s="656"/>
      <c r="C920" s="719"/>
      <c r="D920" s="718"/>
      <c r="E920" s="718"/>
      <c r="F920" s="718"/>
      <c r="G920" s="718"/>
      <c r="H920" s="718"/>
      <c r="I920" s="718"/>
      <c r="J920" s="718"/>
      <c r="K920" s="718"/>
      <c r="L920" s="655" t="str">
        <f t="shared" si="915"/>
        <v>0</v>
      </c>
      <c r="M920" s="656">
        <f t="shared" si="780"/>
        <v>0</v>
      </c>
      <c r="N920" s="657">
        <f>+IF(OR($Q920=Parametres!$G$2,$Q920=Parametres!$G$3),I920,C920)</f>
        <v>0</v>
      </c>
      <c r="O920" s="657">
        <f>+IF(OR($Q920=Parametres!$G$2,$Q920=Parametres!$G$3),J920,D920)</f>
        <v>0</v>
      </c>
      <c r="P920" s="657">
        <f>+IF(OR($Q920=Parametres!$G$2,$Q920=Parametres!$G$3),K920,E920)</f>
        <v>0</v>
      </c>
      <c r="Q920" s="656">
        <f t="shared" ref="Q920:S920" si="937">+F920</f>
        <v>0</v>
      </c>
      <c r="R920" s="655">
        <f t="shared" si="937"/>
        <v>0</v>
      </c>
      <c r="S920" s="656">
        <f t="shared" si="937"/>
        <v>0</v>
      </c>
      <c r="T920" s="658" t="e">
        <f>+VLOOKUP($L920,Data_Validation!$A:$D,1,0)</f>
        <v>#N/A</v>
      </c>
      <c r="U920" s="658" t="e">
        <f>+VLOOKUP($L920,Data_Validation!$A:$D,3,0)</f>
        <v>#N/A</v>
      </c>
      <c r="V920" s="658" t="e">
        <f>+VLOOKUP($L920,Data_Validation!$A:$D,4,0)</f>
        <v>#N/A</v>
      </c>
      <c r="W920" s="658" t="e">
        <f>+VLOOKUP($L920,Data_Validation!$A:$E,5,0)</f>
        <v>#N/A</v>
      </c>
    </row>
    <row r="921" spans="1:23" ht="15.75" customHeight="1">
      <c r="A921" s="718"/>
      <c r="B921" s="656"/>
      <c r="C921" s="719"/>
      <c r="D921" s="718"/>
      <c r="E921" s="718"/>
      <c r="F921" s="718"/>
      <c r="G921" s="718"/>
      <c r="H921" s="718"/>
      <c r="I921" s="718"/>
      <c r="J921" s="718"/>
      <c r="K921" s="718"/>
      <c r="L921" s="655" t="str">
        <f t="shared" si="915"/>
        <v>0</v>
      </c>
      <c r="M921" s="656">
        <f t="shared" si="780"/>
        <v>0</v>
      </c>
      <c r="N921" s="657">
        <f>+IF(OR($Q921=Parametres!$G$2,$Q921=Parametres!$G$3),I921,C921)</f>
        <v>0</v>
      </c>
      <c r="O921" s="657">
        <f>+IF(OR($Q921=Parametres!$G$2,$Q921=Parametres!$G$3),J921,D921)</f>
        <v>0</v>
      </c>
      <c r="P921" s="657">
        <f>+IF(OR($Q921=Parametres!$G$2,$Q921=Parametres!$G$3),K921,E921)</f>
        <v>0</v>
      </c>
      <c r="Q921" s="656">
        <f t="shared" ref="Q921:S921" si="938">+F921</f>
        <v>0</v>
      </c>
      <c r="R921" s="655">
        <f t="shared" si="938"/>
        <v>0</v>
      </c>
      <c r="S921" s="656">
        <f t="shared" si="938"/>
        <v>0</v>
      </c>
      <c r="T921" s="658" t="e">
        <f>+VLOOKUP($L921,Data_Validation!$A:$D,1,0)</f>
        <v>#N/A</v>
      </c>
      <c r="U921" s="658" t="e">
        <f>+VLOOKUP($L921,Data_Validation!$A:$D,3,0)</f>
        <v>#N/A</v>
      </c>
      <c r="V921" s="658" t="e">
        <f>+VLOOKUP($L921,Data_Validation!$A:$D,4,0)</f>
        <v>#N/A</v>
      </c>
      <c r="W921" s="658" t="e">
        <f>+VLOOKUP($L921,Data_Validation!$A:$E,5,0)</f>
        <v>#N/A</v>
      </c>
    </row>
    <row r="922" spans="1:23" ht="15.75" customHeight="1">
      <c r="A922" s="718"/>
      <c r="B922" s="656"/>
      <c r="C922" s="719"/>
      <c r="D922" s="718"/>
      <c r="E922" s="718"/>
      <c r="F922" s="718"/>
      <c r="G922" s="718"/>
      <c r="H922" s="718"/>
      <c r="I922" s="718"/>
      <c r="J922" s="718"/>
      <c r="K922" s="718"/>
      <c r="L922" s="655" t="str">
        <f t="shared" si="915"/>
        <v>0</v>
      </c>
      <c r="M922" s="656">
        <f t="shared" si="780"/>
        <v>0</v>
      </c>
      <c r="N922" s="657">
        <f>+IF(OR($Q922=Parametres!$G$2,$Q922=Parametres!$G$3),I922,C922)</f>
        <v>0</v>
      </c>
      <c r="O922" s="657">
        <f>+IF(OR($Q922=Parametres!$G$2,$Q922=Parametres!$G$3),J922,D922)</f>
        <v>0</v>
      </c>
      <c r="P922" s="657">
        <f>+IF(OR($Q922=Parametres!$G$2,$Q922=Parametres!$G$3),K922,E922)</f>
        <v>0</v>
      </c>
      <c r="Q922" s="656">
        <f t="shared" ref="Q922:S922" si="939">+F922</f>
        <v>0</v>
      </c>
      <c r="R922" s="655">
        <f t="shared" si="939"/>
        <v>0</v>
      </c>
      <c r="S922" s="656">
        <f t="shared" si="939"/>
        <v>0</v>
      </c>
      <c r="T922" s="658" t="e">
        <f>+VLOOKUP($L922,Data_Validation!$A:$D,1,0)</f>
        <v>#N/A</v>
      </c>
      <c r="U922" s="658" t="e">
        <f>+VLOOKUP($L922,Data_Validation!$A:$D,3,0)</f>
        <v>#N/A</v>
      </c>
      <c r="V922" s="658" t="e">
        <f>+VLOOKUP($L922,Data_Validation!$A:$D,4,0)</f>
        <v>#N/A</v>
      </c>
      <c r="W922" s="658" t="e">
        <f>+VLOOKUP($L922,Data_Validation!$A:$E,5,0)</f>
        <v>#N/A</v>
      </c>
    </row>
    <row r="923" spans="1:23" ht="15.75" customHeight="1">
      <c r="A923" s="718"/>
      <c r="B923" s="656"/>
      <c r="C923" s="719"/>
      <c r="D923" s="718"/>
      <c r="E923" s="718"/>
      <c r="F923" s="718"/>
      <c r="G923" s="718"/>
      <c r="H923" s="718"/>
      <c r="I923" s="718"/>
      <c r="J923" s="718"/>
      <c r="K923" s="718"/>
      <c r="L923" s="655" t="str">
        <f t="shared" si="915"/>
        <v>0</v>
      </c>
      <c r="M923" s="656">
        <f t="shared" si="780"/>
        <v>0</v>
      </c>
      <c r="N923" s="657">
        <f>+IF(OR($Q923=Parametres!$G$2,$Q923=Parametres!$G$3),I923,C923)</f>
        <v>0</v>
      </c>
      <c r="O923" s="657">
        <f>+IF(OR($Q923=Parametres!$G$2,$Q923=Parametres!$G$3),J923,D923)</f>
        <v>0</v>
      </c>
      <c r="P923" s="657">
        <f>+IF(OR($Q923=Parametres!$G$2,$Q923=Parametres!$G$3),K923,E923)</f>
        <v>0</v>
      </c>
      <c r="Q923" s="656">
        <f t="shared" ref="Q923:S923" si="940">+F923</f>
        <v>0</v>
      </c>
      <c r="R923" s="655">
        <f t="shared" si="940"/>
        <v>0</v>
      </c>
      <c r="S923" s="656">
        <f t="shared" si="940"/>
        <v>0</v>
      </c>
      <c r="T923" s="658" t="e">
        <f>+VLOOKUP($L923,Data_Validation!$A:$D,1,0)</f>
        <v>#N/A</v>
      </c>
      <c r="U923" s="658" t="e">
        <f>+VLOOKUP($L923,Data_Validation!$A:$D,3,0)</f>
        <v>#N/A</v>
      </c>
      <c r="V923" s="658" t="e">
        <f>+VLOOKUP($L923,Data_Validation!$A:$D,4,0)</f>
        <v>#N/A</v>
      </c>
      <c r="W923" s="658" t="e">
        <f>+VLOOKUP($L923,Data_Validation!$A:$E,5,0)</f>
        <v>#N/A</v>
      </c>
    </row>
    <row r="924" spans="1:23" ht="15.75" customHeight="1">
      <c r="A924" s="718"/>
      <c r="B924" s="656"/>
      <c r="C924" s="719"/>
      <c r="D924" s="718"/>
      <c r="E924" s="718"/>
      <c r="F924" s="718"/>
      <c r="G924" s="718"/>
      <c r="H924" s="718"/>
      <c r="I924" s="718"/>
      <c r="J924" s="718"/>
      <c r="K924" s="718"/>
      <c r="L924" s="655" t="str">
        <f t="shared" si="915"/>
        <v>0</v>
      </c>
      <c r="M924" s="656">
        <f t="shared" si="780"/>
        <v>0</v>
      </c>
      <c r="N924" s="657">
        <f>+IF(OR($Q924=Parametres!$G$2,$Q924=Parametres!$G$3),I924,C924)</f>
        <v>0</v>
      </c>
      <c r="O924" s="657">
        <f>+IF(OR($Q924=Parametres!$G$2,$Q924=Parametres!$G$3),J924,D924)</f>
        <v>0</v>
      </c>
      <c r="P924" s="657">
        <f>+IF(OR($Q924=Parametres!$G$2,$Q924=Parametres!$G$3),K924,E924)</f>
        <v>0</v>
      </c>
      <c r="Q924" s="656">
        <f t="shared" ref="Q924:S924" si="941">+F924</f>
        <v>0</v>
      </c>
      <c r="R924" s="655">
        <f t="shared" si="941"/>
        <v>0</v>
      </c>
      <c r="S924" s="656">
        <f t="shared" si="941"/>
        <v>0</v>
      </c>
      <c r="T924" s="658" t="e">
        <f>+VLOOKUP($L924,Data_Validation!$A:$D,1,0)</f>
        <v>#N/A</v>
      </c>
      <c r="U924" s="658" t="e">
        <f>+VLOOKUP($L924,Data_Validation!$A:$D,3,0)</f>
        <v>#N/A</v>
      </c>
      <c r="V924" s="658" t="e">
        <f>+VLOOKUP($L924,Data_Validation!$A:$D,4,0)</f>
        <v>#N/A</v>
      </c>
      <c r="W924" s="658" t="e">
        <f>+VLOOKUP($L924,Data_Validation!$A:$E,5,0)</f>
        <v>#N/A</v>
      </c>
    </row>
    <row r="925" spans="1:23" ht="15.75" customHeight="1">
      <c r="A925" s="718"/>
      <c r="B925" s="656"/>
      <c r="C925" s="719"/>
      <c r="D925" s="718"/>
      <c r="E925" s="718"/>
      <c r="F925" s="718"/>
      <c r="G925" s="718"/>
      <c r="H925" s="718"/>
      <c r="I925" s="718"/>
      <c r="J925" s="718"/>
      <c r="K925" s="718"/>
      <c r="L925" s="655" t="str">
        <f t="shared" si="915"/>
        <v>0</v>
      </c>
      <c r="M925" s="656">
        <f t="shared" si="780"/>
        <v>0</v>
      </c>
      <c r="N925" s="657">
        <f>+IF(OR($Q925=Parametres!$G$2,$Q925=Parametres!$G$3),I925,C925)</f>
        <v>0</v>
      </c>
      <c r="O925" s="657">
        <f>+IF(OR($Q925=Parametres!$G$2,$Q925=Parametres!$G$3),J925,D925)</f>
        <v>0</v>
      </c>
      <c r="P925" s="657">
        <f>+IF(OR($Q925=Parametres!$G$2,$Q925=Parametres!$G$3),K925,E925)</f>
        <v>0</v>
      </c>
      <c r="Q925" s="656">
        <f t="shared" ref="Q925:S925" si="942">+F925</f>
        <v>0</v>
      </c>
      <c r="R925" s="655">
        <f t="shared" si="942"/>
        <v>0</v>
      </c>
      <c r="S925" s="656">
        <f t="shared" si="942"/>
        <v>0</v>
      </c>
      <c r="T925" s="658" t="e">
        <f>+VLOOKUP($L925,Data_Validation!$A:$D,1,0)</f>
        <v>#N/A</v>
      </c>
      <c r="U925" s="658" t="e">
        <f>+VLOOKUP($L925,Data_Validation!$A:$D,3,0)</f>
        <v>#N/A</v>
      </c>
      <c r="V925" s="658" t="e">
        <f>+VLOOKUP($L925,Data_Validation!$A:$D,4,0)</f>
        <v>#N/A</v>
      </c>
      <c r="W925" s="658" t="e">
        <f>+VLOOKUP($L925,Data_Validation!$A:$E,5,0)</f>
        <v>#N/A</v>
      </c>
    </row>
    <row r="926" spans="1:23" ht="15.75" customHeight="1">
      <c r="A926" s="718"/>
      <c r="B926" s="656"/>
      <c r="C926" s="719"/>
      <c r="D926" s="718"/>
      <c r="E926" s="718"/>
      <c r="F926" s="718"/>
      <c r="G926" s="718"/>
      <c r="H926" s="718"/>
      <c r="I926" s="718"/>
      <c r="J926" s="718"/>
      <c r="K926" s="718"/>
      <c r="L926" s="655" t="str">
        <f t="shared" si="915"/>
        <v>0</v>
      </c>
      <c r="M926" s="656">
        <f t="shared" si="780"/>
        <v>0</v>
      </c>
      <c r="N926" s="657">
        <f>+IF(OR($Q926=Parametres!$G$2,$Q926=Parametres!$G$3),I926,C926)</f>
        <v>0</v>
      </c>
      <c r="O926" s="657">
        <f>+IF(OR($Q926=Parametres!$G$2,$Q926=Parametres!$G$3),J926,D926)</f>
        <v>0</v>
      </c>
      <c r="P926" s="657">
        <f>+IF(OR($Q926=Parametres!$G$2,$Q926=Parametres!$G$3),K926,E926)</f>
        <v>0</v>
      </c>
      <c r="Q926" s="656">
        <f t="shared" ref="Q926:S926" si="943">+F926</f>
        <v>0</v>
      </c>
      <c r="R926" s="655">
        <f t="shared" si="943"/>
        <v>0</v>
      </c>
      <c r="S926" s="656">
        <f t="shared" si="943"/>
        <v>0</v>
      </c>
      <c r="T926" s="658" t="e">
        <f>+VLOOKUP($L926,Data_Validation!$A:$D,1,0)</f>
        <v>#N/A</v>
      </c>
      <c r="U926" s="658" t="e">
        <f>+VLOOKUP($L926,Data_Validation!$A:$D,3,0)</f>
        <v>#N/A</v>
      </c>
      <c r="V926" s="658" t="e">
        <f>+VLOOKUP($L926,Data_Validation!$A:$D,4,0)</f>
        <v>#N/A</v>
      </c>
      <c r="W926" s="658" t="e">
        <f>+VLOOKUP($L926,Data_Validation!$A:$E,5,0)</f>
        <v>#N/A</v>
      </c>
    </row>
    <row r="927" spans="1:23" ht="15.75" customHeight="1">
      <c r="A927" s="718"/>
      <c r="B927" s="656"/>
      <c r="C927" s="719"/>
      <c r="D927" s="718"/>
      <c r="E927" s="718"/>
      <c r="F927" s="718"/>
      <c r="G927" s="718"/>
      <c r="H927" s="718"/>
      <c r="I927" s="718"/>
      <c r="J927" s="718"/>
      <c r="K927" s="718"/>
      <c r="L927" s="655" t="str">
        <f t="shared" si="915"/>
        <v>0</v>
      </c>
      <c r="M927" s="656">
        <f t="shared" si="780"/>
        <v>0</v>
      </c>
      <c r="N927" s="657">
        <f>+IF(OR($Q927=Parametres!$G$2,$Q927=Parametres!$G$3),I927,C927)</f>
        <v>0</v>
      </c>
      <c r="O927" s="657">
        <f>+IF(OR($Q927=Parametres!$G$2,$Q927=Parametres!$G$3),J927,D927)</f>
        <v>0</v>
      </c>
      <c r="P927" s="657">
        <f>+IF(OR($Q927=Parametres!$G$2,$Q927=Parametres!$G$3),K927,E927)</f>
        <v>0</v>
      </c>
      <c r="Q927" s="656">
        <f t="shared" ref="Q927:S927" si="944">+F927</f>
        <v>0</v>
      </c>
      <c r="R927" s="655">
        <f t="shared" si="944"/>
        <v>0</v>
      </c>
      <c r="S927" s="656">
        <f t="shared" si="944"/>
        <v>0</v>
      </c>
      <c r="T927" s="658" t="e">
        <f>+VLOOKUP($L927,Data_Validation!$A:$D,1,0)</f>
        <v>#N/A</v>
      </c>
      <c r="U927" s="658" t="e">
        <f>+VLOOKUP($L927,Data_Validation!$A:$D,3,0)</f>
        <v>#N/A</v>
      </c>
      <c r="V927" s="658" t="e">
        <f>+VLOOKUP($L927,Data_Validation!$A:$D,4,0)</f>
        <v>#N/A</v>
      </c>
      <c r="W927" s="658" t="e">
        <f>+VLOOKUP($L927,Data_Validation!$A:$E,5,0)</f>
        <v>#N/A</v>
      </c>
    </row>
    <row r="928" spans="1:23" ht="15.75" customHeight="1">
      <c r="A928" s="718"/>
      <c r="B928" s="656"/>
      <c r="C928" s="719"/>
      <c r="D928" s="718"/>
      <c r="E928" s="718"/>
      <c r="F928" s="718"/>
      <c r="G928" s="718"/>
      <c r="H928" s="718"/>
      <c r="I928" s="718"/>
      <c r="J928" s="718"/>
      <c r="K928" s="718"/>
      <c r="L928" s="655" t="str">
        <f t="shared" si="915"/>
        <v>0</v>
      </c>
      <c r="M928" s="656">
        <f t="shared" si="780"/>
        <v>0</v>
      </c>
      <c r="N928" s="657">
        <f>+IF(OR($Q928=Parametres!$G$2,$Q928=Parametres!$G$3),I928,C928)</f>
        <v>0</v>
      </c>
      <c r="O928" s="657">
        <f>+IF(OR($Q928=Parametres!$G$2,$Q928=Parametres!$G$3),J928,D928)</f>
        <v>0</v>
      </c>
      <c r="P928" s="657">
        <f>+IF(OR($Q928=Parametres!$G$2,$Q928=Parametres!$G$3),K928,E928)</f>
        <v>0</v>
      </c>
      <c r="Q928" s="656">
        <f t="shared" ref="Q928:S928" si="945">+F928</f>
        <v>0</v>
      </c>
      <c r="R928" s="655">
        <f t="shared" si="945"/>
        <v>0</v>
      </c>
      <c r="S928" s="656">
        <f t="shared" si="945"/>
        <v>0</v>
      </c>
      <c r="T928" s="658" t="e">
        <f>+VLOOKUP($L928,Data_Validation!$A:$D,1,0)</f>
        <v>#N/A</v>
      </c>
      <c r="U928" s="658" t="e">
        <f>+VLOOKUP($L928,Data_Validation!$A:$D,3,0)</f>
        <v>#N/A</v>
      </c>
      <c r="V928" s="658" t="e">
        <f>+VLOOKUP($L928,Data_Validation!$A:$D,4,0)</f>
        <v>#N/A</v>
      </c>
      <c r="W928" s="658" t="e">
        <f>+VLOOKUP($L928,Data_Validation!$A:$E,5,0)</f>
        <v>#N/A</v>
      </c>
    </row>
    <row r="929" spans="1:23" ht="15.75" customHeight="1">
      <c r="A929" s="718"/>
      <c r="B929" s="656"/>
      <c r="C929" s="719"/>
      <c r="D929" s="718"/>
      <c r="E929" s="718"/>
      <c r="F929" s="718"/>
      <c r="G929" s="718"/>
      <c r="H929" s="718"/>
      <c r="I929" s="718"/>
      <c r="J929" s="718"/>
      <c r="K929" s="718"/>
      <c r="L929" s="655" t="str">
        <f t="shared" si="915"/>
        <v>0</v>
      </c>
      <c r="M929" s="656">
        <f t="shared" si="780"/>
        <v>0</v>
      </c>
      <c r="N929" s="657">
        <f>+IF(OR($Q929=Parametres!$G$2,$Q929=Parametres!$G$3),I929,C929)</f>
        <v>0</v>
      </c>
      <c r="O929" s="657">
        <f>+IF(OR($Q929=Parametres!$G$2,$Q929=Parametres!$G$3),J929,D929)</f>
        <v>0</v>
      </c>
      <c r="P929" s="657">
        <f>+IF(OR($Q929=Parametres!$G$2,$Q929=Parametres!$G$3),K929,E929)</f>
        <v>0</v>
      </c>
      <c r="Q929" s="656">
        <f t="shared" ref="Q929:S929" si="946">+F929</f>
        <v>0</v>
      </c>
      <c r="R929" s="655">
        <f t="shared" si="946"/>
        <v>0</v>
      </c>
      <c r="S929" s="656">
        <f t="shared" si="946"/>
        <v>0</v>
      </c>
      <c r="T929" s="658" t="e">
        <f>+VLOOKUP($L929,Data_Validation!$A:$D,1,0)</f>
        <v>#N/A</v>
      </c>
      <c r="U929" s="658" t="e">
        <f>+VLOOKUP($L929,Data_Validation!$A:$D,3,0)</f>
        <v>#N/A</v>
      </c>
      <c r="V929" s="658" t="e">
        <f>+VLOOKUP($L929,Data_Validation!$A:$D,4,0)</f>
        <v>#N/A</v>
      </c>
      <c r="W929" s="658" t="e">
        <f>+VLOOKUP($L929,Data_Validation!$A:$E,5,0)</f>
        <v>#N/A</v>
      </c>
    </row>
    <row r="930" spans="1:23" ht="15.75" customHeight="1">
      <c r="A930" s="718"/>
      <c r="B930" s="656"/>
      <c r="C930" s="719"/>
      <c r="D930" s="718"/>
      <c r="E930" s="718"/>
      <c r="F930" s="718"/>
      <c r="G930" s="718"/>
      <c r="H930" s="718"/>
      <c r="I930" s="718"/>
      <c r="J930" s="718"/>
      <c r="K930" s="718"/>
      <c r="L930" s="655" t="str">
        <f t="shared" si="915"/>
        <v>0</v>
      </c>
      <c r="M930" s="656">
        <f t="shared" si="780"/>
        <v>0</v>
      </c>
      <c r="N930" s="657">
        <f>+IF(OR($Q930=Parametres!$G$2,$Q930=Parametres!$G$3),I930,C930)</f>
        <v>0</v>
      </c>
      <c r="O930" s="657">
        <f>+IF(OR($Q930=Parametres!$G$2,$Q930=Parametres!$G$3),J930,D930)</f>
        <v>0</v>
      </c>
      <c r="P930" s="657">
        <f>+IF(OR($Q930=Parametres!$G$2,$Q930=Parametres!$G$3),K930,E930)</f>
        <v>0</v>
      </c>
      <c r="Q930" s="656">
        <f t="shared" ref="Q930:S930" si="947">+F930</f>
        <v>0</v>
      </c>
      <c r="R930" s="655">
        <f t="shared" si="947"/>
        <v>0</v>
      </c>
      <c r="S930" s="656">
        <f t="shared" si="947"/>
        <v>0</v>
      </c>
      <c r="T930" s="658" t="e">
        <f>+VLOOKUP($L930,Data_Validation!$A:$D,1,0)</f>
        <v>#N/A</v>
      </c>
      <c r="U930" s="658" t="e">
        <f>+VLOOKUP($L930,Data_Validation!$A:$D,3,0)</f>
        <v>#N/A</v>
      </c>
      <c r="V930" s="658" t="e">
        <f>+VLOOKUP($L930,Data_Validation!$A:$D,4,0)</f>
        <v>#N/A</v>
      </c>
      <c r="W930" s="658" t="e">
        <f>+VLOOKUP($L930,Data_Validation!$A:$E,5,0)</f>
        <v>#N/A</v>
      </c>
    </row>
    <row r="931" spans="1:23" ht="15.75" customHeight="1">
      <c r="A931" s="718"/>
      <c r="B931" s="656"/>
      <c r="C931" s="719"/>
      <c r="D931" s="718"/>
      <c r="E931" s="718"/>
      <c r="F931" s="718"/>
      <c r="G931" s="718"/>
      <c r="H931" s="718"/>
      <c r="I931" s="718"/>
      <c r="J931" s="718"/>
      <c r="K931" s="718"/>
      <c r="L931" s="655" t="str">
        <f t="shared" si="915"/>
        <v>0</v>
      </c>
      <c r="M931" s="656">
        <f t="shared" si="780"/>
        <v>0</v>
      </c>
      <c r="N931" s="657">
        <f>+IF(OR($Q931=Parametres!$G$2,$Q931=Parametres!$G$3),I931,C931)</f>
        <v>0</v>
      </c>
      <c r="O931" s="657">
        <f>+IF(OR($Q931=Parametres!$G$2,$Q931=Parametres!$G$3),J931,D931)</f>
        <v>0</v>
      </c>
      <c r="P931" s="657">
        <f>+IF(OR($Q931=Parametres!$G$2,$Q931=Parametres!$G$3),K931,E931)</f>
        <v>0</v>
      </c>
      <c r="Q931" s="656">
        <f t="shared" ref="Q931:S931" si="948">+F931</f>
        <v>0</v>
      </c>
      <c r="R931" s="655">
        <f t="shared" si="948"/>
        <v>0</v>
      </c>
      <c r="S931" s="656">
        <f t="shared" si="948"/>
        <v>0</v>
      </c>
      <c r="T931" s="658" t="e">
        <f>+VLOOKUP($L931,Data_Validation!$A:$D,1,0)</f>
        <v>#N/A</v>
      </c>
      <c r="U931" s="658" t="e">
        <f>+VLOOKUP($L931,Data_Validation!$A:$D,3,0)</f>
        <v>#N/A</v>
      </c>
      <c r="V931" s="658" t="e">
        <f>+VLOOKUP($L931,Data_Validation!$A:$D,4,0)</f>
        <v>#N/A</v>
      </c>
      <c r="W931" s="658" t="e">
        <f>+VLOOKUP($L931,Data_Validation!$A:$E,5,0)</f>
        <v>#N/A</v>
      </c>
    </row>
    <row r="932" spans="1:23" ht="15.75" customHeight="1">
      <c r="A932" s="718"/>
      <c r="B932" s="656"/>
      <c r="C932" s="719"/>
      <c r="D932" s="718"/>
      <c r="E932" s="718"/>
      <c r="F932" s="718"/>
      <c r="G932" s="718"/>
      <c r="H932" s="718"/>
      <c r="I932" s="718"/>
      <c r="J932" s="718"/>
      <c r="K932" s="718"/>
      <c r="L932" s="655" t="str">
        <f t="shared" si="915"/>
        <v>0</v>
      </c>
      <c r="M932" s="656">
        <f t="shared" si="780"/>
        <v>0</v>
      </c>
      <c r="N932" s="657">
        <f>+IF(OR($Q932=Parametres!$G$2,$Q932=Parametres!$G$3),I932,C932)</f>
        <v>0</v>
      </c>
      <c r="O932" s="657">
        <f>+IF(OR($Q932=Parametres!$G$2,$Q932=Parametres!$G$3),J932,D932)</f>
        <v>0</v>
      </c>
      <c r="P932" s="657">
        <f>+IF(OR($Q932=Parametres!$G$2,$Q932=Parametres!$G$3),K932,E932)</f>
        <v>0</v>
      </c>
      <c r="Q932" s="656">
        <f t="shared" ref="Q932:S932" si="949">+F932</f>
        <v>0</v>
      </c>
      <c r="R932" s="655">
        <f t="shared" si="949"/>
        <v>0</v>
      </c>
      <c r="S932" s="656">
        <f t="shared" si="949"/>
        <v>0</v>
      </c>
      <c r="T932" s="658" t="e">
        <f>+VLOOKUP($L932,Data_Validation!$A:$D,1,0)</f>
        <v>#N/A</v>
      </c>
      <c r="U932" s="658" t="e">
        <f>+VLOOKUP($L932,Data_Validation!$A:$D,3,0)</f>
        <v>#N/A</v>
      </c>
      <c r="V932" s="658" t="e">
        <f>+VLOOKUP($L932,Data_Validation!$A:$D,4,0)</f>
        <v>#N/A</v>
      </c>
      <c r="W932" s="658" t="e">
        <f>+VLOOKUP($L932,Data_Validation!$A:$E,5,0)</f>
        <v>#N/A</v>
      </c>
    </row>
    <row r="933" spans="1:23" ht="15.75" customHeight="1">
      <c r="A933" s="718"/>
      <c r="B933" s="656"/>
      <c r="C933" s="719"/>
      <c r="D933" s="718"/>
      <c r="E933" s="718"/>
      <c r="F933" s="718"/>
      <c r="G933" s="718"/>
      <c r="H933" s="718"/>
      <c r="I933" s="718"/>
      <c r="J933" s="718"/>
      <c r="K933" s="718"/>
      <c r="L933" s="655" t="str">
        <f t="shared" si="915"/>
        <v>0</v>
      </c>
      <c r="M933" s="656">
        <f t="shared" si="780"/>
        <v>0</v>
      </c>
      <c r="N933" s="657">
        <f>+IF(OR($Q933=Parametres!$G$2,$Q933=Parametres!$G$3),I933,C933)</f>
        <v>0</v>
      </c>
      <c r="O933" s="657">
        <f>+IF(OR($Q933=Parametres!$G$2,$Q933=Parametres!$G$3),J933,D933)</f>
        <v>0</v>
      </c>
      <c r="P933" s="657">
        <f>+IF(OR($Q933=Parametres!$G$2,$Q933=Parametres!$G$3),K933,E933)</f>
        <v>0</v>
      </c>
      <c r="Q933" s="656">
        <f t="shared" ref="Q933:S933" si="950">+F933</f>
        <v>0</v>
      </c>
      <c r="R933" s="655">
        <f t="shared" si="950"/>
        <v>0</v>
      </c>
      <c r="S933" s="656">
        <f t="shared" si="950"/>
        <v>0</v>
      </c>
      <c r="T933" s="658" t="e">
        <f>+VLOOKUP($L933,Data_Validation!$A:$D,1,0)</f>
        <v>#N/A</v>
      </c>
      <c r="U933" s="658" t="e">
        <f>+VLOOKUP($L933,Data_Validation!$A:$D,3,0)</f>
        <v>#N/A</v>
      </c>
      <c r="V933" s="658" t="e">
        <f>+VLOOKUP($L933,Data_Validation!$A:$D,4,0)</f>
        <v>#N/A</v>
      </c>
      <c r="W933" s="658" t="e">
        <f>+VLOOKUP($L933,Data_Validation!$A:$E,5,0)</f>
        <v>#N/A</v>
      </c>
    </row>
    <row r="934" spans="1:23" ht="15.75" customHeight="1">
      <c r="A934" s="718"/>
      <c r="B934" s="656"/>
      <c r="C934" s="719"/>
      <c r="D934" s="718"/>
      <c r="E934" s="718"/>
      <c r="F934" s="718"/>
      <c r="G934" s="718"/>
      <c r="H934" s="718"/>
      <c r="I934" s="718"/>
      <c r="J934" s="718"/>
      <c r="K934" s="718"/>
      <c r="L934" s="655" t="str">
        <f t="shared" si="915"/>
        <v>0</v>
      </c>
      <c r="M934" s="656">
        <f t="shared" si="780"/>
        <v>0</v>
      </c>
      <c r="N934" s="657">
        <f>+IF(OR($Q934=Parametres!$G$2,$Q934=Parametres!$G$3),I934,C934)</f>
        <v>0</v>
      </c>
      <c r="O934" s="657">
        <f>+IF(OR($Q934=Parametres!$G$2,$Q934=Parametres!$G$3),J934,D934)</f>
        <v>0</v>
      </c>
      <c r="P934" s="657">
        <f>+IF(OR($Q934=Parametres!$G$2,$Q934=Parametres!$G$3),K934,E934)</f>
        <v>0</v>
      </c>
      <c r="Q934" s="656">
        <f t="shared" ref="Q934:S934" si="951">+F934</f>
        <v>0</v>
      </c>
      <c r="R934" s="655">
        <f t="shared" si="951"/>
        <v>0</v>
      </c>
      <c r="S934" s="656">
        <f t="shared" si="951"/>
        <v>0</v>
      </c>
      <c r="T934" s="658" t="e">
        <f>+VLOOKUP($L934,Data_Validation!$A:$D,1,0)</f>
        <v>#N/A</v>
      </c>
      <c r="U934" s="658" t="e">
        <f>+VLOOKUP($L934,Data_Validation!$A:$D,3,0)</f>
        <v>#N/A</v>
      </c>
      <c r="V934" s="658" t="e">
        <f>+VLOOKUP($L934,Data_Validation!$A:$D,4,0)</f>
        <v>#N/A</v>
      </c>
      <c r="W934" s="658" t="e">
        <f>+VLOOKUP($L934,Data_Validation!$A:$E,5,0)</f>
        <v>#N/A</v>
      </c>
    </row>
    <row r="935" spans="1:23" ht="15.75" customHeight="1">
      <c r="A935" s="718"/>
      <c r="B935" s="656"/>
      <c r="C935" s="719"/>
      <c r="D935" s="718"/>
      <c r="E935" s="718"/>
      <c r="F935" s="718"/>
      <c r="G935" s="718"/>
      <c r="H935" s="718"/>
      <c r="I935" s="718"/>
      <c r="J935" s="718"/>
      <c r="K935" s="718"/>
      <c r="L935" s="655" t="str">
        <f t="shared" si="915"/>
        <v>0</v>
      </c>
      <c r="M935" s="656">
        <f t="shared" si="780"/>
        <v>0</v>
      </c>
      <c r="N935" s="657">
        <f>+IF(OR($Q935=Parametres!$G$2,$Q935=Parametres!$G$3),I935,C935)</f>
        <v>0</v>
      </c>
      <c r="O935" s="657">
        <f>+IF(OR($Q935=Parametres!$G$2,$Q935=Parametres!$G$3),J935,D935)</f>
        <v>0</v>
      </c>
      <c r="P935" s="657">
        <f>+IF(OR($Q935=Parametres!$G$2,$Q935=Parametres!$G$3),K935,E935)</f>
        <v>0</v>
      </c>
      <c r="Q935" s="656">
        <f t="shared" ref="Q935:S935" si="952">+F935</f>
        <v>0</v>
      </c>
      <c r="R935" s="655">
        <f t="shared" si="952"/>
        <v>0</v>
      </c>
      <c r="S935" s="656">
        <f t="shared" si="952"/>
        <v>0</v>
      </c>
      <c r="T935" s="658" t="e">
        <f>+VLOOKUP($L935,Data_Validation!$A:$D,1,0)</f>
        <v>#N/A</v>
      </c>
      <c r="U935" s="658" t="e">
        <f>+VLOOKUP($L935,Data_Validation!$A:$D,3,0)</f>
        <v>#N/A</v>
      </c>
      <c r="V935" s="658" t="e">
        <f>+VLOOKUP($L935,Data_Validation!$A:$D,4,0)</f>
        <v>#N/A</v>
      </c>
      <c r="W935" s="658" t="e">
        <f>+VLOOKUP($L935,Data_Validation!$A:$E,5,0)</f>
        <v>#N/A</v>
      </c>
    </row>
    <row r="936" spans="1:23" ht="15.75" customHeight="1">
      <c r="A936" s="718"/>
      <c r="B936" s="656"/>
      <c r="C936" s="719"/>
      <c r="D936" s="718"/>
      <c r="E936" s="718"/>
      <c r="F936" s="718"/>
      <c r="G936" s="718"/>
      <c r="H936" s="718"/>
      <c r="I936" s="718"/>
      <c r="J936" s="718"/>
      <c r="K936" s="718"/>
      <c r="L936" s="655" t="str">
        <f t="shared" si="915"/>
        <v>0</v>
      </c>
      <c r="M936" s="656">
        <f t="shared" si="780"/>
        <v>0</v>
      </c>
      <c r="N936" s="657">
        <f>+IF(OR($Q936=Parametres!$G$2,$Q936=Parametres!$G$3),I936,C936)</f>
        <v>0</v>
      </c>
      <c r="O936" s="657">
        <f>+IF(OR($Q936=Parametres!$G$2,$Q936=Parametres!$G$3),J936,D936)</f>
        <v>0</v>
      </c>
      <c r="P936" s="657">
        <f>+IF(OR($Q936=Parametres!$G$2,$Q936=Parametres!$G$3),K936,E936)</f>
        <v>0</v>
      </c>
      <c r="Q936" s="656">
        <f t="shared" ref="Q936:S936" si="953">+F936</f>
        <v>0</v>
      </c>
      <c r="R936" s="655">
        <f t="shared" si="953"/>
        <v>0</v>
      </c>
      <c r="S936" s="656">
        <f t="shared" si="953"/>
        <v>0</v>
      </c>
      <c r="T936" s="658" t="e">
        <f>+VLOOKUP($L936,Data_Validation!$A:$D,1,0)</f>
        <v>#N/A</v>
      </c>
      <c r="U936" s="658" t="e">
        <f>+VLOOKUP($L936,Data_Validation!$A:$D,3,0)</f>
        <v>#N/A</v>
      </c>
      <c r="V936" s="658" t="e">
        <f>+VLOOKUP($L936,Data_Validation!$A:$D,4,0)</f>
        <v>#N/A</v>
      </c>
      <c r="W936" s="658" t="e">
        <f>+VLOOKUP($L936,Data_Validation!$A:$E,5,0)</f>
        <v>#N/A</v>
      </c>
    </row>
    <row r="937" spans="1:23" ht="15.75" customHeight="1">
      <c r="A937" s="718"/>
      <c r="B937" s="656"/>
      <c r="C937" s="719"/>
      <c r="D937" s="718"/>
      <c r="E937" s="718"/>
      <c r="F937" s="718"/>
      <c r="G937" s="718"/>
      <c r="H937" s="718"/>
      <c r="I937" s="718"/>
      <c r="J937" s="718"/>
      <c r="K937" s="718"/>
      <c r="L937" s="655" t="str">
        <f t="shared" si="915"/>
        <v>0</v>
      </c>
      <c r="M937" s="656">
        <f t="shared" si="780"/>
        <v>0</v>
      </c>
      <c r="N937" s="657">
        <f>+IF(OR($Q937=Parametres!$G$2,$Q937=Parametres!$G$3),I937,C937)</f>
        <v>0</v>
      </c>
      <c r="O937" s="657">
        <f>+IF(OR($Q937=Parametres!$G$2,$Q937=Parametres!$G$3),J937,D937)</f>
        <v>0</v>
      </c>
      <c r="P937" s="657">
        <f>+IF(OR($Q937=Parametres!$G$2,$Q937=Parametres!$G$3),K937,E937)</f>
        <v>0</v>
      </c>
      <c r="Q937" s="656">
        <f t="shared" ref="Q937:S937" si="954">+F937</f>
        <v>0</v>
      </c>
      <c r="R937" s="655">
        <f t="shared" si="954"/>
        <v>0</v>
      </c>
      <c r="S937" s="656">
        <f t="shared" si="954"/>
        <v>0</v>
      </c>
      <c r="T937" s="658" t="e">
        <f>+VLOOKUP($L937,Data_Validation!$A:$D,1,0)</f>
        <v>#N/A</v>
      </c>
      <c r="U937" s="658" t="e">
        <f>+VLOOKUP($L937,Data_Validation!$A:$D,3,0)</f>
        <v>#N/A</v>
      </c>
      <c r="V937" s="658" t="e">
        <f>+VLOOKUP($L937,Data_Validation!$A:$D,4,0)</f>
        <v>#N/A</v>
      </c>
      <c r="W937" s="658" t="e">
        <f>+VLOOKUP($L937,Data_Validation!$A:$E,5,0)</f>
        <v>#N/A</v>
      </c>
    </row>
    <row r="938" spans="1:23" ht="15.75" customHeight="1">
      <c r="A938" s="718"/>
      <c r="B938" s="656"/>
      <c r="C938" s="719"/>
      <c r="D938" s="718"/>
      <c r="E938" s="718"/>
      <c r="F938" s="718"/>
      <c r="G938" s="718"/>
      <c r="H938" s="718"/>
      <c r="I938" s="718"/>
      <c r="J938" s="718"/>
      <c r="K938" s="718"/>
      <c r="L938" s="655" t="str">
        <f t="shared" si="915"/>
        <v>0</v>
      </c>
      <c r="M938" s="656">
        <f t="shared" si="780"/>
        <v>0</v>
      </c>
      <c r="N938" s="657">
        <f>+IF(OR($Q938=Parametres!$G$2,$Q938=Parametres!$G$3),I938,C938)</f>
        <v>0</v>
      </c>
      <c r="O938" s="657">
        <f>+IF(OR($Q938=Parametres!$G$2,$Q938=Parametres!$G$3),J938,D938)</f>
        <v>0</v>
      </c>
      <c r="P938" s="657">
        <f>+IF(OR($Q938=Parametres!$G$2,$Q938=Parametres!$G$3),K938,E938)</f>
        <v>0</v>
      </c>
      <c r="Q938" s="656">
        <f t="shared" ref="Q938:S938" si="955">+F938</f>
        <v>0</v>
      </c>
      <c r="R938" s="655">
        <f t="shared" si="955"/>
        <v>0</v>
      </c>
      <c r="S938" s="656">
        <f t="shared" si="955"/>
        <v>0</v>
      </c>
      <c r="T938" s="658" t="e">
        <f>+VLOOKUP($L938,Data_Validation!$A:$D,1,0)</f>
        <v>#N/A</v>
      </c>
      <c r="U938" s="658" t="e">
        <f>+VLOOKUP($L938,Data_Validation!$A:$D,3,0)</f>
        <v>#N/A</v>
      </c>
      <c r="V938" s="658" t="e">
        <f>+VLOOKUP($L938,Data_Validation!$A:$D,4,0)</f>
        <v>#N/A</v>
      </c>
      <c r="W938" s="658" t="e">
        <f>+VLOOKUP($L938,Data_Validation!$A:$E,5,0)</f>
        <v>#N/A</v>
      </c>
    </row>
    <row r="939" spans="1:23" ht="15.75" customHeight="1">
      <c r="A939" s="718"/>
      <c r="B939" s="656"/>
      <c r="C939" s="719"/>
      <c r="D939" s="718"/>
      <c r="E939" s="718"/>
      <c r="F939" s="718"/>
      <c r="G939" s="718"/>
      <c r="H939" s="718"/>
      <c r="I939" s="718"/>
      <c r="J939" s="718"/>
      <c r="K939" s="718"/>
      <c r="L939" s="655" t="str">
        <f t="shared" si="915"/>
        <v>0</v>
      </c>
      <c r="M939" s="656">
        <f t="shared" si="780"/>
        <v>0</v>
      </c>
      <c r="N939" s="657">
        <f>+IF(OR($Q939=Parametres!$G$2,$Q939=Parametres!$G$3),I939,C939)</f>
        <v>0</v>
      </c>
      <c r="O939" s="657">
        <f>+IF(OR($Q939=Parametres!$G$2,$Q939=Parametres!$G$3),J939,D939)</f>
        <v>0</v>
      </c>
      <c r="P939" s="657">
        <f>+IF(OR($Q939=Parametres!$G$2,$Q939=Parametres!$G$3),K939,E939)</f>
        <v>0</v>
      </c>
      <c r="Q939" s="656">
        <f t="shared" ref="Q939:S939" si="956">+F939</f>
        <v>0</v>
      </c>
      <c r="R939" s="655">
        <f t="shared" si="956"/>
        <v>0</v>
      </c>
      <c r="S939" s="656">
        <f t="shared" si="956"/>
        <v>0</v>
      </c>
      <c r="T939" s="658" t="e">
        <f>+VLOOKUP($L939,Data_Validation!$A:$D,1,0)</f>
        <v>#N/A</v>
      </c>
      <c r="U939" s="658" t="e">
        <f>+VLOOKUP($L939,Data_Validation!$A:$D,3,0)</f>
        <v>#N/A</v>
      </c>
      <c r="V939" s="658" t="e">
        <f>+VLOOKUP($L939,Data_Validation!$A:$D,4,0)</f>
        <v>#N/A</v>
      </c>
      <c r="W939" s="658" t="e">
        <f>+VLOOKUP($L939,Data_Validation!$A:$E,5,0)</f>
        <v>#N/A</v>
      </c>
    </row>
    <row r="940" spans="1:23" ht="15.75" customHeight="1">
      <c r="A940" s="718"/>
      <c r="B940" s="656"/>
      <c r="C940" s="719"/>
      <c r="D940" s="718"/>
      <c r="E940" s="718"/>
      <c r="F940" s="718"/>
      <c r="G940" s="718"/>
      <c r="H940" s="718"/>
      <c r="I940" s="718"/>
      <c r="J940" s="718"/>
      <c r="K940" s="718"/>
      <c r="L940" s="655" t="str">
        <f t="shared" si="915"/>
        <v>0</v>
      </c>
      <c r="M940" s="656">
        <f t="shared" si="780"/>
        <v>0</v>
      </c>
      <c r="N940" s="657">
        <f>+IF(OR($Q940=Parametres!$G$2,$Q940=Parametres!$G$3),I940,C940)</f>
        <v>0</v>
      </c>
      <c r="O940" s="657">
        <f>+IF(OR($Q940=Parametres!$G$2,$Q940=Parametres!$G$3),J940,D940)</f>
        <v>0</v>
      </c>
      <c r="P940" s="657">
        <f>+IF(OR($Q940=Parametres!$G$2,$Q940=Parametres!$G$3),K940,E940)</f>
        <v>0</v>
      </c>
      <c r="Q940" s="656">
        <f t="shared" ref="Q940:S940" si="957">+F940</f>
        <v>0</v>
      </c>
      <c r="R940" s="655">
        <f t="shared" si="957"/>
        <v>0</v>
      </c>
      <c r="S940" s="656">
        <f t="shared" si="957"/>
        <v>0</v>
      </c>
      <c r="T940" s="658" t="e">
        <f>+VLOOKUP($L940,Data_Validation!$A:$D,1,0)</f>
        <v>#N/A</v>
      </c>
      <c r="U940" s="658" t="e">
        <f>+VLOOKUP($L940,Data_Validation!$A:$D,3,0)</f>
        <v>#N/A</v>
      </c>
      <c r="V940" s="658" t="e">
        <f>+VLOOKUP($L940,Data_Validation!$A:$D,4,0)</f>
        <v>#N/A</v>
      </c>
      <c r="W940" s="658" t="e">
        <f>+VLOOKUP($L940,Data_Validation!$A:$E,5,0)</f>
        <v>#N/A</v>
      </c>
    </row>
    <row r="941" spans="1:23" ht="15.75" customHeight="1">
      <c r="A941" s="718"/>
      <c r="B941" s="656"/>
      <c r="C941" s="719"/>
      <c r="D941" s="718"/>
      <c r="E941" s="718"/>
      <c r="F941" s="718"/>
      <c r="G941" s="718"/>
      <c r="H941" s="718"/>
      <c r="I941" s="718"/>
      <c r="J941" s="718"/>
      <c r="K941" s="718"/>
      <c r="L941" s="655" t="str">
        <f t="shared" si="915"/>
        <v>0</v>
      </c>
      <c r="M941" s="656">
        <f t="shared" si="780"/>
        <v>0</v>
      </c>
      <c r="N941" s="657">
        <f>+IF(OR($Q941=Parametres!$G$2,$Q941=Parametres!$G$3),I941,C941)</f>
        <v>0</v>
      </c>
      <c r="O941" s="657">
        <f>+IF(OR($Q941=Parametres!$G$2,$Q941=Parametres!$G$3),J941,D941)</f>
        <v>0</v>
      </c>
      <c r="P941" s="657">
        <f>+IF(OR($Q941=Parametres!$G$2,$Q941=Parametres!$G$3),K941,E941)</f>
        <v>0</v>
      </c>
      <c r="Q941" s="656">
        <f t="shared" ref="Q941:S941" si="958">+F941</f>
        <v>0</v>
      </c>
      <c r="R941" s="655">
        <f t="shared" si="958"/>
        <v>0</v>
      </c>
      <c r="S941" s="656">
        <f t="shared" si="958"/>
        <v>0</v>
      </c>
      <c r="T941" s="658" t="e">
        <f>+VLOOKUP($L941,Data_Validation!$A:$D,1,0)</f>
        <v>#N/A</v>
      </c>
      <c r="U941" s="658" t="e">
        <f>+VLOOKUP($L941,Data_Validation!$A:$D,3,0)</f>
        <v>#N/A</v>
      </c>
      <c r="V941" s="658" t="e">
        <f>+VLOOKUP($L941,Data_Validation!$A:$D,4,0)</f>
        <v>#N/A</v>
      </c>
      <c r="W941" s="658" t="e">
        <f>+VLOOKUP($L941,Data_Validation!$A:$E,5,0)</f>
        <v>#N/A</v>
      </c>
    </row>
    <row r="942" spans="1:23" ht="15.75" customHeight="1">
      <c r="A942" s="718"/>
      <c r="B942" s="656"/>
      <c r="C942" s="719"/>
      <c r="D942" s="718"/>
      <c r="E942" s="718"/>
      <c r="F942" s="718"/>
      <c r="G942" s="718"/>
      <c r="H942" s="718"/>
      <c r="I942" s="718"/>
      <c r="J942" s="718"/>
      <c r="K942" s="718"/>
      <c r="L942" s="655" t="str">
        <f t="shared" si="915"/>
        <v>0</v>
      </c>
      <c r="M942" s="656">
        <f t="shared" si="780"/>
        <v>0</v>
      </c>
      <c r="N942" s="657">
        <f>+IF(OR($Q942=Parametres!$G$2,$Q942=Parametres!$G$3),I942,C942)</f>
        <v>0</v>
      </c>
      <c r="O942" s="657">
        <f>+IF(OR($Q942=Parametres!$G$2,$Q942=Parametres!$G$3),J942,D942)</f>
        <v>0</v>
      </c>
      <c r="P942" s="657">
        <f>+IF(OR($Q942=Parametres!$G$2,$Q942=Parametres!$G$3),K942,E942)</f>
        <v>0</v>
      </c>
      <c r="Q942" s="656">
        <f t="shared" ref="Q942:S942" si="959">+F942</f>
        <v>0</v>
      </c>
      <c r="R942" s="655">
        <f t="shared" si="959"/>
        <v>0</v>
      </c>
      <c r="S942" s="656">
        <f t="shared" si="959"/>
        <v>0</v>
      </c>
      <c r="T942" s="658" t="e">
        <f>+VLOOKUP($L942,Data_Validation!$A:$D,1,0)</f>
        <v>#N/A</v>
      </c>
      <c r="U942" s="658" t="e">
        <f>+VLOOKUP($L942,Data_Validation!$A:$D,3,0)</f>
        <v>#N/A</v>
      </c>
      <c r="V942" s="658" t="e">
        <f>+VLOOKUP($L942,Data_Validation!$A:$D,4,0)</f>
        <v>#N/A</v>
      </c>
      <c r="W942" s="658" t="e">
        <f>+VLOOKUP($L942,Data_Validation!$A:$E,5,0)</f>
        <v>#N/A</v>
      </c>
    </row>
    <row r="943" spans="1:23" ht="15.75" customHeight="1">
      <c r="A943" s="718"/>
      <c r="B943" s="656"/>
      <c r="C943" s="719"/>
      <c r="D943" s="718"/>
      <c r="E943" s="718"/>
      <c r="F943" s="718"/>
      <c r="G943" s="718"/>
      <c r="H943" s="718"/>
      <c r="I943" s="718"/>
      <c r="J943" s="718"/>
      <c r="K943" s="718"/>
      <c r="L943" s="655" t="str">
        <f t="shared" si="915"/>
        <v>0</v>
      </c>
      <c r="M943" s="656">
        <f t="shared" si="780"/>
        <v>0</v>
      </c>
      <c r="N943" s="657">
        <f>+IF(OR($Q943=Parametres!$G$2,$Q943=Parametres!$G$3),I943,C943)</f>
        <v>0</v>
      </c>
      <c r="O943" s="657">
        <f>+IF(OR($Q943=Parametres!$G$2,$Q943=Parametres!$G$3),J943,D943)</f>
        <v>0</v>
      </c>
      <c r="P943" s="657">
        <f>+IF(OR($Q943=Parametres!$G$2,$Q943=Parametres!$G$3),K943,E943)</f>
        <v>0</v>
      </c>
      <c r="Q943" s="656">
        <f t="shared" ref="Q943:S943" si="960">+F943</f>
        <v>0</v>
      </c>
      <c r="R943" s="655">
        <f t="shared" si="960"/>
        <v>0</v>
      </c>
      <c r="S943" s="656">
        <f t="shared" si="960"/>
        <v>0</v>
      </c>
      <c r="T943" s="658" t="e">
        <f>+VLOOKUP($L943,Data_Validation!$A:$D,1,0)</f>
        <v>#N/A</v>
      </c>
      <c r="U943" s="658" t="e">
        <f>+VLOOKUP($L943,Data_Validation!$A:$D,3,0)</f>
        <v>#N/A</v>
      </c>
      <c r="V943" s="658" t="e">
        <f>+VLOOKUP($L943,Data_Validation!$A:$D,4,0)</f>
        <v>#N/A</v>
      </c>
      <c r="W943" s="658" t="e">
        <f>+VLOOKUP($L943,Data_Validation!$A:$E,5,0)</f>
        <v>#N/A</v>
      </c>
    </row>
    <row r="944" spans="1:23" ht="15.75" customHeight="1">
      <c r="A944" s="718"/>
      <c r="B944" s="656"/>
      <c r="C944" s="719"/>
      <c r="D944" s="718"/>
      <c r="E944" s="718"/>
      <c r="F944" s="718"/>
      <c r="G944" s="718"/>
      <c r="H944" s="718"/>
      <c r="I944" s="718"/>
      <c r="J944" s="718"/>
      <c r="K944" s="718"/>
      <c r="L944" s="655" t="str">
        <f t="shared" si="915"/>
        <v>0</v>
      </c>
      <c r="M944" s="656">
        <f t="shared" si="780"/>
        <v>0</v>
      </c>
      <c r="N944" s="657">
        <f>+IF(OR($Q944=Parametres!$G$2,$Q944=Parametres!$G$3),I944,C944)</f>
        <v>0</v>
      </c>
      <c r="O944" s="657">
        <f>+IF(OR($Q944=Parametres!$G$2,$Q944=Parametres!$G$3),J944,D944)</f>
        <v>0</v>
      </c>
      <c r="P944" s="657">
        <f>+IF(OR($Q944=Parametres!$G$2,$Q944=Parametres!$G$3),K944,E944)</f>
        <v>0</v>
      </c>
      <c r="Q944" s="656">
        <f t="shared" ref="Q944:S944" si="961">+F944</f>
        <v>0</v>
      </c>
      <c r="R944" s="655">
        <f t="shared" si="961"/>
        <v>0</v>
      </c>
      <c r="S944" s="656">
        <f t="shared" si="961"/>
        <v>0</v>
      </c>
      <c r="T944" s="658" t="e">
        <f>+VLOOKUP($L944,Data_Validation!$A:$D,1,0)</f>
        <v>#N/A</v>
      </c>
      <c r="U944" s="658" t="e">
        <f>+VLOOKUP($L944,Data_Validation!$A:$D,3,0)</f>
        <v>#N/A</v>
      </c>
      <c r="V944" s="658" t="e">
        <f>+VLOOKUP($L944,Data_Validation!$A:$D,4,0)</f>
        <v>#N/A</v>
      </c>
      <c r="W944" s="658" t="e">
        <f>+VLOOKUP($L944,Data_Validation!$A:$E,5,0)</f>
        <v>#N/A</v>
      </c>
    </row>
    <row r="945" spans="1:23" ht="15.75" customHeight="1">
      <c r="A945" s="718"/>
      <c r="B945" s="656"/>
      <c r="C945" s="719"/>
      <c r="D945" s="718"/>
      <c r="E945" s="718"/>
      <c r="F945" s="718"/>
      <c r="G945" s="718"/>
      <c r="H945" s="718"/>
      <c r="I945" s="718"/>
      <c r="J945" s="718"/>
      <c r="K945" s="718"/>
      <c r="L945" s="655" t="str">
        <f t="shared" si="915"/>
        <v>0</v>
      </c>
      <c r="M945" s="656">
        <f t="shared" si="780"/>
        <v>0</v>
      </c>
      <c r="N945" s="657">
        <f>+IF(OR($Q945=Parametres!$G$2,$Q945=Parametres!$G$3),I945,C945)</f>
        <v>0</v>
      </c>
      <c r="O945" s="657">
        <f>+IF(OR($Q945=Parametres!$G$2,$Q945=Parametres!$G$3),J945,D945)</f>
        <v>0</v>
      </c>
      <c r="P945" s="657">
        <f>+IF(OR($Q945=Parametres!$G$2,$Q945=Parametres!$G$3),K945,E945)</f>
        <v>0</v>
      </c>
      <c r="Q945" s="656">
        <f t="shared" ref="Q945:S945" si="962">+F945</f>
        <v>0</v>
      </c>
      <c r="R945" s="655">
        <f t="shared" si="962"/>
        <v>0</v>
      </c>
      <c r="S945" s="656">
        <f t="shared" si="962"/>
        <v>0</v>
      </c>
      <c r="T945" s="658" t="e">
        <f>+VLOOKUP($L945,Data_Validation!$A:$D,1,0)</f>
        <v>#N/A</v>
      </c>
      <c r="U945" s="658" t="e">
        <f>+VLOOKUP($L945,Data_Validation!$A:$D,3,0)</f>
        <v>#N/A</v>
      </c>
      <c r="V945" s="658" t="e">
        <f>+VLOOKUP($L945,Data_Validation!$A:$D,4,0)</f>
        <v>#N/A</v>
      </c>
      <c r="W945" s="658" t="e">
        <f>+VLOOKUP($L945,Data_Validation!$A:$E,5,0)</f>
        <v>#N/A</v>
      </c>
    </row>
    <row r="946" spans="1:23" ht="15.75" customHeight="1">
      <c r="A946" s="718"/>
      <c r="B946" s="656"/>
      <c r="C946" s="719"/>
      <c r="D946" s="718"/>
      <c r="E946" s="718"/>
      <c r="F946" s="718"/>
      <c r="G946" s="718"/>
      <c r="H946" s="718"/>
      <c r="I946" s="718"/>
      <c r="J946" s="718"/>
      <c r="K946" s="718"/>
      <c r="L946" s="655" t="str">
        <f t="shared" si="915"/>
        <v>0</v>
      </c>
      <c r="M946" s="656">
        <f t="shared" si="780"/>
        <v>0</v>
      </c>
      <c r="N946" s="657">
        <f>+IF(OR($Q946=Parametres!$G$2,$Q946=Parametres!$G$3),I946,C946)</f>
        <v>0</v>
      </c>
      <c r="O946" s="657">
        <f>+IF(OR($Q946=Parametres!$G$2,$Q946=Parametres!$G$3),J946,D946)</f>
        <v>0</v>
      </c>
      <c r="P946" s="657">
        <f>+IF(OR($Q946=Parametres!$G$2,$Q946=Parametres!$G$3),K946,E946)</f>
        <v>0</v>
      </c>
      <c r="Q946" s="656">
        <f t="shared" ref="Q946:S946" si="963">+F946</f>
        <v>0</v>
      </c>
      <c r="R946" s="655">
        <f t="shared" si="963"/>
        <v>0</v>
      </c>
      <c r="S946" s="656">
        <f t="shared" si="963"/>
        <v>0</v>
      </c>
      <c r="T946" s="658" t="e">
        <f>+VLOOKUP($L946,Data_Validation!$A:$D,1,0)</f>
        <v>#N/A</v>
      </c>
      <c r="U946" s="658" t="e">
        <f>+VLOOKUP($L946,Data_Validation!$A:$D,3,0)</f>
        <v>#N/A</v>
      </c>
      <c r="V946" s="658" t="e">
        <f>+VLOOKUP($L946,Data_Validation!$A:$D,4,0)</f>
        <v>#N/A</v>
      </c>
      <c r="W946" s="658" t="e">
        <f>+VLOOKUP($L946,Data_Validation!$A:$E,5,0)</f>
        <v>#N/A</v>
      </c>
    </row>
    <row r="947" spans="1:23" ht="15.75" customHeight="1">
      <c r="A947" s="718"/>
      <c r="B947" s="656"/>
      <c r="C947" s="719"/>
      <c r="D947" s="718"/>
      <c r="E947" s="718"/>
      <c r="F947" s="718"/>
      <c r="G947" s="718"/>
      <c r="H947" s="718"/>
      <c r="I947" s="718"/>
      <c r="J947" s="718"/>
      <c r="K947" s="718"/>
      <c r="L947" s="655" t="str">
        <f t="shared" si="915"/>
        <v>0</v>
      </c>
      <c r="M947" s="656">
        <f t="shared" si="780"/>
        <v>0</v>
      </c>
      <c r="N947" s="657">
        <f>+IF(OR($Q947=Parametres!$G$2,$Q947=Parametres!$G$3),I947,C947)</f>
        <v>0</v>
      </c>
      <c r="O947" s="657">
        <f>+IF(OR($Q947=Parametres!$G$2,$Q947=Parametres!$G$3),J947,D947)</f>
        <v>0</v>
      </c>
      <c r="P947" s="657">
        <f>+IF(OR($Q947=Parametres!$G$2,$Q947=Parametres!$G$3),K947,E947)</f>
        <v>0</v>
      </c>
      <c r="Q947" s="656">
        <f t="shared" ref="Q947:S947" si="964">+F947</f>
        <v>0</v>
      </c>
      <c r="R947" s="655">
        <f t="shared" si="964"/>
        <v>0</v>
      </c>
      <c r="S947" s="656">
        <f t="shared" si="964"/>
        <v>0</v>
      </c>
      <c r="T947" s="658" t="e">
        <f>+VLOOKUP($L947,Data_Validation!$A:$D,1,0)</f>
        <v>#N/A</v>
      </c>
      <c r="U947" s="658" t="e">
        <f>+VLOOKUP($L947,Data_Validation!$A:$D,3,0)</f>
        <v>#N/A</v>
      </c>
      <c r="V947" s="658" t="e">
        <f>+VLOOKUP($L947,Data_Validation!$A:$D,4,0)</f>
        <v>#N/A</v>
      </c>
      <c r="W947" s="658" t="e">
        <f>+VLOOKUP($L947,Data_Validation!$A:$E,5,0)</f>
        <v>#N/A</v>
      </c>
    </row>
    <row r="948" spans="1:23" ht="15.75" customHeight="1">
      <c r="A948" s="718"/>
      <c r="B948" s="656"/>
      <c r="C948" s="719"/>
      <c r="D948" s="718"/>
      <c r="E948" s="718"/>
      <c r="F948" s="718"/>
      <c r="G948" s="718"/>
      <c r="H948" s="718"/>
      <c r="I948" s="718"/>
      <c r="J948" s="718"/>
      <c r="K948" s="718"/>
      <c r="L948" s="655" t="str">
        <f t="shared" si="915"/>
        <v>0</v>
      </c>
      <c r="M948" s="656">
        <f t="shared" si="780"/>
        <v>0</v>
      </c>
      <c r="N948" s="657">
        <f>+IF(OR($Q948=Parametres!$G$2,$Q948=Parametres!$G$3),I948,C948)</f>
        <v>0</v>
      </c>
      <c r="O948" s="657">
        <f>+IF(OR($Q948=Parametres!$G$2,$Q948=Parametres!$G$3),J948,D948)</f>
        <v>0</v>
      </c>
      <c r="P948" s="657">
        <f>+IF(OR($Q948=Parametres!$G$2,$Q948=Parametres!$G$3),K948,E948)</f>
        <v>0</v>
      </c>
      <c r="Q948" s="656">
        <f t="shared" ref="Q948:S948" si="965">+F948</f>
        <v>0</v>
      </c>
      <c r="R948" s="655">
        <f t="shared" si="965"/>
        <v>0</v>
      </c>
      <c r="S948" s="656">
        <f t="shared" si="965"/>
        <v>0</v>
      </c>
      <c r="T948" s="658" t="e">
        <f>+VLOOKUP($L948,Data_Validation!$A:$D,1,0)</f>
        <v>#N/A</v>
      </c>
      <c r="U948" s="658" t="e">
        <f>+VLOOKUP($L948,Data_Validation!$A:$D,3,0)</f>
        <v>#N/A</v>
      </c>
      <c r="V948" s="658" t="e">
        <f>+VLOOKUP($L948,Data_Validation!$A:$D,4,0)</f>
        <v>#N/A</v>
      </c>
      <c r="W948" s="658" t="e">
        <f>+VLOOKUP($L948,Data_Validation!$A:$E,5,0)</f>
        <v>#N/A</v>
      </c>
    </row>
    <row r="949" spans="1:23" ht="15.75" customHeight="1">
      <c r="A949" s="718"/>
      <c r="B949" s="656"/>
      <c r="C949" s="719"/>
      <c r="D949" s="718"/>
      <c r="E949" s="718"/>
      <c r="F949" s="718"/>
      <c r="G949" s="718"/>
      <c r="H949" s="718"/>
      <c r="I949" s="718"/>
      <c r="J949" s="718"/>
      <c r="K949" s="718"/>
      <c r="L949" s="655" t="str">
        <f t="shared" si="915"/>
        <v>0</v>
      </c>
      <c r="M949" s="656">
        <f t="shared" si="780"/>
        <v>0</v>
      </c>
      <c r="N949" s="657">
        <f>+IF(OR($Q949=Parametres!$G$2,$Q949=Parametres!$G$3),I949,C949)</f>
        <v>0</v>
      </c>
      <c r="O949" s="657">
        <f>+IF(OR($Q949=Parametres!$G$2,$Q949=Parametres!$G$3),J949,D949)</f>
        <v>0</v>
      </c>
      <c r="P949" s="657">
        <f>+IF(OR($Q949=Parametres!$G$2,$Q949=Parametres!$G$3),K949,E949)</f>
        <v>0</v>
      </c>
      <c r="Q949" s="656">
        <f t="shared" ref="Q949:S949" si="966">+F949</f>
        <v>0</v>
      </c>
      <c r="R949" s="655">
        <f t="shared" si="966"/>
        <v>0</v>
      </c>
      <c r="S949" s="656">
        <f t="shared" si="966"/>
        <v>0</v>
      </c>
      <c r="T949" s="658" t="e">
        <f>+VLOOKUP($L949,Data_Validation!$A:$D,1,0)</f>
        <v>#N/A</v>
      </c>
      <c r="U949" s="658" t="e">
        <f>+VLOOKUP($L949,Data_Validation!$A:$D,3,0)</f>
        <v>#N/A</v>
      </c>
      <c r="V949" s="658" t="e">
        <f>+VLOOKUP($L949,Data_Validation!$A:$D,4,0)</f>
        <v>#N/A</v>
      </c>
      <c r="W949" s="658" t="e">
        <f>+VLOOKUP($L949,Data_Validation!$A:$E,5,0)</f>
        <v>#N/A</v>
      </c>
    </row>
    <row r="950" spans="1:23" ht="15.75" customHeight="1">
      <c r="A950" s="718"/>
      <c r="B950" s="656"/>
      <c r="C950" s="719"/>
      <c r="D950" s="718"/>
      <c r="E950" s="718"/>
      <c r="F950" s="718"/>
      <c r="G950" s="718"/>
      <c r="H950" s="718"/>
      <c r="I950" s="718"/>
      <c r="J950" s="718"/>
      <c r="K950" s="718"/>
      <c r="L950" s="655" t="str">
        <f t="shared" si="915"/>
        <v>0</v>
      </c>
      <c r="M950" s="656">
        <f t="shared" si="780"/>
        <v>0</v>
      </c>
      <c r="N950" s="657">
        <f>+IF(OR($Q950=Parametres!$G$2,$Q950=Parametres!$G$3),I950,C950)</f>
        <v>0</v>
      </c>
      <c r="O950" s="657">
        <f>+IF(OR($Q950=Parametres!$G$2,$Q950=Parametres!$G$3),J950,D950)</f>
        <v>0</v>
      </c>
      <c r="P950" s="657">
        <f>+IF(OR($Q950=Parametres!$G$2,$Q950=Parametres!$G$3),K950,E950)</f>
        <v>0</v>
      </c>
      <c r="Q950" s="656">
        <f t="shared" ref="Q950:S950" si="967">+F950</f>
        <v>0</v>
      </c>
      <c r="R950" s="655">
        <f t="shared" si="967"/>
        <v>0</v>
      </c>
      <c r="S950" s="656">
        <f t="shared" si="967"/>
        <v>0</v>
      </c>
      <c r="T950" s="658" t="e">
        <f>+VLOOKUP($L950,Data_Validation!$A:$D,1,0)</f>
        <v>#N/A</v>
      </c>
      <c r="U950" s="658" t="e">
        <f>+VLOOKUP($L950,Data_Validation!$A:$D,3,0)</f>
        <v>#N/A</v>
      </c>
      <c r="V950" s="658" t="e">
        <f>+VLOOKUP($L950,Data_Validation!$A:$D,4,0)</f>
        <v>#N/A</v>
      </c>
      <c r="W950" s="658" t="e">
        <f>+VLOOKUP($L950,Data_Validation!$A:$E,5,0)</f>
        <v>#N/A</v>
      </c>
    </row>
    <row r="951" spans="1:23" ht="15.75" customHeight="1">
      <c r="A951" s="718"/>
      <c r="B951" s="656"/>
      <c r="C951" s="719"/>
      <c r="D951" s="718"/>
      <c r="E951" s="718"/>
      <c r="F951" s="718"/>
      <c r="G951" s="718"/>
      <c r="H951" s="718"/>
      <c r="I951" s="718"/>
      <c r="J951" s="718"/>
      <c r="K951" s="718"/>
      <c r="L951" s="655" t="str">
        <f t="shared" si="915"/>
        <v>0</v>
      </c>
      <c r="M951" s="656">
        <f t="shared" si="780"/>
        <v>0</v>
      </c>
      <c r="N951" s="657">
        <f>+IF(OR($Q951=Parametres!$G$2,$Q951=Parametres!$G$3),I951,C951)</f>
        <v>0</v>
      </c>
      <c r="O951" s="657">
        <f>+IF(OR($Q951=Parametres!$G$2,$Q951=Parametres!$G$3),J951,D951)</f>
        <v>0</v>
      </c>
      <c r="P951" s="657">
        <f>+IF(OR($Q951=Parametres!$G$2,$Q951=Parametres!$G$3),K951,E951)</f>
        <v>0</v>
      </c>
      <c r="Q951" s="656">
        <f t="shared" ref="Q951:S951" si="968">+F951</f>
        <v>0</v>
      </c>
      <c r="R951" s="655">
        <f t="shared" si="968"/>
        <v>0</v>
      </c>
      <c r="S951" s="656">
        <f t="shared" si="968"/>
        <v>0</v>
      </c>
      <c r="T951" s="658" t="e">
        <f>+VLOOKUP($L951,Data_Validation!$A:$D,1,0)</f>
        <v>#N/A</v>
      </c>
      <c r="U951" s="658" t="e">
        <f>+VLOOKUP($L951,Data_Validation!$A:$D,3,0)</f>
        <v>#N/A</v>
      </c>
      <c r="V951" s="658" t="e">
        <f>+VLOOKUP($L951,Data_Validation!$A:$D,4,0)</f>
        <v>#N/A</v>
      </c>
      <c r="W951" s="658" t="e">
        <f>+VLOOKUP($L951,Data_Validation!$A:$E,5,0)</f>
        <v>#N/A</v>
      </c>
    </row>
    <row r="952" spans="1:23" ht="15.75" customHeight="1">
      <c r="A952" s="718"/>
      <c r="B952" s="656"/>
      <c r="C952" s="719"/>
      <c r="D952" s="718"/>
      <c r="E952" s="718"/>
      <c r="F952" s="718"/>
      <c r="G952" s="718"/>
      <c r="H952" s="718"/>
      <c r="I952" s="718"/>
      <c r="J952" s="718"/>
      <c r="K952" s="718"/>
      <c r="L952" s="655" t="str">
        <f t="shared" si="915"/>
        <v>0</v>
      </c>
      <c r="M952" s="656">
        <f t="shared" si="780"/>
        <v>0</v>
      </c>
      <c r="N952" s="657">
        <f>+IF(OR($Q952=Parametres!$G$2,$Q952=Parametres!$G$3),I952,C952)</f>
        <v>0</v>
      </c>
      <c r="O952" s="657">
        <f>+IF(OR($Q952=Parametres!$G$2,$Q952=Parametres!$G$3),J952,D952)</f>
        <v>0</v>
      </c>
      <c r="P952" s="657">
        <f>+IF(OR($Q952=Parametres!$G$2,$Q952=Parametres!$G$3),K952,E952)</f>
        <v>0</v>
      </c>
      <c r="Q952" s="656">
        <f t="shared" ref="Q952:S952" si="969">+F952</f>
        <v>0</v>
      </c>
      <c r="R952" s="655">
        <f t="shared" si="969"/>
        <v>0</v>
      </c>
      <c r="S952" s="656">
        <f t="shared" si="969"/>
        <v>0</v>
      </c>
      <c r="T952" s="658" t="e">
        <f>+VLOOKUP($L952,Data_Validation!$A:$D,1,0)</f>
        <v>#N/A</v>
      </c>
      <c r="U952" s="658" t="e">
        <f>+VLOOKUP($L952,Data_Validation!$A:$D,3,0)</f>
        <v>#N/A</v>
      </c>
      <c r="V952" s="658" t="e">
        <f>+VLOOKUP($L952,Data_Validation!$A:$D,4,0)</f>
        <v>#N/A</v>
      </c>
      <c r="W952" s="658" t="e">
        <f>+VLOOKUP($L952,Data_Validation!$A:$E,5,0)</f>
        <v>#N/A</v>
      </c>
    </row>
    <row r="953" spans="1:23" ht="15.75" customHeight="1">
      <c r="A953" s="718"/>
      <c r="B953" s="656"/>
      <c r="C953" s="719"/>
      <c r="D953" s="718"/>
      <c r="E953" s="718"/>
      <c r="F953" s="718"/>
      <c r="G953" s="718"/>
      <c r="H953" s="718"/>
      <c r="I953" s="718"/>
      <c r="J953" s="718"/>
      <c r="K953" s="718"/>
      <c r="L953" s="655" t="str">
        <f t="shared" si="915"/>
        <v>0</v>
      </c>
      <c r="M953" s="656">
        <f t="shared" si="780"/>
        <v>0</v>
      </c>
      <c r="N953" s="657">
        <f>+IF(OR($Q953=Parametres!$G$2,$Q953=Parametres!$G$3),I953,C953)</f>
        <v>0</v>
      </c>
      <c r="O953" s="657">
        <f>+IF(OR($Q953=Parametres!$G$2,$Q953=Parametres!$G$3),J953,D953)</f>
        <v>0</v>
      </c>
      <c r="P953" s="657">
        <f>+IF(OR($Q953=Parametres!$G$2,$Q953=Parametres!$G$3),K953,E953)</f>
        <v>0</v>
      </c>
      <c r="Q953" s="656">
        <f t="shared" ref="Q953:S953" si="970">+F953</f>
        <v>0</v>
      </c>
      <c r="R953" s="655">
        <f t="shared" si="970"/>
        <v>0</v>
      </c>
      <c r="S953" s="656">
        <f t="shared" si="970"/>
        <v>0</v>
      </c>
      <c r="T953" s="658" t="e">
        <f>+VLOOKUP($L953,Data_Validation!$A:$D,1,0)</f>
        <v>#N/A</v>
      </c>
      <c r="U953" s="658" t="e">
        <f>+VLOOKUP($L953,Data_Validation!$A:$D,3,0)</f>
        <v>#N/A</v>
      </c>
      <c r="V953" s="658" t="e">
        <f>+VLOOKUP($L953,Data_Validation!$A:$D,4,0)</f>
        <v>#N/A</v>
      </c>
      <c r="W953" s="658" t="e">
        <f>+VLOOKUP($L953,Data_Validation!$A:$E,5,0)</f>
        <v>#N/A</v>
      </c>
    </row>
    <row r="954" spans="1:23" ht="15.75" customHeight="1">
      <c r="A954" s="718"/>
      <c r="B954" s="656"/>
      <c r="C954" s="719"/>
      <c r="D954" s="718"/>
      <c r="E954" s="718"/>
      <c r="F954" s="718"/>
      <c r="G954" s="718"/>
      <c r="H954" s="718"/>
      <c r="I954" s="718"/>
      <c r="J954" s="718"/>
      <c r="K954" s="718"/>
      <c r="L954" s="655" t="str">
        <f t="shared" si="915"/>
        <v>0</v>
      </c>
      <c r="M954" s="656">
        <f t="shared" si="780"/>
        <v>0</v>
      </c>
      <c r="N954" s="657">
        <f>+IF(OR($Q954=Parametres!$G$2,$Q954=Parametres!$G$3),I954,C954)</f>
        <v>0</v>
      </c>
      <c r="O954" s="657">
        <f>+IF(OR($Q954=Parametres!$G$2,$Q954=Parametres!$G$3),J954,D954)</f>
        <v>0</v>
      </c>
      <c r="P954" s="657">
        <f>+IF(OR($Q954=Parametres!$G$2,$Q954=Parametres!$G$3),K954,E954)</f>
        <v>0</v>
      </c>
      <c r="Q954" s="656">
        <f t="shared" ref="Q954:S954" si="971">+F954</f>
        <v>0</v>
      </c>
      <c r="R954" s="655">
        <f t="shared" si="971"/>
        <v>0</v>
      </c>
      <c r="S954" s="656">
        <f t="shared" si="971"/>
        <v>0</v>
      </c>
      <c r="T954" s="658" t="e">
        <f>+VLOOKUP($L954,Data_Validation!$A:$D,1,0)</f>
        <v>#N/A</v>
      </c>
      <c r="U954" s="658" t="e">
        <f>+VLOOKUP($L954,Data_Validation!$A:$D,3,0)</f>
        <v>#N/A</v>
      </c>
      <c r="V954" s="658" t="e">
        <f>+VLOOKUP($L954,Data_Validation!$A:$D,4,0)</f>
        <v>#N/A</v>
      </c>
      <c r="W954" s="658" t="e">
        <f>+VLOOKUP($L954,Data_Validation!$A:$E,5,0)</f>
        <v>#N/A</v>
      </c>
    </row>
    <row r="955" spans="1:23" ht="15.75" customHeight="1">
      <c r="A955" s="718"/>
      <c r="B955" s="656"/>
      <c r="C955" s="719"/>
      <c r="D955" s="718"/>
      <c r="E955" s="718"/>
      <c r="F955" s="718"/>
      <c r="G955" s="718"/>
      <c r="H955" s="718"/>
      <c r="I955" s="718"/>
      <c r="J955" s="718"/>
      <c r="K955" s="718"/>
      <c r="L955" s="655" t="str">
        <f t="shared" si="915"/>
        <v>0</v>
      </c>
      <c r="M955" s="656">
        <f t="shared" si="780"/>
        <v>0</v>
      </c>
      <c r="N955" s="657">
        <f>+IF(OR($Q955=Parametres!$G$2,$Q955=Parametres!$G$3),I955,C955)</f>
        <v>0</v>
      </c>
      <c r="O955" s="657">
        <f>+IF(OR($Q955=Parametres!$G$2,$Q955=Parametres!$G$3),J955,D955)</f>
        <v>0</v>
      </c>
      <c r="P955" s="657">
        <f>+IF(OR($Q955=Parametres!$G$2,$Q955=Parametres!$G$3),K955,E955)</f>
        <v>0</v>
      </c>
      <c r="Q955" s="656">
        <f t="shared" ref="Q955:S955" si="972">+F955</f>
        <v>0</v>
      </c>
      <c r="R955" s="655">
        <f t="shared" si="972"/>
        <v>0</v>
      </c>
      <c r="S955" s="656">
        <f t="shared" si="972"/>
        <v>0</v>
      </c>
      <c r="T955" s="658" t="e">
        <f>+VLOOKUP($L955,Data_Validation!$A:$D,1,0)</f>
        <v>#N/A</v>
      </c>
      <c r="U955" s="658" t="e">
        <f>+VLOOKUP($L955,Data_Validation!$A:$D,3,0)</f>
        <v>#N/A</v>
      </c>
      <c r="V955" s="658" t="e">
        <f>+VLOOKUP($L955,Data_Validation!$A:$D,4,0)</f>
        <v>#N/A</v>
      </c>
      <c r="W955" s="658" t="e">
        <f>+VLOOKUP($L955,Data_Validation!$A:$E,5,0)</f>
        <v>#N/A</v>
      </c>
    </row>
    <row r="956" spans="1:23" ht="15.75" customHeight="1">
      <c r="A956" s="718"/>
      <c r="B956" s="656"/>
      <c r="C956" s="719"/>
      <c r="D956" s="718"/>
      <c r="E956" s="718"/>
      <c r="F956" s="718"/>
      <c r="G956" s="718"/>
      <c r="H956" s="718"/>
      <c r="I956" s="718"/>
      <c r="J956" s="718"/>
      <c r="K956" s="718"/>
      <c r="L956" s="655" t="str">
        <f t="shared" si="915"/>
        <v>0</v>
      </c>
      <c r="M956" s="656">
        <f t="shared" si="780"/>
        <v>0</v>
      </c>
      <c r="N956" s="657">
        <f>+IF(OR($Q956=Parametres!$G$2,$Q956=Parametres!$G$3),I956,C956)</f>
        <v>0</v>
      </c>
      <c r="O956" s="657">
        <f>+IF(OR($Q956=Parametres!$G$2,$Q956=Parametres!$G$3),J956,D956)</f>
        <v>0</v>
      </c>
      <c r="P956" s="657">
        <f>+IF(OR($Q956=Parametres!$G$2,$Q956=Parametres!$G$3),K956,E956)</f>
        <v>0</v>
      </c>
      <c r="Q956" s="656">
        <f t="shared" ref="Q956:S956" si="973">+F956</f>
        <v>0</v>
      </c>
      <c r="R956" s="655">
        <f t="shared" si="973"/>
        <v>0</v>
      </c>
      <c r="S956" s="656">
        <f t="shared" si="973"/>
        <v>0</v>
      </c>
      <c r="T956" s="658" t="e">
        <f>+VLOOKUP($L956,Data_Validation!$A:$D,1,0)</f>
        <v>#N/A</v>
      </c>
      <c r="U956" s="658" t="e">
        <f>+VLOOKUP($L956,Data_Validation!$A:$D,3,0)</f>
        <v>#N/A</v>
      </c>
      <c r="V956" s="658" t="e">
        <f>+VLOOKUP($L956,Data_Validation!$A:$D,4,0)</f>
        <v>#N/A</v>
      </c>
      <c r="W956" s="658" t="e">
        <f>+VLOOKUP($L956,Data_Validation!$A:$E,5,0)</f>
        <v>#N/A</v>
      </c>
    </row>
    <row r="957" spans="1:23" ht="15.75" customHeight="1">
      <c r="A957" s="718"/>
      <c r="B957" s="656"/>
      <c r="C957" s="719"/>
      <c r="D957" s="718"/>
      <c r="E957" s="718"/>
      <c r="F957" s="718"/>
      <c r="G957" s="718"/>
      <c r="H957" s="718"/>
      <c r="I957" s="718"/>
      <c r="J957" s="718"/>
      <c r="K957" s="718"/>
      <c r="L957" s="655" t="str">
        <f t="shared" si="915"/>
        <v>0</v>
      </c>
      <c r="M957" s="656">
        <f t="shared" si="780"/>
        <v>0</v>
      </c>
      <c r="N957" s="657">
        <f>+IF(OR($Q957=Parametres!$G$2,$Q957=Parametres!$G$3),I957,C957)</f>
        <v>0</v>
      </c>
      <c r="O957" s="657">
        <f>+IF(OR($Q957=Parametres!$G$2,$Q957=Parametres!$G$3),J957,D957)</f>
        <v>0</v>
      </c>
      <c r="P957" s="657">
        <f>+IF(OR($Q957=Parametres!$G$2,$Q957=Parametres!$G$3),K957,E957)</f>
        <v>0</v>
      </c>
      <c r="Q957" s="656">
        <f t="shared" ref="Q957:S957" si="974">+F957</f>
        <v>0</v>
      </c>
      <c r="R957" s="655">
        <f t="shared" si="974"/>
        <v>0</v>
      </c>
      <c r="S957" s="656">
        <f t="shared" si="974"/>
        <v>0</v>
      </c>
      <c r="T957" s="658" t="e">
        <f>+VLOOKUP($L957,Data_Validation!$A:$D,1,0)</f>
        <v>#N/A</v>
      </c>
      <c r="U957" s="658" t="e">
        <f>+VLOOKUP($L957,Data_Validation!$A:$D,3,0)</f>
        <v>#N/A</v>
      </c>
      <c r="V957" s="658" t="e">
        <f>+VLOOKUP($L957,Data_Validation!$A:$D,4,0)</f>
        <v>#N/A</v>
      </c>
      <c r="W957" s="658" t="e">
        <f>+VLOOKUP($L957,Data_Validation!$A:$E,5,0)</f>
        <v>#N/A</v>
      </c>
    </row>
    <row r="958" spans="1:23" ht="15.75" customHeight="1">
      <c r="A958" s="718"/>
      <c r="B958" s="656"/>
      <c r="C958" s="719"/>
      <c r="D958" s="718"/>
      <c r="E958" s="718"/>
      <c r="F958" s="718"/>
      <c r="G958" s="718"/>
      <c r="H958" s="718"/>
      <c r="I958" s="718"/>
      <c r="J958" s="718"/>
      <c r="K958" s="718"/>
      <c r="L958" s="655" t="str">
        <f t="shared" si="915"/>
        <v>0</v>
      </c>
      <c r="M958" s="656">
        <f t="shared" si="780"/>
        <v>0</v>
      </c>
      <c r="N958" s="657">
        <f>+IF(OR($Q958=Parametres!$G$2,$Q958=Parametres!$G$3),I958,C958)</f>
        <v>0</v>
      </c>
      <c r="O958" s="657">
        <f>+IF(OR($Q958=Parametres!$G$2,$Q958=Parametres!$G$3),J958,D958)</f>
        <v>0</v>
      </c>
      <c r="P958" s="657">
        <f>+IF(OR($Q958=Parametres!$G$2,$Q958=Parametres!$G$3),K958,E958)</f>
        <v>0</v>
      </c>
      <c r="Q958" s="656">
        <f t="shared" ref="Q958:S958" si="975">+F958</f>
        <v>0</v>
      </c>
      <c r="R958" s="655">
        <f t="shared" si="975"/>
        <v>0</v>
      </c>
      <c r="S958" s="656">
        <f t="shared" si="975"/>
        <v>0</v>
      </c>
      <c r="T958" s="658" t="e">
        <f>+VLOOKUP($L958,Data_Validation!$A:$D,1,0)</f>
        <v>#N/A</v>
      </c>
      <c r="U958" s="658" t="e">
        <f>+VLOOKUP($L958,Data_Validation!$A:$D,3,0)</f>
        <v>#N/A</v>
      </c>
      <c r="V958" s="658" t="e">
        <f>+VLOOKUP($L958,Data_Validation!$A:$D,4,0)</f>
        <v>#N/A</v>
      </c>
      <c r="W958" s="658" t="e">
        <f>+VLOOKUP($L958,Data_Validation!$A:$E,5,0)</f>
        <v>#N/A</v>
      </c>
    </row>
    <row r="959" spans="1:23" ht="15.75" customHeight="1">
      <c r="A959" s="718"/>
      <c r="B959" s="656"/>
      <c r="C959" s="719"/>
      <c r="D959" s="718"/>
      <c r="E959" s="718"/>
      <c r="F959" s="718"/>
      <c r="G959" s="718"/>
      <c r="H959" s="718"/>
      <c r="I959" s="718"/>
      <c r="J959" s="718"/>
      <c r="K959" s="718"/>
      <c r="L959" s="655" t="str">
        <f t="shared" si="915"/>
        <v>0</v>
      </c>
      <c r="M959" s="656">
        <f t="shared" si="780"/>
        <v>0</v>
      </c>
      <c r="N959" s="657">
        <f>+IF(OR($Q959=Parametres!$G$2,$Q959=Parametres!$G$3),I959,C959)</f>
        <v>0</v>
      </c>
      <c r="O959" s="657">
        <f>+IF(OR($Q959=Parametres!$G$2,$Q959=Parametres!$G$3),J959,D959)</f>
        <v>0</v>
      </c>
      <c r="P959" s="657">
        <f>+IF(OR($Q959=Parametres!$G$2,$Q959=Parametres!$G$3),K959,E959)</f>
        <v>0</v>
      </c>
      <c r="Q959" s="656">
        <f t="shared" ref="Q959:S959" si="976">+F959</f>
        <v>0</v>
      </c>
      <c r="R959" s="655">
        <f t="shared" si="976"/>
        <v>0</v>
      </c>
      <c r="S959" s="656">
        <f t="shared" si="976"/>
        <v>0</v>
      </c>
      <c r="T959" s="658" t="e">
        <f>+VLOOKUP($L959,Data_Validation!$A:$D,1,0)</f>
        <v>#N/A</v>
      </c>
      <c r="U959" s="658" t="e">
        <f>+VLOOKUP($L959,Data_Validation!$A:$D,3,0)</f>
        <v>#N/A</v>
      </c>
      <c r="V959" s="658" t="e">
        <f>+VLOOKUP($L959,Data_Validation!$A:$D,4,0)</f>
        <v>#N/A</v>
      </c>
      <c r="W959" s="658" t="e">
        <f>+VLOOKUP($L959,Data_Validation!$A:$E,5,0)</f>
        <v>#N/A</v>
      </c>
    </row>
    <row r="960" spans="1:23" ht="15.75" customHeight="1">
      <c r="A960" s="718"/>
      <c r="B960" s="656"/>
      <c r="C960" s="719"/>
      <c r="D960" s="718"/>
      <c r="E960" s="718"/>
      <c r="F960" s="718"/>
      <c r="G960" s="718"/>
      <c r="H960" s="718"/>
      <c r="I960" s="718"/>
      <c r="J960" s="718"/>
      <c r="K960" s="718"/>
      <c r="L960" s="655" t="str">
        <f t="shared" si="915"/>
        <v>0</v>
      </c>
      <c r="M960" s="656">
        <f t="shared" si="780"/>
        <v>0</v>
      </c>
      <c r="N960" s="657">
        <f>+IF(OR($Q960=Parametres!$G$2,$Q960=Parametres!$G$3),I960,C960)</f>
        <v>0</v>
      </c>
      <c r="O960" s="657">
        <f>+IF(OR($Q960=Parametres!$G$2,$Q960=Parametres!$G$3),J960,D960)</f>
        <v>0</v>
      </c>
      <c r="P960" s="657">
        <f>+IF(OR($Q960=Parametres!$G$2,$Q960=Parametres!$G$3),K960,E960)</f>
        <v>0</v>
      </c>
      <c r="Q960" s="656">
        <f t="shared" ref="Q960:S960" si="977">+F960</f>
        <v>0</v>
      </c>
      <c r="R960" s="655">
        <f t="shared" si="977"/>
        <v>0</v>
      </c>
      <c r="S960" s="656">
        <f t="shared" si="977"/>
        <v>0</v>
      </c>
      <c r="T960" s="658" t="e">
        <f>+VLOOKUP($L960,Data_Validation!$A:$D,1,0)</f>
        <v>#N/A</v>
      </c>
      <c r="U960" s="658" t="e">
        <f>+VLOOKUP($L960,Data_Validation!$A:$D,3,0)</f>
        <v>#N/A</v>
      </c>
      <c r="V960" s="658" t="e">
        <f>+VLOOKUP($L960,Data_Validation!$A:$D,4,0)</f>
        <v>#N/A</v>
      </c>
      <c r="W960" s="658" t="e">
        <f>+VLOOKUP($L960,Data_Validation!$A:$E,5,0)</f>
        <v>#N/A</v>
      </c>
    </row>
    <row r="961" spans="1:23" ht="15.75" customHeight="1">
      <c r="A961" s="718"/>
      <c r="B961" s="656"/>
      <c r="C961" s="719"/>
      <c r="D961" s="718"/>
      <c r="E961" s="718"/>
      <c r="F961" s="718"/>
      <c r="G961" s="718"/>
      <c r="H961" s="718"/>
      <c r="I961" s="718"/>
      <c r="J961" s="718"/>
      <c r="K961" s="718"/>
      <c r="L961" s="655" t="str">
        <f t="shared" si="915"/>
        <v>0</v>
      </c>
      <c r="M961" s="656">
        <f t="shared" si="780"/>
        <v>0</v>
      </c>
      <c r="N961" s="657">
        <f>+IF(OR($Q961=Parametres!$G$2,$Q961=Parametres!$G$3),I961,C961)</f>
        <v>0</v>
      </c>
      <c r="O961" s="657">
        <f>+IF(OR($Q961=Parametres!$G$2,$Q961=Parametres!$G$3),J961,D961)</f>
        <v>0</v>
      </c>
      <c r="P961" s="657">
        <f>+IF(OR($Q961=Parametres!$G$2,$Q961=Parametres!$G$3),K961,E961)</f>
        <v>0</v>
      </c>
      <c r="Q961" s="656">
        <f t="shared" ref="Q961:S961" si="978">+F961</f>
        <v>0</v>
      </c>
      <c r="R961" s="655">
        <f t="shared" si="978"/>
        <v>0</v>
      </c>
      <c r="S961" s="656">
        <f t="shared" si="978"/>
        <v>0</v>
      </c>
      <c r="T961" s="658" t="e">
        <f>+VLOOKUP($L961,Data_Validation!$A:$D,1,0)</f>
        <v>#N/A</v>
      </c>
      <c r="U961" s="658" t="e">
        <f>+VLOOKUP($L961,Data_Validation!$A:$D,3,0)</f>
        <v>#N/A</v>
      </c>
      <c r="V961" s="658" t="e">
        <f>+VLOOKUP($L961,Data_Validation!$A:$D,4,0)</f>
        <v>#N/A</v>
      </c>
      <c r="W961" s="658" t="e">
        <f>+VLOOKUP($L961,Data_Validation!$A:$E,5,0)</f>
        <v>#N/A</v>
      </c>
    </row>
    <row r="962" spans="1:23" ht="15.75" customHeight="1">
      <c r="A962" s="718"/>
      <c r="B962" s="656"/>
      <c r="C962" s="719"/>
      <c r="D962" s="718"/>
      <c r="E962" s="718"/>
      <c r="F962" s="718"/>
      <c r="G962" s="718"/>
      <c r="H962" s="718"/>
      <c r="I962" s="718"/>
      <c r="J962" s="718"/>
      <c r="K962" s="718"/>
      <c r="L962" s="655" t="str">
        <f t="shared" si="915"/>
        <v>0</v>
      </c>
      <c r="M962" s="656">
        <f t="shared" si="780"/>
        <v>0</v>
      </c>
      <c r="N962" s="657">
        <f>+IF(OR($Q962=Parametres!$G$2,$Q962=Parametres!$G$3),I962,C962)</f>
        <v>0</v>
      </c>
      <c r="O962" s="657">
        <f>+IF(OR($Q962=Parametres!$G$2,$Q962=Parametres!$G$3),J962,D962)</f>
        <v>0</v>
      </c>
      <c r="P962" s="657">
        <f>+IF(OR($Q962=Parametres!$G$2,$Q962=Parametres!$G$3),K962,E962)</f>
        <v>0</v>
      </c>
      <c r="Q962" s="656">
        <f t="shared" ref="Q962:S962" si="979">+F962</f>
        <v>0</v>
      </c>
      <c r="R962" s="655">
        <f t="shared" si="979"/>
        <v>0</v>
      </c>
      <c r="S962" s="656">
        <f t="shared" si="979"/>
        <v>0</v>
      </c>
      <c r="T962" s="658" t="e">
        <f>+VLOOKUP($L962,Data_Validation!$A:$D,1,0)</f>
        <v>#N/A</v>
      </c>
      <c r="U962" s="658" t="e">
        <f>+VLOOKUP($L962,Data_Validation!$A:$D,3,0)</f>
        <v>#N/A</v>
      </c>
      <c r="V962" s="658" t="e">
        <f>+VLOOKUP($L962,Data_Validation!$A:$D,4,0)</f>
        <v>#N/A</v>
      </c>
      <c r="W962" s="658" t="e">
        <f>+VLOOKUP($L962,Data_Validation!$A:$E,5,0)</f>
        <v>#N/A</v>
      </c>
    </row>
    <row r="963" spans="1:23" ht="15.75" customHeight="1">
      <c r="A963" s="718"/>
      <c r="B963" s="656"/>
      <c r="C963" s="719"/>
      <c r="D963" s="718"/>
      <c r="E963" s="718"/>
      <c r="F963" s="718"/>
      <c r="G963" s="718"/>
      <c r="H963" s="718"/>
      <c r="I963" s="718"/>
      <c r="J963" s="718"/>
      <c r="K963" s="718"/>
      <c r="L963" s="655" t="str">
        <f t="shared" ref="L963:L1026" si="980">TEXT(B963,0)</f>
        <v>0</v>
      </c>
      <c r="M963" s="656">
        <f t="shared" si="780"/>
        <v>0</v>
      </c>
      <c r="N963" s="657">
        <f>+IF(OR($Q963=Parametres!$G$2,$Q963=Parametres!$G$3),I963,C963)</f>
        <v>0</v>
      </c>
      <c r="O963" s="657">
        <f>+IF(OR($Q963=Parametres!$G$2,$Q963=Parametres!$G$3),J963,D963)</f>
        <v>0</v>
      </c>
      <c r="P963" s="657">
        <f>+IF(OR($Q963=Parametres!$G$2,$Q963=Parametres!$G$3),K963,E963)</f>
        <v>0</v>
      </c>
      <c r="Q963" s="656">
        <f t="shared" ref="Q963:S963" si="981">+F963</f>
        <v>0</v>
      </c>
      <c r="R963" s="655">
        <f t="shared" si="981"/>
        <v>0</v>
      </c>
      <c r="S963" s="656">
        <f t="shared" si="981"/>
        <v>0</v>
      </c>
      <c r="T963" s="658" t="e">
        <f>+VLOOKUP($L963,Data_Validation!$A:$D,1,0)</f>
        <v>#N/A</v>
      </c>
      <c r="U963" s="658" t="e">
        <f>+VLOOKUP($L963,Data_Validation!$A:$D,3,0)</f>
        <v>#N/A</v>
      </c>
      <c r="V963" s="658" t="e">
        <f>+VLOOKUP($L963,Data_Validation!$A:$D,4,0)</f>
        <v>#N/A</v>
      </c>
      <c r="W963" s="658" t="e">
        <f>+VLOOKUP($L963,Data_Validation!$A:$E,5,0)</f>
        <v>#N/A</v>
      </c>
    </row>
    <row r="964" spans="1:23" ht="15.75" customHeight="1">
      <c r="A964" s="718"/>
      <c r="B964" s="656"/>
      <c r="C964" s="719"/>
      <c r="D964" s="718"/>
      <c r="E964" s="718"/>
      <c r="F964" s="718"/>
      <c r="G964" s="718"/>
      <c r="H964" s="718"/>
      <c r="I964" s="718"/>
      <c r="J964" s="718"/>
      <c r="K964" s="718"/>
      <c r="L964" s="655" t="str">
        <f t="shared" si="980"/>
        <v>0</v>
      </c>
      <c r="M964" s="656">
        <f t="shared" si="780"/>
        <v>0</v>
      </c>
      <c r="N964" s="657">
        <f>+IF(OR($Q964=Parametres!$G$2,$Q964=Parametres!$G$3),I964,C964)</f>
        <v>0</v>
      </c>
      <c r="O964" s="657">
        <f>+IF(OR($Q964=Parametres!$G$2,$Q964=Parametres!$G$3),J964,D964)</f>
        <v>0</v>
      </c>
      <c r="P964" s="657">
        <f>+IF(OR($Q964=Parametres!$G$2,$Q964=Parametres!$G$3),K964,E964)</f>
        <v>0</v>
      </c>
      <c r="Q964" s="656">
        <f t="shared" ref="Q964:S964" si="982">+F964</f>
        <v>0</v>
      </c>
      <c r="R964" s="655">
        <f t="shared" si="982"/>
        <v>0</v>
      </c>
      <c r="S964" s="656">
        <f t="shared" si="982"/>
        <v>0</v>
      </c>
      <c r="T964" s="658" t="e">
        <f>+VLOOKUP($L964,Data_Validation!$A:$D,1,0)</f>
        <v>#N/A</v>
      </c>
      <c r="U964" s="658" t="e">
        <f>+VLOOKUP($L964,Data_Validation!$A:$D,3,0)</f>
        <v>#N/A</v>
      </c>
      <c r="V964" s="658" t="e">
        <f>+VLOOKUP($L964,Data_Validation!$A:$D,4,0)</f>
        <v>#N/A</v>
      </c>
      <c r="W964" s="658" t="e">
        <f>+VLOOKUP($L964,Data_Validation!$A:$E,5,0)</f>
        <v>#N/A</v>
      </c>
    </row>
    <row r="965" spans="1:23" ht="15.75" customHeight="1">
      <c r="A965" s="718"/>
      <c r="B965" s="656"/>
      <c r="C965" s="719"/>
      <c r="D965" s="718"/>
      <c r="E965" s="718"/>
      <c r="F965" s="718"/>
      <c r="G965" s="718"/>
      <c r="H965" s="718"/>
      <c r="I965" s="718"/>
      <c r="J965" s="718"/>
      <c r="K965" s="718"/>
      <c r="L965" s="655" t="str">
        <f t="shared" si="980"/>
        <v>0</v>
      </c>
      <c r="M965" s="656">
        <f t="shared" si="780"/>
        <v>0</v>
      </c>
      <c r="N965" s="657">
        <f>+IF(OR($Q965=Parametres!$G$2,$Q965=Parametres!$G$3),I965,C965)</f>
        <v>0</v>
      </c>
      <c r="O965" s="657">
        <f>+IF(OR($Q965=Parametres!$G$2,$Q965=Parametres!$G$3),J965,D965)</f>
        <v>0</v>
      </c>
      <c r="P965" s="657">
        <f>+IF(OR($Q965=Parametres!$G$2,$Q965=Parametres!$G$3),K965,E965)</f>
        <v>0</v>
      </c>
      <c r="Q965" s="656">
        <f t="shared" ref="Q965:S965" si="983">+F965</f>
        <v>0</v>
      </c>
      <c r="R965" s="655">
        <f t="shared" si="983"/>
        <v>0</v>
      </c>
      <c r="S965" s="656">
        <f t="shared" si="983"/>
        <v>0</v>
      </c>
      <c r="T965" s="658" t="e">
        <f>+VLOOKUP($L965,Data_Validation!$A:$D,1,0)</f>
        <v>#N/A</v>
      </c>
      <c r="U965" s="658" t="e">
        <f>+VLOOKUP($L965,Data_Validation!$A:$D,3,0)</f>
        <v>#N/A</v>
      </c>
      <c r="V965" s="658" t="e">
        <f>+VLOOKUP($L965,Data_Validation!$A:$D,4,0)</f>
        <v>#N/A</v>
      </c>
      <c r="W965" s="658" t="e">
        <f>+VLOOKUP($L965,Data_Validation!$A:$E,5,0)</f>
        <v>#N/A</v>
      </c>
    </row>
    <row r="966" spans="1:23" ht="15.75" customHeight="1">
      <c r="A966" s="718"/>
      <c r="B966" s="656"/>
      <c r="C966" s="719"/>
      <c r="D966" s="718"/>
      <c r="E966" s="718"/>
      <c r="F966" s="718"/>
      <c r="G966" s="718"/>
      <c r="H966" s="718"/>
      <c r="I966" s="718"/>
      <c r="J966" s="718"/>
      <c r="K966" s="718"/>
      <c r="L966" s="655" t="str">
        <f t="shared" si="980"/>
        <v>0</v>
      </c>
      <c r="M966" s="656">
        <f t="shared" si="780"/>
        <v>0</v>
      </c>
      <c r="N966" s="657">
        <f>+IF(OR($Q966=Parametres!$G$2,$Q966=Parametres!$G$3),I966,C966)</f>
        <v>0</v>
      </c>
      <c r="O966" s="657">
        <f>+IF(OR($Q966=Parametres!$G$2,$Q966=Parametres!$G$3),J966,D966)</f>
        <v>0</v>
      </c>
      <c r="P966" s="657">
        <f>+IF(OR($Q966=Parametres!$G$2,$Q966=Parametres!$G$3),K966,E966)</f>
        <v>0</v>
      </c>
      <c r="Q966" s="656">
        <f t="shared" ref="Q966:S966" si="984">+F966</f>
        <v>0</v>
      </c>
      <c r="R966" s="655">
        <f t="shared" si="984"/>
        <v>0</v>
      </c>
      <c r="S966" s="656">
        <f t="shared" si="984"/>
        <v>0</v>
      </c>
      <c r="T966" s="658" t="e">
        <f>+VLOOKUP($L966,Data_Validation!$A:$D,1,0)</f>
        <v>#N/A</v>
      </c>
      <c r="U966" s="658" t="e">
        <f>+VLOOKUP($L966,Data_Validation!$A:$D,3,0)</f>
        <v>#N/A</v>
      </c>
      <c r="V966" s="658" t="e">
        <f>+VLOOKUP($L966,Data_Validation!$A:$D,4,0)</f>
        <v>#N/A</v>
      </c>
      <c r="W966" s="658" t="e">
        <f>+VLOOKUP($L966,Data_Validation!$A:$E,5,0)</f>
        <v>#N/A</v>
      </c>
    </row>
    <row r="967" spans="1:23" ht="15.75" customHeight="1">
      <c r="A967" s="718"/>
      <c r="B967" s="656"/>
      <c r="C967" s="719"/>
      <c r="D967" s="718"/>
      <c r="E967" s="718"/>
      <c r="F967" s="718"/>
      <c r="G967" s="718"/>
      <c r="H967" s="718"/>
      <c r="I967" s="718"/>
      <c r="J967" s="718"/>
      <c r="K967" s="718"/>
      <c r="L967" s="655" t="str">
        <f t="shared" si="980"/>
        <v>0</v>
      </c>
      <c r="M967" s="656">
        <f t="shared" si="780"/>
        <v>0</v>
      </c>
      <c r="N967" s="657">
        <f>+IF(OR($Q967=Parametres!$G$2,$Q967=Parametres!$G$3),I967,C967)</f>
        <v>0</v>
      </c>
      <c r="O967" s="657">
        <f>+IF(OR($Q967=Parametres!$G$2,$Q967=Parametres!$G$3),J967,D967)</f>
        <v>0</v>
      </c>
      <c r="P967" s="657">
        <f>+IF(OR($Q967=Parametres!$G$2,$Q967=Parametres!$G$3),K967,E967)</f>
        <v>0</v>
      </c>
      <c r="Q967" s="656">
        <f t="shared" ref="Q967:S967" si="985">+F967</f>
        <v>0</v>
      </c>
      <c r="R967" s="655">
        <f t="shared" si="985"/>
        <v>0</v>
      </c>
      <c r="S967" s="656">
        <f t="shared" si="985"/>
        <v>0</v>
      </c>
      <c r="T967" s="658" t="e">
        <f>+VLOOKUP($L967,Data_Validation!$A:$D,1,0)</f>
        <v>#N/A</v>
      </c>
      <c r="U967" s="658" t="e">
        <f>+VLOOKUP($L967,Data_Validation!$A:$D,3,0)</f>
        <v>#N/A</v>
      </c>
      <c r="V967" s="658" t="e">
        <f>+VLOOKUP($L967,Data_Validation!$A:$D,4,0)</f>
        <v>#N/A</v>
      </c>
      <c r="W967" s="658" t="e">
        <f>+VLOOKUP($L967,Data_Validation!$A:$E,5,0)</f>
        <v>#N/A</v>
      </c>
    </row>
    <row r="968" spans="1:23" ht="15.75" customHeight="1">
      <c r="A968" s="718"/>
      <c r="B968" s="656"/>
      <c r="C968" s="719"/>
      <c r="D968" s="718"/>
      <c r="E968" s="718"/>
      <c r="F968" s="718"/>
      <c r="G968" s="718"/>
      <c r="H968" s="718"/>
      <c r="I968" s="718"/>
      <c r="J968" s="718"/>
      <c r="K968" s="718"/>
      <c r="L968" s="655" t="str">
        <f t="shared" si="980"/>
        <v>0</v>
      </c>
      <c r="M968" s="656">
        <f t="shared" si="780"/>
        <v>0</v>
      </c>
      <c r="N968" s="657">
        <f>+IF(OR($Q968=Parametres!$G$2,$Q968=Parametres!$G$3),I968,C968)</f>
        <v>0</v>
      </c>
      <c r="O968" s="657">
        <f>+IF(OR($Q968=Parametres!$G$2,$Q968=Parametres!$G$3),J968,D968)</f>
        <v>0</v>
      </c>
      <c r="P968" s="657">
        <f>+IF(OR($Q968=Parametres!$G$2,$Q968=Parametres!$G$3),K968,E968)</f>
        <v>0</v>
      </c>
      <c r="Q968" s="656">
        <f t="shared" ref="Q968:S968" si="986">+F968</f>
        <v>0</v>
      </c>
      <c r="R968" s="655">
        <f t="shared" si="986"/>
        <v>0</v>
      </c>
      <c r="S968" s="656">
        <f t="shared" si="986"/>
        <v>0</v>
      </c>
      <c r="T968" s="658" t="e">
        <f>+VLOOKUP($L968,Data_Validation!$A:$D,1,0)</f>
        <v>#N/A</v>
      </c>
      <c r="U968" s="658" t="e">
        <f>+VLOOKUP($L968,Data_Validation!$A:$D,3,0)</f>
        <v>#N/A</v>
      </c>
      <c r="V968" s="658" t="e">
        <f>+VLOOKUP($L968,Data_Validation!$A:$D,4,0)</f>
        <v>#N/A</v>
      </c>
      <c r="W968" s="658" t="e">
        <f>+VLOOKUP($L968,Data_Validation!$A:$E,5,0)</f>
        <v>#N/A</v>
      </c>
    </row>
    <row r="969" spans="1:23" ht="15.75" customHeight="1">
      <c r="A969" s="718"/>
      <c r="B969" s="656"/>
      <c r="C969" s="719"/>
      <c r="D969" s="718"/>
      <c r="E969" s="718"/>
      <c r="F969" s="718"/>
      <c r="G969" s="718"/>
      <c r="H969" s="718"/>
      <c r="I969" s="718"/>
      <c r="J969" s="718"/>
      <c r="K969" s="718"/>
      <c r="L969" s="655" t="str">
        <f t="shared" si="980"/>
        <v>0</v>
      </c>
      <c r="M969" s="656">
        <f t="shared" si="780"/>
        <v>0</v>
      </c>
      <c r="N969" s="657">
        <f>+IF(OR($Q969=Parametres!$G$2,$Q969=Parametres!$G$3),I969,C969)</f>
        <v>0</v>
      </c>
      <c r="O969" s="657">
        <f>+IF(OR($Q969=Parametres!$G$2,$Q969=Parametres!$G$3),J969,D969)</f>
        <v>0</v>
      </c>
      <c r="P969" s="657">
        <f>+IF(OR($Q969=Parametres!$G$2,$Q969=Parametres!$G$3),K969,E969)</f>
        <v>0</v>
      </c>
      <c r="Q969" s="656">
        <f t="shared" ref="Q969:S969" si="987">+F969</f>
        <v>0</v>
      </c>
      <c r="R969" s="655">
        <f t="shared" si="987"/>
        <v>0</v>
      </c>
      <c r="S969" s="656">
        <f t="shared" si="987"/>
        <v>0</v>
      </c>
      <c r="T969" s="658" t="e">
        <f>+VLOOKUP($L969,Data_Validation!$A:$D,1,0)</f>
        <v>#N/A</v>
      </c>
      <c r="U969" s="658" t="e">
        <f>+VLOOKUP($L969,Data_Validation!$A:$D,3,0)</f>
        <v>#N/A</v>
      </c>
      <c r="V969" s="658" t="e">
        <f>+VLOOKUP($L969,Data_Validation!$A:$D,4,0)</f>
        <v>#N/A</v>
      </c>
      <c r="W969" s="658" t="e">
        <f>+VLOOKUP($L969,Data_Validation!$A:$E,5,0)</f>
        <v>#N/A</v>
      </c>
    </row>
    <row r="970" spans="1:23" ht="15.75" customHeight="1">
      <c r="A970" s="718"/>
      <c r="B970" s="656"/>
      <c r="C970" s="719"/>
      <c r="D970" s="718"/>
      <c r="E970" s="718"/>
      <c r="F970" s="718"/>
      <c r="G970" s="718"/>
      <c r="H970" s="718"/>
      <c r="I970" s="718"/>
      <c r="J970" s="718"/>
      <c r="K970" s="718"/>
      <c r="L970" s="655" t="str">
        <f t="shared" si="980"/>
        <v>0</v>
      </c>
      <c r="M970" s="656">
        <f t="shared" si="780"/>
        <v>0</v>
      </c>
      <c r="N970" s="657">
        <f>+IF(OR($Q970=Parametres!$G$2,$Q970=Parametres!$G$3),I970,C970)</f>
        <v>0</v>
      </c>
      <c r="O970" s="657">
        <f>+IF(OR($Q970=Parametres!$G$2,$Q970=Parametres!$G$3),J970,D970)</f>
        <v>0</v>
      </c>
      <c r="P970" s="657">
        <f>+IF(OR($Q970=Parametres!$G$2,$Q970=Parametres!$G$3),K970,E970)</f>
        <v>0</v>
      </c>
      <c r="Q970" s="656">
        <f t="shared" ref="Q970:S970" si="988">+F970</f>
        <v>0</v>
      </c>
      <c r="R970" s="655">
        <f t="shared" si="988"/>
        <v>0</v>
      </c>
      <c r="S970" s="656">
        <f t="shared" si="988"/>
        <v>0</v>
      </c>
      <c r="T970" s="658" t="e">
        <f>+VLOOKUP($L970,Data_Validation!$A:$D,1,0)</f>
        <v>#N/A</v>
      </c>
      <c r="U970" s="658" t="e">
        <f>+VLOOKUP($L970,Data_Validation!$A:$D,3,0)</f>
        <v>#N/A</v>
      </c>
      <c r="V970" s="658" t="e">
        <f>+VLOOKUP($L970,Data_Validation!$A:$D,4,0)</f>
        <v>#N/A</v>
      </c>
      <c r="W970" s="658" t="e">
        <f>+VLOOKUP($L970,Data_Validation!$A:$E,5,0)</f>
        <v>#N/A</v>
      </c>
    </row>
    <row r="971" spans="1:23" ht="15.75" customHeight="1">
      <c r="A971" s="718"/>
      <c r="B971" s="656"/>
      <c r="C971" s="719"/>
      <c r="D971" s="718"/>
      <c r="E971" s="718"/>
      <c r="F971" s="718"/>
      <c r="G971" s="718"/>
      <c r="H971" s="718"/>
      <c r="I971" s="718"/>
      <c r="J971" s="718"/>
      <c r="K971" s="718"/>
      <c r="L971" s="655" t="str">
        <f t="shared" si="980"/>
        <v>0</v>
      </c>
      <c r="M971" s="656">
        <f t="shared" si="780"/>
        <v>0</v>
      </c>
      <c r="N971" s="657">
        <f>+IF(OR($Q971=Parametres!$G$2,$Q971=Parametres!$G$3),I971,C971)</f>
        <v>0</v>
      </c>
      <c r="O971" s="657">
        <f>+IF(OR($Q971=Parametres!$G$2,$Q971=Parametres!$G$3),J971,D971)</f>
        <v>0</v>
      </c>
      <c r="P971" s="657">
        <f>+IF(OR($Q971=Parametres!$G$2,$Q971=Parametres!$G$3),K971,E971)</f>
        <v>0</v>
      </c>
      <c r="Q971" s="656">
        <f t="shared" ref="Q971:S971" si="989">+F971</f>
        <v>0</v>
      </c>
      <c r="R971" s="655">
        <f t="shared" si="989"/>
        <v>0</v>
      </c>
      <c r="S971" s="656">
        <f t="shared" si="989"/>
        <v>0</v>
      </c>
      <c r="T971" s="658" t="e">
        <f>+VLOOKUP($L971,Data_Validation!$A:$D,1,0)</f>
        <v>#N/A</v>
      </c>
      <c r="U971" s="658" t="e">
        <f>+VLOOKUP($L971,Data_Validation!$A:$D,3,0)</f>
        <v>#N/A</v>
      </c>
      <c r="V971" s="658" t="e">
        <f>+VLOOKUP($L971,Data_Validation!$A:$D,4,0)</f>
        <v>#N/A</v>
      </c>
      <c r="W971" s="658" t="e">
        <f>+VLOOKUP($L971,Data_Validation!$A:$E,5,0)</f>
        <v>#N/A</v>
      </c>
    </row>
    <row r="972" spans="1:23" ht="15.75" customHeight="1">
      <c r="A972" s="718"/>
      <c r="B972" s="656"/>
      <c r="C972" s="719"/>
      <c r="D972" s="718"/>
      <c r="E972" s="718"/>
      <c r="F972" s="718"/>
      <c r="G972" s="718"/>
      <c r="H972" s="718"/>
      <c r="I972" s="718"/>
      <c r="J972" s="718"/>
      <c r="K972" s="718"/>
      <c r="L972" s="655" t="str">
        <f t="shared" si="980"/>
        <v>0</v>
      </c>
      <c r="M972" s="656">
        <f t="shared" si="780"/>
        <v>0</v>
      </c>
      <c r="N972" s="657">
        <f>+IF(OR($Q972=Parametres!$G$2,$Q972=Parametres!$G$3),I972,C972)</f>
        <v>0</v>
      </c>
      <c r="O972" s="657">
        <f>+IF(OR($Q972=Parametres!$G$2,$Q972=Parametres!$G$3),J972,D972)</f>
        <v>0</v>
      </c>
      <c r="P972" s="657">
        <f>+IF(OR($Q972=Parametres!$G$2,$Q972=Parametres!$G$3),K972,E972)</f>
        <v>0</v>
      </c>
      <c r="Q972" s="656">
        <f t="shared" ref="Q972:S972" si="990">+F972</f>
        <v>0</v>
      </c>
      <c r="R972" s="655">
        <f t="shared" si="990"/>
        <v>0</v>
      </c>
      <c r="S972" s="656">
        <f t="shared" si="990"/>
        <v>0</v>
      </c>
      <c r="T972" s="658" t="e">
        <f>+VLOOKUP($L972,Data_Validation!$A:$D,1,0)</f>
        <v>#N/A</v>
      </c>
      <c r="U972" s="658" t="e">
        <f>+VLOOKUP($L972,Data_Validation!$A:$D,3,0)</f>
        <v>#N/A</v>
      </c>
      <c r="V972" s="658" t="e">
        <f>+VLOOKUP($L972,Data_Validation!$A:$D,4,0)</f>
        <v>#N/A</v>
      </c>
      <c r="W972" s="658" t="e">
        <f>+VLOOKUP($L972,Data_Validation!$A:$E,5,0)</f>
        <v>#N/A</v>
      </c>
    </row>
    <row r="973" spans="1:23" ht="15.75" customHeight="1">
      <c r="A973" s="718"/>
      <c r="B973" s="656"/>
      <c r="C973" s="719"/>
      <c r="D973" s="718"/>
      <c r="E973" s="718"/>
      <c r="F973" s="718"/>
      <c r="G973" s="718"/>
      <c r="H973" s="718"/>
      <c r="I973" s="718"/>
      <c r="J973" s="718"/>
      <c r="K973" s="718"/>
      <c r="L973" s="655" t="str">
        <f t="shared" si="980"/>
        <v>0</v>
      </c>
      <c r="M973" s="656">
        <f t="shared" si="780"/>
        <v>0</v>
      </c>
      <c r="N973" s="657">
        <f>+IF(OR($Q973=Parametres!$G$2,$Q973=Parametres!$G$3),I973,C973)</f>
        <v>0</v>
      </c>
      <c r="O973" s="657">
        <f>+IF(OR($Q973=Parametres!$G$2,$Q973=Parametres!$G$3),J973,D973)</f>
        <v>0</v>
      </c>
      <c r="P973" s="657">
        <f>+IF(OR($Q973=Parametres!$G$2,$Q973=Parametres!$G$3),K973,E973)</f>
        <v>0</v>
      </c>
      <c r="Q973" s="656">
        <f t="shared" ref="Q973:S973" si="991">+F973</f>
        <v>0</v>
      </c>
      <c r="R973" s="655">
        <f t="shared" si="991"/>
        <v>0</v>
      </c>
      <c r="S973" s="656">
        <f t="shared" si="991"/>
        <v>0</v>
      </c>
      <c r="T973" s="658" t="e">
        <f>+VLOOKUP($L973,Data_Validation!$A:$D,1,0)</f>
        <v>#N/A</v>
      </c>
      <c r="U973" s="658" t="e">
        <f>+VLOOKUP($L973,Data_Validation!$A:$D,3,0)</f>
        <v>#N/A</v>
      </c>
      <c r="V973" s="658" t="e">
        <f>+VLOOKUP($L973,Data_Validation!$A:$D,4,0)</f>
        <v>#N/A</v>
      </c>
      <c r="W973" s="658" t="e">
        <f>+VLOOKUP($L973,Data_Validation!$A:$E,5,0)</f>
        <v>#N/A</v>
      </c>
    </row>
    <row r="974" spans="1:23" ht="15.75" customHeight="1">
      <c r="A974" s="718"/>
      <c r="B974" s="656"/>
      <c r="C974" s="719"/>
      <c r="D974" s="718"/>
      <c r="E974" s="718"/>
      <c r="F974" s="718"/>
      <c r="G974" s="718"/>
      <c r="H974" s="718"/>
      <c r="I974" s="718"/>
      <c r="J974" s="718"/>
      <c r="K974" s="718"/>
      <c r="L974" s="655" t="str">
        <f t="shared" si="980"/>
        <v>0</v>
      </c>
      <c r="M974" s="656">
        <f t="shared" si="780"/>
        <v>0</v>
      </c>
      <c r="N974" s="657">
        <f>+IF(OR($Q974=Parametres!$G$2,$Q974=Parametres!$G$3),I974,C974)</f>
        <v>0</v>
      </c>
      <c r="O974" s="657">
        <f>+IF(OR($Q974=Parametres!$G$2,$Q974=Parametres!$G$3),J974,D974)</f>
        <v>0</v>
      </c>
      <c r="P974" s="657">
        <f>+IF(OR($Q974=Parametres!$G$2,$Q974=Parametres!$G$3),K974,E974)</f>
        <v>0</v>
      </c>
      <c r="Q974" s="656">
        <f t="shared" ref="Q974:S974" si="992">+F974</f>
        <v>0</v>
      </c>
      <c r="R974" s="655">
        <f t="shared" si="992"/>
        <v>0</v>
      </c>
      <c r="S974" s="656">
        <f t="shared" si="992"/>
        <v>0</v>
      </c>
      <c r="T974" s="658" t="e">
        <f>+VLOOKUP($L974,Data_Validation!$A:$D,1,0)</f>
        <v>#N/A</v>
      </c>
      <c r="U974" s="658" t="e">
        <f>+VLOOKUP($L974,Data_Validation!$A:$D,3,0)</f>
        <v>#N/A</v>
      </c>
      <c r="V974" s="658" t="e">
        <f>+VLOOKUP($L974,Data_Validation!$A:$D,4,0)</f>
        <v>#N/A</v>
      </c>
      <c r="W974" s="658" t="e">
        <f>+VLOOKUP($L974,Data_Validation!$A:$E,5,0)</f>
        <v>#N/A</v>
      </c>
    </row>
    <row r="975" spans="1:23" ht="15.75" customHeight="1">
      <c r="A975" s="718"/>
      <c r="B975" s="656"/>
      <c r="C975" s="719"/>
      <c r="D975" s="718"/>
      <c r="E975" s="718"/>
      <c r="F975" s="718"/>
      <c r="G975" s="718"/>
      <c r="H975" s="718"/>
      <c r="I975" s="718"/>
      <c r="J975" s="718"/>
      <c r="K975" s="718"/>
      <c r="L975" s="655" t="str">
        <f t="shared" si="980"/>
        <v>0</v>
      </c>
      <c r="M975" s="656">
        <f t="shared" si="780"/>
        <v>0</v>
      </c>
      <c r="N975" s="657">
        <f>+IF(OR($Q975=Parametres!$G$2,$Q975=Parametres!$G$3),I975,C975)</f>
        <v>0</v>
      </c>
      <c r="O975" s="657">
        <f>+IF(OR($Q975=Parametres!$G$2,$Q975=Parametres!$G$3),J975,D975)</f>
        <v>0</v>
      </c>
      <c r="P975" s="657">
        <f>+IF(OR($Q975=Parametres!$G$2,$Q975=Parametres!$G$3),K975,E975)</f>
        <v>0</v>
      </c>
      <c r="Q975" s="656">
        <f t="shared" ref="Q975:S975" si="993">+F975</f>
        <v>0</v>
      </c>
      <c r="R975" s="655">
        <f t="shared" si="993"/>
        <v>0</v>
      </c>
      <c r="S975" s="656">
        <f t="shared" si="993"/>
        <v>0</v>
      </c>
      <c r="T975" s="658" t="e">
        <f>+VLOOKUP($L975,Data_Validation!$A:$D,1,0)</f>
        <v>#N/A</v>
      </c>
      <c r="U975" s="658" t="e">
        <f>+VLOOKUP($L975,Data_Validation!$A:$D,3,0)</f>
        <v>#N/A</v>
      </c>
      <c r="V975" s="658" t="e">
        <f>+VLOOKUP($L975,Data_Validation!$A:$D,4,0)</f>
        <v>#N/A</v>
      </c>
      <c r="W975" s="658" t="e">
        <f>+VLOOKUP($L975,Data_Validation!$A:$E,5,0)</f>
        <v>#N/A</v>
      </c>
    </row>
    <row r="976" spans="1:23" ht="15.75" customHeight="1">
      <c r="A976" s="718"/>
      <c r="B976" s="656"/>
      <c r="C976" s="719"/>
      <c r="D976" s="718"/>
      <c r="E976" s="718"/>
      <c r="F976" s="718"/>
      <c r="G976" s="718"/>
      <c r="H976" s="718"/>
      <c r="I976" s="718"/>
      <c r="J976" s="718"/>
      <c r="K976" s="718"/>
      <c r="L976" s="655" t="str">
        <f t="shared" si="980"/>
        <v>0</v>
      </c>
      <c r="M976" s="656">
        <f t="shared" si="780"/>
        <v>0</v>
      </c>
      <c r="N976" s="657">
        <f>+IF(OR($Q976=Parametres!$G$2,$Q976=Parametres!$G$3),I976,C976)</f>
        <v>0</v>
      </c>
      <c r="O976" s="657">
        <f>+IF(OR($Q976=Parametres!$G$2,$Q976=Parametres!$G$3),J976,D976)</f>
        <v>0</v>
      </c>
      <c r="P976" s="657">
        <f>+IF(OR($Q976=Parametres!$G$2,$Q976=Parametres!$G$3),K976,E976)</f>
        <v>0</v>
      </c>
      <c r="Q976" s="656">
        <f t="shared" ref="Q976:S976" si="994">+F976</f>
        <v>0</v>
      </c>
      <c r="R976" s="655">
        <f t="shared" si="994"/>
        <v>0</v>
      </c>
      <c r="S976" s="656">
        <f t="shared" si="994"/>
        <v>0</v>
      </c>
      <c r="T976" s="658" t="e">
        <f>+VLOOKUP($L976,Data_Validation!$A:$D,1,0)</f>
        <v>#N/A</v>
      </c>
      <c r="U976" s="658" t="e">
        <f>+VLOOKUP($L976,Data_Validation!$A:$D,3,0)</f>
        <v>#N/A</v>
      </c>
      <c r="V976" s="658" t="e">
        <f>+VLOOKUP($L976,Data_Validation!$A:$D,4,0)</f>
        <v>#N/A</v>
      </c>
      <c r="W976" s="658" t="e">
        <f>+VLOOKUP($L976,Data_Validation!$A:$E,5,0)</f>
        <v>#N/A</v>
      </c>
    </row>
    <row r="977" spans="1:23" ht="15.75" customHeight="1">
      <c r="A977" s="718"/>
      <c r="B977" s="656"/>
      <c r="C977" s="719"/>
      <c r="D977" s="718"/>
      <c r="E977" s="718"/>
      <c r="F977" s="718"/>
      <c r="G977" s="718"/>
      <c r="H977" s="718"/>
      <c r="I977" s="718"/>
      <c r="J977" s="718"/>
      <c r="K977" s="718"/>
      <c r="L977" s="655" t="str">
        <f t="shared" si="980"/>
        <v>0</v>
      </c>
      <c r="M977" s="656">
        <f t="shared" si="780"/>
        <v>0</v>
      </c>
      <c r="N977" s="657">
        <f>+IF(OR($Q977=Parametres!$G$2,$Q977=Parametres!$G$3),I977,C977)</f>
        <v>0</v>
      </c>
      <c r="O977" s="657">
        <f>+IF(OR($Q977=Parametres!$G$2,$Q977=Parametres!$G$3),J977,D977)</f>
        <v>0</v>
      </c>
      <c r="P977" s="657">
        <f>+IF(OR($Q977=Parametres!$G$2,$Q977=Parametres!$G$3),K977,E977)</f>
        <v>0</v>
      </c>
      <c r="Q977" s="656">
        <f t="shared" ref="Q977:S977" si="995">+F977</f>
        <v>0</v>
      </c>
      <c r="R977" s="655">
        <f t="shared" si="995"/>
        <v>0</v>
      </c>
      <c r="S977" s="656">
        <f t="shared" si="995"/>
        <v>0</v>
      </c>
      <c r="T977" s="658" t="e">
        <f>+VLOOKUP($L977,Data_Validation!$A:$D,1,0)</f>
        <v>#N/A</v>
      </c>
      <c r="U977" s="658" t="e">
        <f>+VLOOKUP($L977,Data_Validation!$A:$D,3,0)</f>
        <v>#N/A</v>
      </c>
      <c r="V977" s="658" t="e">
        <f>+VLOOKUP($L977,Data_Validation!$A:$D,4,0)</f>
        <v>#N/A</v>
      </c>
      <c r="W977" s="658" t="e">
        <f>+VLOOKUP($L977,Data_Validation!$A:$E,5,0)</f>
        <v>#N/A</v>
      </c>
    </row>
    <row r="978" spans="1:23" ht="15.75" customHeight="1">
      <c r="A978" s="718"/>
      <c r="B978" s="656"/>
      <c r="C978" s="719"/>
      <c r="D978" s="718"/>
      <c r="E978" s="718"/>
      <c r="F978" s="718"/>
      <c r="G978" s="718"/>
      <c r="H978" s="718"/>
      <c r="I978" s="718"/>
      <c r="J978" s="718"/>
      <c r="K978" s="718"/>
      <c r="L978" s="655" t="str">
        <f t="shared" si="980"/>
        <v>0</v>
      </c>
      <c r="M978" s="656">
        <f t="shared" si="780"/>
        <v>0</v>
      </c>
      <c r="N978" s="657">
        <f>+IF(OR($Q978=Parametres!$G$2,$Q978=Parametres!$G$3),I978,C978)</f>
        <v>0</v>
      </c>
      <c r="O978" s="657">
        <f>+IF(OR($Q978=Parametres!$G$2,$Q978=Parametres!$G$3),J978,D978)</f>
        <v>0</v>
      </c>
      <c r="P978" s="657">
        <f>+IF(OR($Q978=Parametres!$G$2,$Q978=Parametres!$G$3),K978,E978)</f>
        <v>0</v>
      </c>
      <c r="Q978" s="656">
        <f t="shared" ref="Q978:S978" si="996">+F978</f>
        <v>0</v>
      </c>
      <c r="R978" s="655">
        <f t="shared" si="996"/>
        <v>0</v>
      </c>
      <c r="S978" s="656">
        <f t="shared" si="996"/>
        <v>0</v>
      </c>
      <c r="T978" s="658" t="e">
        <f>+VLOOKUP($L978,Data_Validation!$A:$D,1,0)</f>
        <v>#N/A</v>
      </c>
      <c r="U978" s="658" t="e">
        <f>+VLOOKUP($L978,Data_Validation!$A:$D,3,0)</f>
        <v>#N/A</v>
      </c>
      <c r="V978" s="658" t="e">
        <f>+VLOOKUP($L978,Data_Validation!$A:$D,4,0)</f>
        <v>#N/A</v>
      </c>
      <c r="W978" s="658" t="e">
        <f>+VLOOKUP($L978,Data_Validation!$A:$E,5,0)</f>
        <v>#N/A</v>
      </c>
    </row>
    <row r="979" spans="1:23" ht="15.75" customHeight="1">
      <c r="A979" s="718"/>
      <c r="B979" s="656"/>
      <c r="C979" s="719"/>
      <c r="D979" s="718"/>
      <c r="E979" s="718"/>
      <c r="F979" s="718"/>
      <c r="G979" s="718"/>
      <c r="H979" s="718"/>
      <c r="I979" s="718"/>
      <c r="J979" s="718"/>
      <c r="K979" s="718"/>
      <c r="L979" s="655" t="str">
        <f t="shared" si="980"/>
        <v>0</v>
      </c>
      <c r="M979" s="656">
        <f t="shared" si="780"/>
        <v>0</v>
      </c>
      <c r="N979" s="657">
        <f>+IF(OR($Q979=Parametres!$G$2,$Q979=Parametres!$G$3),I979,C979)</f>
        <v>0</v>
      </c>
      <c r="O979" s="657">
        <f>+IF(OR($Q979=Parametres!$G$2,$Q979=Parametres!$G$3),J979,D979)</f>
        <v>0</v>
      </c>
      <c r="P979" s="657">
        <f>+IF(OR($Q979=Parametres!$G$2,$Q979=Parametres!$G$3),K979,E979)</f>
        <v>0</v>
      </c>
      <c r="Q979" s="656">
        <f t="shared" ref="Q979:S979" si="997">+F979</f>
        <v>0</v>
      </c>
      <c r="R979" s="655">
        <f t="shared" si="997"/>
        <v>0</v>
      </c>
      <c r="S979" s="656">
        <f t="shared" si="997"/>
        <v>0</v>
      </c>
      <c r="T979" s="658" t="e">
        <f>+VLOOKUP($L979,Data_Validation!$A:$D,1,0)</f>
        <v>#N/A</v>
      </c>
      <c r="U979" s="658" t="e">
        <f>+VLOOKUP($L979,Data_Validation!$A:$D,3,0)</f>
        <v>#N/A</v>
      </c>
      <c r="V979" s="658" t="e">
        <f>+VLOOKUP($L979,Data_Validation!$A:$D,4,0)</f>
        <v>#N/A</v>
      </c>
      <c r="W979" s="658" t="e">
        <f>+VLOOKUP($L979,Data_Validation!$A:$E,5,0)</f>
        <v>#N/A</v>
      </c>
    </row>
    <row r="980" spans="1:23" ht="15.75" customHeight="1">
      <c r="A980" s="718"/>
      <c r="B980" s="656"/>
      <c r="C980" s="719"/>
      <c r="D980" s="718"/>
      <c r="E980" s="718"/>
      <c r="F980" s="718"/>
      <c r="G980" s="718"/>
      <c r="H980" s="718"/>
      <c r="I980" s="718"/>
      <c r="J980" s="718"/>
      <c r="K980" s="718"/>
      <c r="L980" s="655" t="str">
        <f t="shared" si="980"/>
        <v>0</v>
      </c>
      <c r="M980" s="656">
        <f t="shared" si="780"/>
        <v>0</v>
      </c>
      <c r="N980" s="657">
        <f>+IF(OR($Q980=Parametres!$G$2,$Q980=Parametres!$G$3),I980,C980)</f>
        <v>0</v>
      </c>
      <c r="O980" s="657">
        <f>+IF(OR($Q980=Parametres!$G$2,$Q980=Parametres!$G$3),J980,D980)</f>
        <v>0</v>
      </c>
      <c r="P980" s="657">
        <f>+IF(OR($Q980=Parametres!$G$2,$Q980=Parametres!$G$3),K980,E980)</f>
        <v>0</v>
      </c>
      <c r="Q980" s="656">
        <f t="shared" ref="Q980:S980" si="998">+F980</f>
        <v>0</v>
      </c>
      <c r="R980" s="655">
        <f t="shared" si="998"/>
        <v>0</v>
      </c>
      <c r="S980" s="656">
        <f t="shared" si="998"/>
        <v>0</v>
      </c>
      <c r="T980" s="658" t="e">
        <f>+VLOOKUP($L980,Data_Validation!$A:$D,1,0)</f>
        <v>#N/A</v>
      </c>
      <c r="U980" s="658" t="e">
        <f>+VLOOKUP($L980,Data_Validation!$A:$D,3,0)</f>
        <v>#N/A</v>
      </c>
      <c r="V980" s="658" t="e">
        <f>+VLOOKUP($L980,Data_Validation!$A:$D,4,0)</f>
        <v>#N/A</v>
      </c>
      <c r="W980" s="658" t="e">
        <f>+VLOOKUP($L980,Data_Validation!$A:$E,5,0)</f>
        <v>#N/A</v>
      </c>
    </row>
    <row r="981" spans="1:23" ht="15.75" customHeight="1">
      <c r="A981" s="718"/>
      <c r="B981" s="656"/>
      <c r="C981" s="719"/>
      <c r="D981" s="718"/>
      <c r="E981" s="718"/>
      <c r="F981" s="718"/>
      <c r="G981" s="718"/>
      <c r="H981" s="718"/>
      <c r="I981" s="718"/>
      <c r="J981" s="718"/>
      <c r="K981" s="718"/>
      <c r="L981" s="655" t="str">
        <f t="shared" si="980"/>
        <v>0</v>
      </c>
      <c r="M981" s="656">
        <f t="shared" si="780"/>
        <v>0</v>
      </c>
      <c r="N981" s="657">
        <f>+IF(OR($Q981=Parametres!$G$2,$Q981=Parametres!$G$3),I981,C981)</f>
        <v>0</v>
      </c>
      <c r="O981" s="657">
        <f>+IF(OR($Q981=Parametres!$G$2,$Q981=Parametres!$G$3),J981,D981)</f>
        <v>0</v>
      </c>
      <c r="P981" s="657">
        <f>+IF(OR($Q981=Parametres!$G$2,$Q981=Parametres!$G$3),K981,E981)</f>
        <v>0</v>
      </c>
      <c r="Q981" s="656">
        <f t="shared" ref="Q981:S981" si="999">+F981</f>
        <v>0</v>
      </c>
      <c r="R981" s="655">
        <f t="shared" si="999"/>
        <v>0</v>
      </c>
      <c r="S981" s="656">
        <f t="shared" si="999"/>
        <v>0</v>
      </c>
      <c r="T981" s="658" t="e">
        <f>+VLOOKUP($L981,Data_Validation!$A:$D,1,0)</f>
        <v>#N/A</v>
      </c>
      <c r="U981" s="658" t="e">
        <f>+VLOOKUP($L981,Data_Validation!$A:$D,3,0)</f>
        <v>#N/A</v>
      </c>
      <c r="V981" s="658" t="e">
        <f>+VLOOKUP($L981,Data_Validation!$A:$D,4,0)</f>
        <v>#N/A</v>
      </c>
      <c r="W981" s="658" t="e">
        <f>+VLOOKUP($L981,Data_Validation!$A:$E,5,0)</f>
        <v>#N/A</v>
      </c>
    </row>
    <row r="982" spans="1:23" ht="15.75" customHeight="1">
      <c r="A982" s="718"/>
      <c r="B982" s="656"/>
      <c r="C982" s="719"/>
      <c r="D982" s="718"/>
      <c r="E982" s="718"/>
      <c r="F982" s="718"/>
      <c r="G982" s="718"/>
      <c r="H982" s="718"/>
      <c r="I982" s="718"/>
      <c r="J982" s="718"/>
      <c r="K982" s="718"/>
      <c r="L982" s="655" t="str">
        <f t="shared" si="980"/>
        <v>0</v>
      </c>
      <c r="M982" s="656">
        <f t="shared" si="780"/>
        <v>0</v>
      </c>
      <c r="N982" s="657">
        <f>+IF(OR($Q982=Parametres!$G$2,$Q982=Parametres!$G$3),I982,C982)</f>
        <v>0</v>
      </c>
      <c r="O982" s="657">
        <f>+IF(OR($Q982=Parametres!$G$2,$Q982=Parametres!$G$3),J982,D982)</f>
        <v>0</v>
      </c>
      <c r="P982" s="657">
        <f>+IF(OR($Q982=Parametres!$G$2,$Q982=Parametres!$G$3),K982,E982)</f>
        <v>0</v>
      </c>
      <c r="Q982" s="656">
        <f t="shared" ref="Q982:S982" si="1000">+F982</f>
        <v>0</v>
      </c>
      <c r="R982" s="655">
        <f t="shared" si="1000"/>
        <v>0</v>
      </c>
      <c r="S982" s="656">
        <f t="shared" si="1000"/>
        <v>0</v>
      </c>
      <c r="T982" s="658" t="e">
        <f>+VLOOKUP($L982,Data_Validation!$A:$D,1,0)</f>
        <v>#N/A</v>
      </c>
      <c r="U982" s="658" t="e">
        <f>+VLOOKUP($L982,Data_Validation!$A:$D,3,0)</f>
        <v>#N/A</v>
      </c>
      <c r="V982" s="658" t="e">
        <f>+VLOOKUP($L982,Data_Validation!$A:$D,4,0)</f>
        <v>#N/A</v>
      </c>
      <c r="W982" s="658" t="e">
        <f>+VLOOKUP($L982,Data_Validation!$A:$E,5,0)</f>
        <v>#N/A</v>
      </c>
    </row>
    <row r="983" spans="1:23" ht="15.75" customHeight="1">
      <c r="A983" s="718"/>
      <c r="B983" s="656"/>
      <c r="C983" s="719"/>
      <c r="D983" s="718"/>
      <c r="E983" s="718"/>
      <c r="F983" s="718"/>
      <c r="G983" s="718"/>
      <c r="H983" s="718"/>
      <c r="I983" s="718"/>
      <c r="J983" s="718"/>
      <c r="K983" s="718"/>
      <c r="L983" s="655" t="str">
        <f t="shared" si="980"/>
        <v>0</v>
      </c>
      <c r="M983" s="656">
        <f t="shared" si="780"/>
        <v>0</v>
      </c>
      <c r="N983" s="657">
        <f>+IF(OR($Q983=Parametres!$G$2,$Q983=Parametres!$G$3),I983,C983)</f>
        <v>0</v>
      </c>
      <c r="O983" s="657">
        <f>+IF(OR($Q983=Parametres!$G$2,$Q983=Parametres!$G$3),J983,D983)</f>
        <v>0</v>
      </c>
      <c r="P983" s="657">
        <f>+IF(OR($Q983=Parametres!$G$2,$Q983=Parametres!$G$3),K983,E983)</f>
        <v>0</v>
      </c>
      <c r="Q983" s="656">
        <f t="shared" ref="Q983:S983" si="1001">+F983</f>
        <v>0</v>
      </c>
      <c r="R983" s="655">
        <f t="shared" si="1001"/>
        <v>0</v>
      </c>
      <c r="S983" s="656">
        <f t="shared" si="1001"/>
        <v>0</v>
      </c>
      <c r="T983" s="658" t="e">
        <f>+VLOOKUP($L983,Data_Validation!$A:$D,1,0)</f>
        <v>#N/A</v>
      </c>
      <c r="U983" s="658" t="e">
        <f>+VLOOKUP($L983,Data_Validation!$A:$D,3,0)</f>
        <v>#N/A</v>
      </c>
      <c r="V983" s="658" t="e">
        <f>+VLOOKUP($L983,Data_Validation!$A:$D,4,0)</f>
        <v>#N/A</v>
      </c>
      <c r="W983" s="658" t="e">
        <f>+VLOOKUP($L983,Data_Validation!$A:$E,5,0)</f>
        <v>#N/A</v>
      </c>
    </row>
    <row r="984" spans="1:23" ht="15.75" customHeight="1">
      <c r="A984" s="718"/>
      <c r="B984" s="656"/>
      <c r="C984" s="719"/>
      <c r="D984" s="718"/>
      <c r="E984" s="718"/>
      <c r="F984" s="718"/>
      <c r="G984" s="718"/>
      <c r="H984" s="718"/>
      <c r="I984" s="718"/>
      <c r="J984" s="718"/>
      <c r="K984" s="718"/>
      <c r="L984" s="655" t="str">
        <f t="shared" si="980"/>
        <v>0</v>
      </c>
      <c r="M984" s="656">
        <f t="shared" si="780"/>
        <v>0</v>
      </c>
      <c r="N984" s="657">
        <f>+IF(OR($Q984=Parametres!$G$2,$Q984=Parametres!$G$3),I984,C984)</f>
        <v>0</v>
      </c>
      <c r="O984" s="657">
        <f>+IF(OR($Q984=Parametres!$G$2,$Q984=Parametres!$G$3),J984,D984)</f>
        <v>0</v>
      </c>
      <c r="P984" s="657">
        <f>+IF(OR($Q984=Parametres!$G$2,$Q984=Parametres!$G$3),K984,E984)</f>
        <v>0</v>
      </c>
      <c r="Q984" s="656">
        <f t="shared" ref="Q984:S984" si="1002">+F984</f>
        <v>0</v>
      </c>
      <c r="R984" s="655">
        <f t="shared" si="1002"/>
        <v>0</v>
      </c>
      <c r="S984" s="656">
        <f t="shared" si="1002"/>
        <v>0</v>
      </c>
      <c r="T984" s="658" t="e">
        <f>+VLOOKUP($L984,Data_Validation!$A:$D,1,0)</f>
        <v>#N/A</v>
      </c>
      <c r="U984" s="658" t="e">
        <f>+VLOOKUP($L984,Data_Validation!$A:$D,3,0)</f>
        <v>#N/A</v>
      </c>
      <c r="V984" s="658" t="e">
        <f>+VLOOKUP($L984,Data_Validation!$A:$D,4,0)</f>
        <v>#N/A</v>
      </c>
      <c r="W984" s="658" t="e">
        <f>+VLOOKUP($L984,Data_Validation!$A:$E,5,0)</f>
        <v>#N/A</v>
      </c>
    </row>
    <row r="985" spans="1:23" ht="15.75" customHeight="1">
      <c r="A985" s="718"/>
      <c r="B985" s="656"/>
      <c r="C985" s="719"/>
      <c r="D985" s="718"/>
      <c r="E985" s="718"/>
      <c r="F985" s="718"/>
      <c r="G985" s="718"/>
      <c r="H985" s="718"/>
      <c r="I985" s="718"/>
      <c r="J985" s="718"/>
      <c r="K985" s="718"/>
      <c r="L985" s="655" t="str">
        <f t="shared" si="980"/>
        <v>0</v>
      </c>
      <c r="M985" s="656">
        <f t="shared" si="780"/>
        <v>0</v>
      </c>
      <c r="N985" s="657">
        <f>+IF(OR($Q985=Parametres!$G$2,$Q985=Parametres!$G$3),I985,C985)</f>
        <v>0</v>
      </c>
      <c r="O985" s="657">
        <f>+IF(OR($Q985=Parametres!$G$2,$Q985=Parametres!$G$3),J985,D985)</f>
        <v>0</v>
      </c>
      <c r="P985" s="657">
        <f>+IF(OR($Q985=Parametres!$G$2,$Q985=Parametres!$G$3),K985,E985)</f>
        <v>0</v>
      </c>
      <c r="Q985" s="656">
        <f t="shared" ref="Q985:S985" si="1003">+F985</f>
        <v>0</v>
      </c>
      <c r="R985" s="655">
        <f t="shared" si="1003"/>
        <v>0</v>
      </c>
      <c r="S985" s="656">
        <f t="shared" si="1003"/>
        <v>0</v>
      </c>
      <c r="T985" s="658" t="e">
        <f>+VLOOKUP($L985,Data_Validation!$A:$D,1,0)</f>
        <v>#N/A</v>
      </c>
      <c r="U985" s="658" t="e">
        <f>+VLOOKUP($L985,Data_Validation!$A:$D,3,0)</f>
        <v>#N/A</v>
      </c>
      <c r="V985" s="658" t="e">
        <f>+VLOOKUP($L985,Data_Validation!$A:$D,4,0)</f>
        <v>#N/A</v>
      </c>
      <c r="W985" s="658" t="e">
        <f>+VLOOKUP($L985,Data_Validation!$A:$E,5,0)</f>
        <v>#N/A</v>
      </c>
    </row>
    <row r="986" spans="1:23" ht="15.75" customHeight="1">
      <c r="A986" s="718"/>
      <c r="B986" s="656"/>
      <c r="C986" s="719"/>
      <c r="D986" s="718"/>
      <c r="E986" s="718"/>
      <c r="F986" s="718"/>
      <c r="G986" s="718"/>
      <c r="H986" s="718"/>
      <c r="I986" s="718"/>
      <c r="J986" s="718"/>
      <c r="K986" s="718"/>
      <c r="L986" s="655" t="str">
        <f t="shared" si="980"/>
        <v>0</v>
      </c>
      <c r="M986" s="656">
        <f t="shared" si="780"/>
        <v>0</v>
      </c>
      <c r="N986" s="657">
        <f>+IF(OR($Q986=Parametres!$G$2,$Q986=Parametres!$G$3),I986,C986)</f>
        <v>0</v>
      </c>
      <c r="O986" s="657">
        <f>+IF(OR($Q986=Parametres!$G$2,$Q986=Parametres!$G$3),J986,D986)</f>
        <v>0</v>
      </c>
      <c r="P986" s="657">
        <f>+IF(OR($Q986=Parametres!$G$2,$Q986=Parametres!$G$3),K986,E986)</f>
        <v>0</v>
      </c>
      <c r="Q986" s="656">
        <f t="shared" ref="Q986:S986" si="1004">+F986</f>
        <v>0</v>
      </c>
      <c r="R986" s="655">
        <f t="shared" si="1004"/>
        <v>0</v>
      </c>
      <c r="S986" s="656">
        <f t="shared" si="1004"/>
        <v>0</v>
      </c>
      <c r="T986" s="658" t="e">
        <f>+VLOOKUP($L986,Data_Validation!$A:$D,1,0)</f>
        <v>#N/A</v>
      </c>
      <c r="U986" s="658" t="e">
        <f>+VLOOKUP($L986,Data_Validation!$A:$D,3,0)</f>
        <v>#N/A</v>
      </c>
      <c r="V986" s="658" t="e">
        <f>+VLOOKUP($L986,Data_Validation!$A:$D,4,0)</f>
        <v>#N/A</v>
      </c>
      <c r="W986" s="658" t="e">
        <f>+VLOOKUP($L986,Data_Validation!$A:$E,5,0)</f>
        <v>#N/A</v>
      </c>
    </row>
    <row r="987" spans="1:23" ht="15.75" customHeight="1">
      <c r="A987" s="718"/>
      <c r="B987" s="656"/>
      <c r="C987" s="719"/>
      <c r="D987" s="718"/>
      <c r="E987" s="718"/>
      <c r="F987" s="718"/>
      <c r="G987" s="718"/>
      <c r="H987" s="718"/>
      <c r="I987" s="718"/>
      <c r="J987" s="718"/>
      <c r="K987" s="718"/>
      <c r="L987" s="655" t="str">
        <f t="shared" si="980"/>
        <v>0</v>
      </c>
      <c r="M987" s="656">
        <f t="shared" si="780"/>
        <v>0</v>
      </c>
      <c r="N987" s="657">
        <f>+IF(OR($Q987=Parametres!$G$2,$Q987=Parametres!$G$3),I987,C987)</f>
        <v>0</v>
      </c>
      <c r="O987" s="657">
        <f>+IF(OR($Q987=Parametres!$G$2,$Q987=Parametres!$G$3),J987,D987)</f>
        <v>0</v>
      </c>
      <c r="P987" s="657">
        <f>+IF(OR($Q987=Parametres!$G$2,$Q987=Parametres!$G$3),K987,E987)</f>
        <v>0</v>
      </c>
      <c r="Q987" s="656">
        <f t="shared" ref="Q987:S987" si="1005">+F987</f>
        <v>0</v>
      </c>
      <c r="R987" s="655">
        <f t="shared" si="1005"/>
        <v>0</v>
      </c>
      <c r="S987" s="656">
        <f t="shared" si="1005"/>
        <v>0</v>
      </c>
      <c r="T987" s="658" t="e">
        <f>+VLOOKUP($L987,Data_Validation!$A:$D,1,0)</f>
        <v>#N/A</v>
      </c>
      <c r="U987" s="658" t="e">
        <f>+VLOOKUP($L987,Data_Validation!$A:$D,3,0)</f>
        <v>#N/A</v>
      </c>
      <c r="V987" s="658" t="e">
        <f>+VLOOKUP($L987,Data_Validation!$A:$D,4,0)</f>
        <v>#N/A</v>
      </c>
      <c r="W987" s="658" t="e">
        <f>+VLOOKUP($L987,Data_Validation!$A:$E,5,0)</f>
        <v>#N/A</v>
      </c>
    </row>
    <row r="988" spans="1:23" ht="15.75" customHeight="1">
      <c r="A988" s="718"/>
      <c r="B988" s="656"/>
      <c r="C988" s="719"/>
      <c r="D988" s="718"/>
      <c r="E988" s="718"/>
      <c r="F988" s="718"/>
      <c r="G988" s="718"/>
      <c r="H988" s="718"/>
      <c r="I988" s="718"/>
      <c r="J988" s="718"/>
      <c r="K988" s="718"/>
      <c r="L988" s="655" t="str">
        <f t="shared" si="980"/>
        <v>0</v>
      </c>
      <c r="M988" s="656">
        <f t="shared" si="780"/>
        <v>0</v>
      </c>
      <c r="N988" s="657">
        <f>+IF(OR($Q988=Parametres!$G$2,$Q988=Parametres!$G$3),I988,C988)</f>
        <v>0</v>
      </c>
      <c r="O988" s="657">
        <f>+IF(OR($Q988=Parametres!$G$2,$Q988=Parametres!$G$3),J988,D988)</f>
        <v>0</v>
      </c>
      <c r="P988" s="657">
        <f>+IF(OR($Q988=Parametres!$G$2,$Q988=Parametres!$G$3),K988,E988)</f>
        <v>0</v>
      </c>
      <c r="Q988" s="656">
        <f t="shared" ref="Q988:S988" si="1006">+F988</f>
        <v>0</v>
      </c>
      <c r="R988" s="655">
        <f t="shared" si="1006"/>
        <v>0</v>
      </c>
      <c r="S988" s="656">
        <f t="shared" si="1006"/>
        <v>0</v>
      </c>
      <c r="T988" s="658" t="e">
        <f>+VLOOKUP($L988,Data_Validation!$A:$D,1,0)</f>
        <v>#N/A</v>
      </c>
      <c r="U988" s="658" t="e">
        <f>+VLOOKUP($L988,Data_Validation!$A:$D,3,0)</f>
        <v>#N/A</v>
      </c>
      <c r="V988" s="658" t="e">
        <f>+VLOOKUP($L988,Data_Validation!$A:$D,4,0)</f>
        <v>#N/A</v>
      </c>
      <c r="W988" s="658" t="e">
        <f>+VLOOKUP($L988,Data_Validation!$A:$E,5,0)</f>
        <v>#N/A</v>
      </c>
    </row>
    <row r="989" spans="1:23" ht="15.75" customHeight="1">
      <c r="A989" s="718"/>
      <c r="B989" s="656"/>
      <c r="C989" s="719"/>
      <c r="D989" s="718"/>
      <c r="E989" s="718"/>
      <c r="F989" s="718"/>
      <c r="G989" s="718"/>
      <c r="H989" s="718"/>
      <c r="I989" s="718"/>
      <c r="J989" s="718"/>
      <c r="K989" s="718"/>
      <c r="L989" s="655" t="str">
        <f t="shared" si="980"/>
        <v>0</v>
      </c>
      <c r="M989" s="656">
        <f t="shared" si="780"/>
        <v>0</v>
      </c>
      <c r="N989" s="657">
        <f>+IF(OR($Q989=Parametres!$G$2,$Q989=Parametres!$G$3),I989,C989)</f>
        <v>0</v>
      </c>
      <c r="O989" s="657">
        <f>+IF(OR($Q989=Parametres!$G$2,$Q989=Parametres!$G$3),J989,D989)</f>
        <v>0</v>
      </c>
      <c r="P989" s="657">
        <f>+IF(OR($Q989=Parametres!$G$2,$Q989=Parametres!$G$3),K989,E989)</f>
        <v>0</v>
      </c>
      <c r="Q989" s="656">
        <f t="shared" ref="Q989:S989" si="1007">+F989</f>
        <v>0</v>
      </c>
      <c r="R989" s="655">
        <f t="shared" si="1007"/>
        <v>0</v>
      </c>
      <c r="S989" s="656">
        <f t="shared" si="1007"/>
        <v>0</v>
      </c>
      <c r="T989" s="658" t="e">
        <f>+VLOOKUP($L989,Data_Validation!$A:$D,1,0)</f>
        <v>#N/A</v>
      </c>
      <c r="U989" s="658" t="e">
        <f>+VLOOKUP($L989,Data_Validation!$A:$D,3,0)</f>
        <v>#N/A</v>
      </c>
      <c r="V989" s="658" t="e">
        <f>+VLOOKUP($L989,Data_Validation!$A:$D,4,0)</f>
        <v>#N/A</v>
      </c>
      <c r="W989" s="658" t="e">
        <f>+VLOOKUP($L989,Data_Validation!$A:$E,5,0)</f>
        <v>#N/A</v>
      </c>
    </row>
    <row r="990" spans="1:23" ht="15.75" customHeight="1">
      <c r="A990" s="718"/>
      <c r="B990" s="656"/>
      <c r="C990" s="719"/>
      <c r="D990" s="718"/>
      <c r="E990" s="718"/>
      <c r="F990" s="718"/>
      <c r="G990" s="718"/>
      <c r="H990" s="718"/>
      <c r="I990" s="718"/>
      <c r="J990" s="718"/>
      <c r="K990" s="718"/>
      <c r="L990" s="655" t="str">
        <f t="shared" si="980"/>
        <v>0</v>
      </c>
      <c r="M990" s="656">
        <f t="shared" si="780"/>
        <v>0</v>
      </c>
      <c r="N990" s="657">
        <f>+IF(OR($Q990=Parametres!$G$2,$Q990=Parametres!$G$3),I990,C990)</f>
        <v>0</v>
      </c>
      <c r="O990" s="657">
        <f>+IF(OR($Q990=Parametres!$G$2,$Q990=Parametres!$G$3),J990,D990)</f>
        <v>0</v>
      </c>
      <c r="P990" s="657">
        <f>+IF(OR($Q990=Parametres!$G$2,$Q990=Parametres!$G$3),K990,E990)</f>
        <v>0</v>
      </c>
      <c r="Q990" s="656">
        <f t="shared" ref="Q990:S990" si="1008">+F990</f>
        <v>0</v>
      </c>
      <c r="R990" s="655">
        <f t="shared" si="1008"/>
        <v>0</v>
      </c>
      <c r="S990" s="656">
        <f t="shared" si="1008"/>
        <v>0</v>
      </c>
      <c r="T990" s="658" t="e">
        <f>+VLOOKUP($L990,Data_Validation!$A:$D,1,0)</f>
        <v>#N/A</v>
      </c>
      <c r="U990" s="658" t="e">
        <f>+VLOOKUP($L990,Data_Validation!$A:$D,3,0)</f>
        <v>#N/A</v>
      </c>
      <c r="V990" s="658" t="e">
        <f>+VLOOKUP($L990,Data_Validation!$A:$D,4,0)</f>
        <v>#N/A</v>
      </c>
      <c r="W990" s="658" t="e">
        <f>+VLOOKUP($L990,Data_Validation!$A:$E,5,0)</f>
        <v>#N/A</v>
      </c>
    </row>
    <row r="991" spans="1:23" ht="15.75" customHeight="1">
      <c r="A991" s="718"/>
      <c r="B991" s="656"/>
      <c r="C991" s="719"/>
      <c r="D991" s="718"/>
      <c r="E991" s="718"/>
      <c r="F991" s="718"/>
      <c r="G991" s="718"/>
      <c r="H991" s="718"/>
      <c r="I991" s="718"/>
      <c r="J991" s="718"/>
      <c r="K991" s="718"/>
      <c r="L991" s="655" t="str">
        <f t="shared" si="980"/>
        <v>0</v>
      </c>
      <c r="M991" s="656">
        <f t="shared" si="780"/>
        <v>0</v>
      </c>
      <c r="N991" s="657">
        <f>+IF(OR($Q991=Parametres!$G$2,$Q991=Parametres!$G$3),I991,C991)</f>
        <v>0</v>
      </c>
      <c r="O991" s="657">
        <f>+IF(OR($Q991=Parametres!$G$2,$Q991=Parametres!$G$3),J991,D991)</f>
        <v>0</v>
      </c>
      <c r="P991" s="657">
        <f>+IF(OR($Q991=Parametres!$G$2,$Q991=Parametres!$G$3),K991,E991)</f>
        <v>0</v>
      </c>
      <c r="Q991" s="656">
        <f t="shared" ref="Q991:S991" si="1009">+F991</f>
        <v>0</v>
      </c>
      <c r="R991" s="655">
        <f t="shared" si="1009"/>
        <v>0</v>
      </c>
      <c r="S991" s="656">
        <f t="shared" si="1009"/>
        <v>0</v>
      </c>
      <c r="T991" s="658" t="e">
        <f>+VLOOKUP($L991,Data_Validation!$A:$D,1,0)</f>
        <v>#N/A</v>
      </c>
      <c r="U991" s="658" t="e">
        <f>+VLOOKUP($L991,Data_Validation!$A:$D,3,0)</f>
        <v>#N/A</v>
      </c>
      <c r="V991" s="658" t="e">
        <f>+VLOOKUP($L991,Data_Validation!$A:$D,4,0)</f>
        <v>#N/A</v>
      </c>
      <c r="W991" s="658" t="e">
        <f>+VLOOKUP($L991,Data_Validation!$A:$E,5,0)</f>
        <v>#N/A</v>
      </c>
    </row>
    <row r="992" spans="1:23" ht="15.75" customHeight="1">
      <c r="A992" s="718"/>
      <c r="B992" s="656"/>
      <c r="C992" s="719"/>
      <c r="D992" s="718"/>
      <c r="E992" s="718"/>
      <c r="F992" s="718"/>
      <c r="G992" s="718"/>
      <c r="H992" s="718"/>
      <c r="I992" s="718"/>
      <c r="J992" s="718"/>
      <c r="K992" s="718"/>
      <c r="L992" s="655" t="str">
        <f t="shared" si="980"/>
        <v>0</v>
      </c>
      <c r="M992" s="656">
        <f t="shared" si="780"/>
        <v>0</v>
      </c>
      <c r="N992" s="657">
        <f>+IF(OR($Q992=Parametres!$G$2,$Q992=Parametres!$G$3),I992,C992)</f>
        <v>0</v>
      </c>
      <c r="O992" s="657">
        <f>+IF(OR($Q992=Parametres!$G$2,$Q992=Parametres!$G$3),J992,D992)</f>
        <v>0</v>
      </c>
      <c r="P992" s="657">
        <f>+IF(OR($Q992=Parametres!$G$2,$Q992=Parametres!$G$3),K992,E992)</f>
        <v>0</v>
      </c>
      <c r="Q992" s="656">
        <f t="shared" ref="Q992:S992" si="1010">+F992</f>
        <v>0</v>
      </c>
      <c r="R992" s="655">
        <f t="shared" si="1010"/>
        <v>0</v>
      </c>
      <c r="S992" s="656">
        <f t="shared" si="1010"/>
        <v>0</v>
      </c>
      <c r="T992" s="658" t="e">
        <f>+VLOOKUP($L992,Data_Validation!$A:$D,1,0)</f>
        <v>#N/A</v>
      </c>
      <c r="U992" s="658" t="e">
        <f>+VLOOKUP($L992,Data_Validation!$A:$D,3,0)</f>
        <v>#N/A</v>
      </c>
      <c r="V992" s="658" t="e">
        <f>+VLOOKUP($L992,Data_Validation!$A:$D,4,0)</f>
        <v>#N/A</v>
      </c>
      <c r="W992" s="658" t="e">
        <f>+VLOOKUP($L992,Data_Validation!$A:$E,5,0)</f>
        <v>#N/A</v>
      </c>
    </row>
    <row r="993" spans="1:23" ht="15.75" customHeight="1">
      <c r="A993" s="718"/>
      <c r="B993" s="656"/>
      <c r="C993" s="719"/>
      <c r="D993" s="718"/>
      <c r="E993" s="718"/>
      <c r="F993" s="718"/>
      <c r="G993" s="718"/>
      <c r="H993" s="718"/>
      <c r="I993" s="718"/>
      <c r="J993" s="718"/>
      <c r="K993" s="718"/>
      <c r="L993" s="655" t="str">
        <f t="shared" si="980"/>
        <v>0</v>
      </c>
      <c r="M993" s="656">
        <f t="shared" si="780"/>
        <v>0</v>
      </c>
      <c r="N993" s="657">
        <f>+IF(OR($Q993=Parametres!$G$2,$Q993=Parametres!$G$3),I993,C993)</f>
        <v>0</v>
      </c>
      <c r="O993" s="657">
        <f>+IF(OR($Q993=Parametres!$G$2,$Q993=Parametres!$G$3),J993,D993)</f>
        <v>0</v>
      </c>
      <c r="P993" s="657">
        <f>+IF(OR($Q993=Parametres!$G$2,$Q993=Parametres!$G$3),K993,E993)</f>
        <v>0</v>
      </c>
      <c r="Q993" s="656">
        <f t="shared" ref="Q993:S993" si="1011">+F993</f>
        <v>0</v>
      </c>
      <c r="R993" s="655">
        <f t="shared" si="1011"/>
        <v>0</v>
      </c>
      <c r="S993" s="656">
        <f t="shared" si="1011"/>
        <v>0</v>
      </c>
      <c r="T993" s="658" t="e">
        <f>+VLOOKUP($L993,Data_Validation!$A:$D,1,0)</f>
        <v>#N/A</v>
      </c>
      <c r="U993" s="658" t="e">
        <f>+VLOOKUP($L993,Data_Validation!$A:$D,3,0)</f>
        <v>#N/A</v>
      </c>
      <c r="V993" s="658" t="e">
        <f>+VLOOKUP($L993,Data_Validation!$A:$D,4,0)</f>
        <v>#N/A</v>
      </c>
      <c r="W993" s="658" t="e">
        <f>+VLOOKUP($L993,Data_Validation!$A:$E,5,0)</f>
        <v>#N/A</v>
      </c>
    </row>
    <row r="994" spans="1:23" ht="15.75" customHeight="1">
      <c r="A994" s="718"/>
      <c r="B994" s="656"/>
      <c r="C994" s="719"/>
      <c r="D994" s="718"/>
      <c r="E994" s="718"/>
      <c r="F994" s="718"/>
      <c r="G994" s="718"/>
      <c r="H994" s="718"/>
      <c r="I994" s="718"/>
      <c r="J994" s="718"/>
      <c r="K994" s="718"/>
      <c r="L994" s="655" t="str">
        <f t="shared" si="980"/>
        <v>0</v>
      </c>
      <c r="M994" s="656">
        <f t="shared" si="780"/>
        <v>0</v>
      </c>
      <c r="N994" s="657">
        <f>+IF(OR($Q994=Parametres!$G$2,$Q994=Parametres!$G$3),I994,C994)</f>
        <v>0</v>
      </c>
      <c r="O994" s="657">
        <f>+IF(OR($Q994=Parametres!$G$2,$Q994=Parametres!$G$3),J994,D994)</f>
        <v>0</v>
      </c>
      <c r="P994" s="657">
        <f>+IF(OR($Q994=Parametres!$G$2,$Q994=Parametres!$G$3),K994,E994)</f>
        <v>0</v>
      </c>
      <c r="Q994" s="656">
        <f t="shared" ref="Q994:S994" si="1012">+F994</f>
        <v>0</v>
      </c>
      <c r="R994" s="655">
        <f t="shared" si="1012"/>
        <v>0</v>
      </c>
      <c r="S994" s="656">
        <f t="shared" si="1012"/>
        <v>0</v>
      </c>
      <c r="T994" s="658" t="e">
        <f>+VLOOKUP($L994,Data_Validation!$A:$D,1,0)</f>
        <v>#N/A</v>
      </c>
      <c r="U994" s="658" t="e">
        <f>+VLOOKUP($L994,Data_Validation!$A:$D,3,0)</f>
        <v>#N/A</v>
      </c>
      <c r="V994" s="658" t="e">
        <f>+VLOOKUP($L994,Data_Validation!$A:$D,4,0)</f>
        <v>#N/A</v>
      </c>
      <c r="W994" s="658" t="e">
        <f>+VLOOKUP($L994,Data_Validation!$A:$E,5,0)</f>
        <v>#N/A</v>
      </c>
    </row>
    <row r="995" spans="1:23" ht="15.75" customHeight="1">
      <c r="A995" s="718"/>
      <c r="B995" s="656"/>
      <c r="C995" s="719"/>
      <c r="D995" s="718"/>
      <c r="E995" s="718"/>
      <c r="F995" s="718"/>
      <c r="G995" s="718"/>
      <c r="H995" s="718"/>
      <c r="I995" s="718"/>
      <c r="J995" s="718"/>
      <c r="K995" s="718"/>
      <c r="L995" s="655" t="str">
        <f t="shared" si="980"/>
        <v>0</v>
      </c>
      <c r="M995" s="656">
        <f t="shared" si="780"/>
        <v>0</v>
      </c>
      <c r="N995" s="657">
        <f>+IF(OR($Q995=Parametres!$G$2,$Q995=Parametres!$G$3),I995,C995)</f>
        <v>0</v>
      </c>
      <c r="O995" s="657">
        <f>+IF(OR($Q995=Parametres!$G$2,$Q995=Parametres!$G$3),J995,D995)</f>
        <v>0</v>
      </c>
      <c r="P995" s="657">
        <f>+IF(OR($Q995=Parametres!$G$2,$Q995=Parametres!$G$3),K995,E995)</f>
        <v>0</v>
      </c>
      <c r="Q995" s="656">
        <f t="shared" ref="Q995:S995" si="1013">+F995</f>
        <v>0</v>
      </c>
      <c r="R995" s="655">
        <f t="shared" si="1013"/>
        <v>0</v>
      </c>
      <c r="S995" s="656">
        <f t="shared" si="1013"/>
        <v>0</v>
      </c>
      <c r="T995" s="658" t="e">
        <f>+VLOOKUP($L995,Data_Validation!$A:$D,1,0)</f>
        <v>#N/A</v>
      </c>
      <c r="U995" s="658" t="e">
        <f>+VLOOKUP($L995,Data_Validation!$A:$D,3,0)</f>
        <v>#N/A</v>
      </c>
      <c r="V995" s="658" t="e">
        <f>+VLOOKUP($L995,Data_Validation!$A:$D,4,0)</f>
        <v>#N/A</v>
      </c>
      <c r="W995" s="658" t="e">
        <f>+VLOOKUP($L995,Data_Validation!$A:$E,5,0)</f>
        <v>#N/A</v>
      </c>
    </row>
    <row r="996" spans="1:23" ht="15.75" customHeight="1">
      <c r="A996" s="718"/>
      <c r="B996" s="656"/>
      <c r="C996" s="719"/>
      <c r="D996" s="718"/>
      <c r="E996" s="718"/>
      <c r="F996" s="718"/>
      <c r="G996" s="718"/>
      <c r="H996" s="718"/>
      <c r="I996" s="718"/>
      <c r="J996" s="718"/>
      <c r="K996" s="718"/>
      <c r="L996" s="655" t="str">
        <f t="shared" si="980"/>
        <v>0</v>
      </c>
      <c r="M996" s="656">
        <f t="shared" si="780"/>
        <v>0</v>
      </c>
      <c r="N996" s="657">
        <f>+IF(OR($Q996=Parametres!$G$2,$Q996=Parametres!$G$3),I996,C996)</f>
        <v>0</v>
      </c>
      <c r="O996" s="657">
        <f>+IF(OR($Q996=Parametres!$G$2,$Q996=Parametres!$G$3),J996,D996)</f>
        <v>0</v>
      </c>
      <c r="P996" s="657">
        <f>+IF(OR($Q996=Parametres!$G$2,$Q996=Parametres!$G$3),K996,E996)</f>
        <v>0</v>
      </c>
      <c r="Q996" s="656">
        <f t="shared" ref="Q996:S996" si="1014">+F996</f>
        <v>0</v>
      </c>
      <c r="R996" s="655">
        <f t="shared" si="1014"/>
        <v>0</v>
      </c>
      <c r="S996" s="656">
        <f t="shared" si="1014"/>
        <v>0</v>
      </c>
      <c r="T996" s="658" t="e">
        <f>+VLOOKUP($L996,Data_Validation!$A:$D,1,0)</f>
        <v>#N/A</v>
      </c>
      <c r="U996" s="658" t="e">
        <f>+VLOOKUP($L996,Data_Validation!$A:$D,3,0)</f>
        <v>#N/A</v>
      </c>
      <c r="V996" s="658" t="e">
        <f>+VLOOKUP($L996,Data_Validation!$A:$D,4,0)</f>
        <v>#N/A</v>
      </c>
      <c r="W996" s="658" t="e">
        <f>+VLOOKUP($L996,Data_Validation!$A:$E,5,0)</f>
        <v>#N/A</v>
      </c>
    </row>
    <row r="997" spans="1:23" ht="15.75" customHeight="1">
      <c r="A997" s="718"/>
      <c r="B997" s="656"/>
      <c r="C997" s="719"/>
      <c r="D997" s="718"/>
      <c r="E997" s="718"/>
      <c r="F997" s="718"/>
      <c r="G997" s="718"/>
      <c r="H997" s="718"/>
      <c r="I997" s="718"/>
      <c r="J997" s="718"/>
      <c r="K997" s="718"/>
      <c r="L997" s="655" t="str">
        <f t="shared" si="980"/>
        <v>0</v>
      </c>
      <c r="M997" s="656">
        <f t="shared" si="780"/>
        <v>0</v>
      </c>
      <c r="N997" s="657">
        <f>+IF(OR($Q997=Parametres!$G$2,$Q997=Parametres!$G$3),I997,C997)</f>
        <v>0</v>
      </c>
      <c r="O997" s="657">
        <f>+IF(OR($Q997=Parametres!$G$2,$Q997=Parametres!$G$3),J997,D997)</f>
        <v>0</v>
      </c>
      <c r="P997" s="657">
        <f>+IF(OR($Q997=Parametres!$G$2,$Q997=Parametres!$G$3),K997,E997)</f>
        <v>0</v>
      </c>
      <c r="Q997" s="656">
        <f t="shared" ref="Q997:S997" si="1015">+F997</f>
        <v>0</v>
      </c>
      <c r="R997" s="655">
        <f t="shared" si="1015"/>
        <v>0</v>
      </c>
      <c r="S997" s="656">
        <f t="shared" si="1015"/>
        <v>0</v>
      </c>
      <c r="T997" s="658" t="e">
        <f>+VLOOKUP($L997,Data_Validation!$A:$D,1,0)</f>
        <v>#N/A</v>
      </c>
      <c r="U997" s="658" t="e">
        <f>+VLOOKUP($L997,Data_Validation!$A:$D,3,0)</f>
        <v>#N/A</v>
      </c>
      <c r="V997" s="658" t="e">
        <f>+VLOOKUP($L997,Data_Validation!$A:$D,4,0)</f>
        <v>#N/A</v>
      </c>
      <c r="W997" s="658" t="e">
        <f>+VLOOKUP($L997,Data_Validation!$A:$E,5,0)</f>
        <v>#N/A</v>
      </c>
    </row>
    <row r="998" spans="1:23" ht="15.75" customHeight="1">
      <c r="A998" s="718"/>
      <c r="B998" s="656"/>
      <c r="C998" s="719"/>
      <c r="D998" s="718"/>
      <c r="E998" s="718"/>
      <c r="F998" s="718"/>
      <c r="G998" s="718"/>
      <c r="H998" s="718"/>
      <c r="I998" s="718"/>
      <c r="J998" s="718"/>
      <c r="K998" s="718"/>
      <c r="L998" s="655" t="str">
        <f t="shared" si="980"/>
        <v>0</v>
      </c>
      <c r="M998" s="656">
        <f t="shared" si="780"/>
        <v>0</v>
      </c>
      <c r="N998" s="657">
        <f>+IF(OR($Q998=Parametres!$G$2,$Q998=Parametres!$G$3),I998,C998)</f>
        <v>0</v>
      </c>
      <c r="O998" s="657">
        <f>+IF(OR($Q998=Parametres!$G$2,$Q998=Parametres!$G$3),J998,D998)</f>
        <v>0</v>
      </c>
      <c r="P998" s="657">
        <f>+IF(OR($Q998=Parametres!$G$2,$Q998=Parametres!$G$3),K998,E998)</f>
        <v>0</v>
      </c>
      <c r="Q998" s="656">
        <f t="shared" ref="Q998:S998" si="1016">+F998</f>
        <v>0</v>
      </c>
      <c r="R998" s="655">
        <f t="shared" si="1016"/>
        <v>0</v>
      </c>
      <c r="S998" s="656">
        <f t="shared" si="1016"/>
        <v>0</v>
      </c>
      <c r="T998" s="658" t="e">
        <f>+VLOOKUP($L998,Data_Validation!$A:$D,1,0)</f>
        <v>#N/A</v>
      </c>
      <c r="U998" s="658" t="e">
        <f>+VLOOKUP($L998,Data_Validation!$A:$D,3,0)</f>
        <v>#N/A</v>
      </c>
      <c r="V998" s="658" t="e">
        <f>+VLOOKUP($L998,Data_Validation!$A:$D,4,0)</f>
        <v>#N/A</v>
      </c>
      <c r="W998" s="658" t="e">
        <f>+VLOOKUP($L998,Data_Validation!$A:$E,5,0)</f>
        <v>#N/A</v>
      </c>
    </row>
    <row r="999" spans="1:23" ht="15.75" customHeight="1">
      <c r="A999" s="718"/>
      <c r="B999" s="656"/>
      <c r="C999" s="719"/>
      <c r="D999" s="718"/>
      <c r="E999" s="718"/>
      <c r="F999" s="718"/>
      <c r="G999" s="718"/>
      <c r="H999" s="718"/>
      <c r="I999" s="718"/>
      <c r="J999" s="718"/>
      <c r="K999" s="718"/>
      <c r="L999" s="655" t="str">
        <f t="shared" si="980"/>
        <v>0</v>
      </c>
      <c r="M999" s="656">
        <f t="shared" si="780"/>
        <v>0</v>
      </c>
      <c r="N999" s="657">
        <f>+IF(OR($Q999=Parametres!$G$2,$Q999=Parametres!$G$3),I999,C999)</f>
        <v>0</v>
      </c>
      <c r="O999" s="657">
        <f>+IF(OR($Q999=Parametres!$G$2,$Q999=Parametres!$G$3),J999,D999)</f>
        <v>0</v>
      </c>
      <c r="P999" s="657">
        <f>+IF(OR($Q999=Parametres!$G$2,$Q999=Parametres!$G$3),K999,E999)</f>
        <v>0</v>
      </c>
      <c r="Q999" s="656">
        <f t="shared" ref="Q999:S999" si="1017">+F999</f>
        <v>0</v>
      </c>
      <c r="R999" s="655">
        <f t="shared" si="1017"/>
        <v>0</v>
      </c>
      <c r="S999" s="656">
        <f t="shared" si="1017"/>
        <v>0</v>
      </c>
      <c r="T999" s="658" t="e">
        <f>+VLOOKUP($L999,Data_Validation!$A:$D,1,0)</f>
        <v>#N/A</v>
      </c>
      <c r="U999" s="658" t="e">
        <f>+VLOOKUP($L999,Data_Validation!$A:$D,3,0)</f>
        <v>#N/A</v>
      </c>
      <c r="V999" s="658" t="e">
        <f>+VLOOKUP($L999,Data_Validation!$A:$D,4,0)</f>
        <v>#N/A</v>
      </c>
      <c r="W999" s="658" t="e">
        <f>+VLOOKUP($L999,Data_Validation!$A:$E,5,0)</f>
        <v>#N/A</v>
      </c>
    </row>
    <row r="1000" spans="1:23" ht="15.75" customHeight="1">
      <c r="A1000" s="718"/>
      <c r="B1000" s="656"/>
      <c r="C1000" s="719"/>
      <c r="D1000" s="718"/>
      <c r="E1000" s="718"/>
      <c r="F1000" s="718"/>
      <c r="G1000" s="718"/>
      <c r="H1000" s="718"/>
      <c r="I1000" s="718"/>
      <c r="J1000" s="718"/>
      <c r="K1000" s="718"/>
      <c r="L1000" s="655" t="str">
        <f t="shared" si="980"/>
        <v>0</v>
      </c>
      <c r="M1000" s="656">
        <f t="shared" si="780"/>
        <v>0</v>
      </c>
      <c r="N1000" s="657">
        <f>+IF(OR($Q1000=Parametres!$G$2,$Q1000=Parametres!$G$3),I1000,C1000)</f>
        <v>0</v>
      </c>
      <c r="O1000" s="657">
        <f>+IF(OR($Q1000=Parametres!$G$2,$Q1000=Parametres!$G$3),J1000,D1000)</f>
        <v>0</v>
      </c>
      <c r="P1000" s="657">
        <f>+IF(OR($Q1000=Parametres!$G$2,$Q1000=Parametres!$G$3),K1000,E1000)</f>
        <v>0</v>
      </c>
      <c r="Q1000" s="656">
        <f t="shared" ref="Q1000:S1000" si="1018">+F1000</f>
        <v>0</v>
      </c>
      <c r="R1000" s="655">
        <f t="shared" si="1018"/>
        <v>0</v>
      </c>
      <c r="S1000" s="656">
        <f t="shared" si="1018"/>
        <v>0</v>
      </c>
      <c r="T1000" s="658" t="e">
        <f>+VLOOKUP($L1000,Data_Validation!$A:$D,1,0)</f>
        <v>#N/A</v>
      </c>
      <c r="U1000" s="658" t="e">
        <f>+VLOOKUP($L1000,Data_Validation!$A:$D,3,0)</f>
        <v>#N/A</v>
      </c>
      <c r="V1000" s="658" t="e">
        <f>+VLOOKUP($L1000,Data_Validation!$A:$D,4,0)</f>
        <v>#N/A</v>
      </c>
      <c r="W1000" s="658" t="e">
        <f>+VLOOKUP($L1000,Data_Validation!$A:$E,5,0)</f>
        <v>#N/A</v>
      </c>
    </row>
    <row r="1001" spans="1:23" ht="15.75" customHeight="1">
      <c r="A1001" s="718"/>
      <c r="B1001" s="656"/>
      <c r="C1001" s="719"/>
      <c r="D1001" s="718"/>
      <c r="E1001" s="718"/>
      <c r="F1001" s="718"/>
      <c r="G1001" s="718"/>
      <c r="H1001" s="718"/>
      <c r="I1001" s="718"/>
      <c r="J1001" s="718"/>
      <c r="K1001" s="718"/>
      <c r="L1001" s="655" t="str">
        <f t="shared" si="980"/>
        <v>0</v>
      </c>
      <c r="M1001" s="656">
        <f t="shared" si="780"/>
        <v>0</v>
      </c>
      <c r="N1001" s="657">
        <f>+IF(OR($Q1001=Parametres!$G$2,$Q1001=Parametres!$G$3),I1001,C1001)</f>
        <v>0</v>
      </c>
      <c r="O1001" s="657">
        <f>+IF(OR($Q1001=Parametres!$G$2,$Q1001=Parametres!$G$3),J1001,D1001)</f>
        <v>0</v>
      </c>
      <c r="P1001" s="657">
        <f>+IF(OR($Q1001=Parametres!$G$2,$Q1001=Parametres!$G$3),K1001,E1001)</f>
        <v>0</v>
      </c>
      <c r="Q1001" s="656">
        <f t="shared" ref="Q1001:S1001" si="1019">+F1001</f>
        <v>0</v>
      </c>
      <c r="R1001" s="655">
        <f t="shared" si="1019"/>
        <v>0</v>
      </c>
      <c r="S1001" s="656">
        <f t="shared" si="1019"/>
        <v>0</v>
      </c>
      <c r="T1001" s="658" t="e">
        <f>+VLOOKUP($L1001,Data_Validation!$A:$D,1,0)</f>
        <v>#N/A</v>
      </c>
      <c r="U1001" s="658" t="e">
        <f>+VLOOKUP($L1001,Data_Validation!$A:$D,3,0)</f>
        <v>#N/A</v>
      </c>
      <c r="V1001" s="658" t="e">
        <f>+VLOOKUP($L1001,Data_Validation!$A:$D,4,0)</f>
        <v>#N/A</v>
      </c>
      <c r="W1001" s="658" t="e">
        <f>+VLOOKUP($L1001,Data_Validation!$A:$E,5,0)</f>
        <v>#N/A</v>
      </c>
    </row>
    <row r="1002" spans="1:23" ht="15.75" customHeight="1">
      <c r="A1002" s="718"/>
      <c r="B1002" s="656"/>
      <c r="C1002" s="719"/>
      <c r="D1002" s="718"/>
      <c r="E1002" s="718"/>
      <c r="F1002" s="718"/>
      <c r="G1002" s="718"/>
      <c r="H1002" s="718"/>
      <c r="I1002" s="718"/>
      <c r="J1002" s="718"/>
      <c r="K1002" s="718"/>
      <c r="L1002" s="655" t="str">
        <f t="shared" si="980"/>
        <v>0</v>
      </c>
      <c r="M1002" s="656">
        <f t="shared" si="780"/>
        <v>0</v>
      </c>
      <c r="N1002" s="657">
        <f>+IF(OR($Q1002=Parametres!$G$2,$Q1002=Parametres!$G$3),I1002,C1002)</f>
        <v>0</v>
      </c>
      <c r="O1002" s="657">
        <f>+IF(OR($Q1002=Parametres!$G$2,$Q1002=Parametres!$G$3),J1002,D1002)</f>
        <v>0</v>
      </c>
      <c r="P1002" s="657">
        <f>+IF(OR($Q1002=Parametres!$G$2,$Q1002=Parametres!$G$3),K1002,E1002)</f>
        <v>0</v>
      </c>
      <c r="Q1002" s="656">
        <f t="shared" ref="Q1002:S1002" si="1020">+F1002</f>
        <v>0</v>
      </c>
      <c r="R1002" s="655">
        <f t="shared" si="1020"/>
        <v>0</v>
      </c>
      <c r="S1002" s="656">
        <f t="shared" si="1020"/>
        <v>0</v>
      </c>
      <c r="T1002" s="658" t="e">
        <f>+VLOOKUP($L1002,Data_Validation!$A:$D,1,0)</f>
        <v>#N/A</v>
      </c>
      <c r="U1002" s="658" t="e">
        <f>+VLOOKUP($L1002,Data_Validation!$A:$D,3,0)</f>
        <v>#N/A</v>
      </c>
      <c r="V1002" s="658" t="e">
        <f>+VLOOKUP($L1002,Data_Validation!$A:$D,4,0)</f>
        <v>#N/A</v>
      </c>
      <c r="W1002" s="658" t="e">
        <f>+VLOOKUP($L1002,Data_Validation!$A:$E,5,0)</f>
        <v>#N/A</v>
      </c>
    </row>
    <row r="1003" spans="1:23" ht="15.75" customHeight="1">
      <c r="A1003" s="718"/>
      <c r="B1003" s="656"/>
      <c r="C1003" s="719"/>
      <c r="D1003" s="718"/>
      <c r="E1003" s="718"/>
      <c r="F1003" s="718"/>
      <c r="G1003" s="718"/>
      <c r="H1003" s="718"/>
      <c r="I1003" s="718"/>
      <c r="J1003" s="718"/>
      <c r="K1003" s="718"/>
      <c r="L1003" s="655" t="str">
        <f t="shared" si="980"/>
        <v>0</v>
      </c>
      <c r="M1003" s="656">
        <f t="shared" si="780"/>
        <v>0</v>
      </c>
      <c r="N1003" s="657">
        <f>+IF(OR($Q1003=Parametres!$G$2,$Q1003=Parametres!$G$3),I1003,C1003)</f>
        <v>0</v>
      </c>
      <c r="O1003" s="657">
        <f>+IF(OR($Q1003=Parametres!$G$2,$Q1003=Parametres!$G$3),J1003,D1003)</f>
        <v>0</v>
      </c>
      <c r="P1003" s="657">
        <f>+IF(OR($Q1003=Parametres!$G$2,$Q1003=Parametres!$G$3),K1003,E1003)</f>
        <v>0</v>
      </c>
      <c r="Q1003" s="656">
        <f t="shared" ref="Q1003:S1003" si="1021">+F1003</f>
        <v>0</v>
      </c>
      <c r="R1003" s="655">
        <f t="shared" si="1021"/>
        <v>0</v>
      </c>
      <c r="S1003" s="656">
        <f t="shared" si="1021"/>
        <v>0</v>
      </c>
      <c r="T1003" s="658" t="e">
        <f>+VLOOKUP($L1003,Data_Validation!$A:$D,1,0)</f>
        <v>#N/A</v>
      </c>
      <c r="U1003" s="658" t="e">
        <f>+VLOOKUP($L1003,Data_Validation!$A:$D,3,0)</f>
        <v>#N/A</v>
      </c>
      <c r="V1003" s="658" t="e">
        <f>+VLOOKUP($L1003,Data_Validation!$A:$D,4,0)</f>
        <v>#N/A</v>
      </c>
      <c r="W1003" s="658" t="e">
        <f>+VLOOKUP($L1003,Data_Validation!$A:$E,5,0)</f>
        <v>#N/A</v>
      </c>
    </row>
    <row r="1004" spans="1:23" ht="15.75" customHeight="1">
      <c r="A1004" s="718"/>
      <c r="B1004" s="656"/>
      <c r="C1004" s="719"/>
      <c r="D1004" s="718"/>
      <c r="E1004" s="718"/>
      <c r="F1004" s="718"/>
      <c r="G1004" s="718"/>
      <c r="H1004" s="718"/>
      <c r="I1004" s="718"/>
      <c r="J1004" s="718"/>
      <c r="K1004" s="718"/>
      <c r="L1004" s="655" t="str">
        <f t="shared" si="980"/>
        <v>0</v>
      </c>
      <c r="M1004" s="656">
        <f t="shared" si="780"/>
        <v>0</v>
      </c>
      <c r="N1004" s="657">
        <f>+IF(OR($Q1004=Parametres!$G$2,$Q1004=Parametres!$G$3),I1004,C1004)</f>
        <v>0</v>
      </c>
      <c r="O1004" s="657">
        <f>+IF(OR($Q1004=Parametres!$G$2,$Q1004=Parametres!$G$3),J1004,D1004)</f>
        <v>0</v>
      </c>
      <c r="P1004" s="657">
        <f>+IF(OR($Q1004=Parametres!$G$2,$Q1004=Parametres!$G$3),K1004,E1004)</f>
        <v>0</v>
      </c>
      <c r="Q1004" s="656">
        <f t="shared" ref="Q1004:S1004" si="1022">+F1004</f>
        <v>0</v>
      </c>
      <c r="R1004" s="655">
        <f t="shared" si="1022"/>
        <v>0</v>
      </c>
      <c r="S1004" s="656">
        <f t="shared" si="1022"/>
        <v>0</v>
      </c>
      <c r="T1004" s="658" t="e">
        <f>+VLOOKUP($L1004,Data_Validation!$A:$D,1,0)</f>
        <v>#N/A</v>
      </c>
      <c r="U1004" s="658" t="e">
        <f>+VLOOKUP($L1004,Data_Validation!$A:$D,3,0)</f>
        <v>#N/A</v>
      </c>
      <c r="V1004" s="658" t="e">
        <f>+VLOOKUP($L1004,Data_Validation!$A:$D,4,0)</f>
        <v>#N/A</v>
      </c>
      <c r="W1004" s="658" t="e">
        <f>+VLOOKUP($L1004,Data_Validation!$A:$E,5,0)</f>
        <v>#N/A</v>
      </c>
    </row>
    <row r="1005" spans="1:23" ht="15.75" customHeight="1">
      <c r="A1005" s="718"/>
      <c r="B1005" s="656"/>
      <c r="C1005" s="719"/>
      <c r="D1005" s="718"/>
      <c r="E1005" s="718"/>
      <c r="F1005" s="718"/>
      <c r="G1005" s="718"/>
      <c r="H1005" s="718"/>
      <c r="I1005" s="718"/>
      <c r="J1005" s="718"/>
      <c r="K1005" s="718"/>
      <c r="L1005" s="655" t="str">
        <f t="shared" si="980"/>
        <v>0</v>
      </c>
      <c r="M1005" s="656">
        <f t="shared" si="780"/>
        <v>0</v>
      </c>
      <c r="N1005" s="657">
        <f>+IF(OR($Q1005=Parametres!$G$2,$Q1005=Parametres!$G$3),I1005,C1005)</f>
        <v>0</v>
      </c>
      <c r="O1005" s="657">
        <f>+IF(OR($Q1005=Parametres!$G$2,$Q1005=Parametres!$G$3),J1005,D1005)</f>
        <v>0</v>
      </c>
      <c r="P1005" s="657">
        <f>+IF(OR($Q1005=Parametres!$G$2,$Q1005=Parametres!$G$3),K1005,E1005)</f>
        <v>0</v>
      </c>
      <c r="Q1005" s="656">
        <f t="shared" ref="Q1005:S1005" si="1023">+F1005</f>
        <v>0</v>
      </c>
      <c r="R1005" s="655">
        <f t="shared" si="1023"/>
        <v>0</v>
      </c>
      <c r="S1005" s="656">
        <f t="shared" si="1023"/>
        <v>0</v>
      </c>
      <c r="T1005" s="658" t="e">
        <f>+VLOOKUP($L1005,Data_Validation!$A:$D,1,0)</f>
        <v>#N/A</v>
      </c>
      <c r="U1005" s="658" t="e">
        <f>+VLOOKUP($L1005,Data_Validation!$A:$D,3,0)</f>
        <v>#N/A</v>
      </c>
      <c r="V1005" s="658" t="e">
        <f>+VLOOKUP($L1005,Data_Validation!$A:$D,4,0)</f>
        <v>#N/A</v>
      </c>
      <c r="W1005" s="658" t="e">
        <f>+VLOOKUP($L1005,Data_Validation!$A:$E,5,0)</f>
        <v>#N/A</v>
      </c>
    </row>
    <row r="1006" spans="1:23" ht="15.75" customHeight="1">
      <c r="A1006" s="718"/>
      <c r="B1006" s="656"/>
      <c r="C1006" s="719"/>
      <c r="D1006" s="718"/>
      <c r="E1006" s="718"/>
      <c r="F1006" s="718"/>
      <c r="G1006" s="718"/>
      <c r="H1006" s="718"/>
      <c r="I1006" s="718"/>
      <c r="J1006" s="718"/>
      <c r="K1006" s="718"/>
      <c r="L1006" s="655" t="str">
        <f t="shared" si="980"/>
        <v>0</v>
      </c>
      <c r="M1006" s="656">
        <f t="shared" si="780"/>
        <v>0</v>
      </c>
      <c r="N1006" s="657">
        <f>+IF(OR($Q1006=Parametres!$G$2,$Q1006=Parametres!$G$3),I1006,C1006)</f>
        <v>0</v>
      </c>
      <c r="O1006" s="657">
        <f>+IF(OR($Q1006=Parametres!$G$2,$Q1006=Parametres!$G$3),J1006,D1006)</f>
        <v>0</v>
      </c>
      <c r="P1006" s="657">
        <f>+IF(OR($Q1006=Parametres!$G$2,$Q1006=Parametres!$G$3),K1006,E1006)</f>
        <v>0</v>
      </c>
      <c r="Q1006" s="656">
        <f t="shared" ref="Q1006:S1006" si="1024">+F1006</f>
        <v>0</v>
      </c>
      <c r="R1006" s="655">
        <f t="shared" si="1024"/>
        <v>0</v>
      </c>
      <c r="S1006" s="656">
        <f t="shared" si="1024"/>
        <v>0</v>
      </c>
      <c r="T1006" s="658" t="e">
        <f>+VLOOKUP($L1006,Data_Validation!$A:$D,1,0)</f>
        <v>#N/A</v>
      </c>
      <c r="U1006" s="658" t="e">
        <f>+VLOOKUP($L1006,Data_Validation!$A:$D,3,0)</f>
        <v>#N/A</v>
      </c>
      <c r="V1006" s="658" t="e">
        <f>+VLOOKUP($L1006,Data_Validation!$A:$D,4,0)</f>
        <v>#N/A</v>
      </c>
      <c r="W1006" s="658" t="e">
        <f>+VLOOKUP($L1006,Data_Validation!$A:$E,5,0)</f>
        <v>#N/A</v>
      </c>
    </row>
    <row r="1007" spans="1:23" ht="15.75" customHeight="1">
      <c r="A1007" s="718"/>
      <c r="B1007" s="656"/>
      <c r="C1007" s="719"/>
      <c r="D1007" s="718"/>
      <c r="E1007" s="718"/>
      <c r="F1007" s="718"/>
      <c r="G1007" s="718"/>
      <c r="H1007" s="718"/>
      <c r="I1007" s="718"/>
      <c r="J1007" s="718"/>
      <c r="K1007" s="718"/>
      <c r="L1007" s="655" t="str">
        <f t="shared" si="980"/>
        <v>0</v>
      </c>
      <c r="M1007" s="656">
        <f t="shared" si="780"/>
        <v>0</v>
      </c>
      <c r="N1007" s="657">
        <f>+IF(OR($Q1007=Parametres!$G$2,$Q1007=Parametres!$G$3),I1007,C1007)</f>
        <v>0</v>
      </c>
      <c r="O1007" s="657">
        <f>+IF(OR($Q1007=Parametres!$G$2,$Q1007=Parametres!$G$3),J1007,D1007)</f>
        <v>0</v>
      </c>
      <c r="P1007" s="657">
        <f>+IF(OR($Q1007=Parametres!$G$2,$Q1007=Parametres!$G$3),K1007,E1007)</f>
        <v>0</v>
      </c>
      <c r="Q1007" s="656">
        <f t="shared" ref="Q1007:S1007" si="1025">+F1007</f>
        <v>0</v>
      </c>
      <c r="R1007" s="655">
        <f t="shared" si="1025"/>
        <v>0</v>
      </c>
      <c r="S1007" s="656">
        <f t="shared" si="1025"/>
        <v>0</v>
      </c>
      <c r="T1007" s="658" t="e">
        <f>+VLOOKUP($L1007,Data_Validation!$A:$D,1,0)</f>
        <v>#N/A</v>
      </c>
      <c r="U1007" s="658" t="e">
        <f>+VLOOKUP($L1007,Data_Validation!$A:$D,3,0)</f>
        <v>#N/A</v>
      </c>
      <c r="V1007" s="658" t="e">
        <f>+VLOOKUP($L1007,Data_Validation!$A:$D,4,0)</f>
        <v>#N/A</v>
      </c>
      <c r="W1007" s="658" t="e">
        <f>+VLOOKUP($L1007,Data_Validation!$A:$E,5,0)</f>
        <v>#N/A</v>
      </c>
    </row>
    <row r="1008" spans="1:23" ht="15.75" customHeight="1">
      <c r="A1008" s="718"/>
      <c r="B1008" s="656"/>
      <c r="C1008" s="719"/>
      <c r="D1008" s="718"/>
      <c r="E1008" s="718"/>
      <c r="F1008" s="718"/>
      <c r="G1008" s="718"/>
      <c r="H1008" s="718"/>
      <c r="I1008" s="718"/>
      <c r="J1008" s="718"/>
      <c r="K1008" s="718"/>
      <c r="L1008" s="655" t="str">
        <f t="shared" si="980"/>
        <v>0</v>
      </c>
      <c r="M1008" s="656">
        <f t="shared" si="780"/>
        <v>0</v>
      </c>
      <c r="N1008" s="657">
        <f>+IF(OR($Q1008=Parametres!$G$2,$Q1008=Parametres!$G$3),I1008,C1008)</f>
        <v>0</v>
      </c>
      <c r="O1008" s="657">
        <f>+IF(OR($Q1008=Parametres!$G$2,$Q1008=Parametres!$G$3),J1008,D1008)</f>
        <v>0</v>
      </c>
      <c r="P1008" s="657">
        <f>+IF(OR($Q1008=Parametres!$G$2,$Q1008=Parametres!$G$3),K1008,E1008)</f>
        <v>0</v>
      </c>
      <c r="Q1008" s="656">
        <f t="shared" ref="Q1008:S1008" si="1026">+F1008</f>
        <v>0</v>
      </c>
      <c r="R1008" s="655">
        <f t="shared" si="1026"/>
        <v>0</v>
      </c>
      <c r="S1008" s="656">
        <f t="shared" si="1026"/>
        <v>0</v>
      </c>
      <c r="T1008" s="658" t="e">
        <f>+VLOOKUP($L1008,Data_Validation!$A:$D,1,0)</f>
        <v>#N/A</v>
      </c>
      <c r="U1008" s="658" t="e">
        <f>+VLOOKUP($L1008,Data_Validation!$A:$D,3,0)</f>
        <v>#N/A</v>
      </c>
      <c r="V1008" s="658" t="e">
        <f>+VLOOKUP($L1008,Data_Validation!$A:$D,4,0)</f>
        <v>#N/A</v>
      </c>
      <c r="W1008" s="658" t="e">
        <f>+VLOOKUP($L1008,Data_Validation!$A:$E,5,0)</f>
        <v>#N/A</v>
      </c>
    </row>
    <row r="1009" spans="1:23" ht="15.75" customHeight="1">
      <c r="A1009" s="718"/>
      <c r="B1009" s="656"/>
      <c r="C1009" s="719"/>
      <c r="D1009" s="718"/>
      <c r="E1009" s="718"/>
      <c r="F1009" s="718"/>
      <c r="G1009" s="718"/>
      <c r="H1009" s="718"/>
      <c r="I1009" s="718"/>
      <c r="J1009" s="718"/>
      <c r="K1009" s="718"/>
      <c r="L1009" s="655" t="str">
        <f t="shared" si="980"/>
        <v>0</v>
      </c>
      <c r="M1009" s="656">
        <f t="shared" si="780"/>
        <v>0</v>
      </c>
      <c r="N1009" s="657">
        <f>+IF(OR($Q1009=Parametres!$G$2,$Q1009=Parametres!$G$3),I1009,C1009)</f>
        <v>0</v>
      </c>
      <c r="O1009" s="657">
        <f>+IF(OR($Q1009=Parametres!$G$2,$Q1009=Parametres!$G$3),J1009,D1009)</f>
        <v>0</v>
      </c>
      <c r="P1009" s="657">
        <f>+IF(OR($Q1009=Parametres!$G$2,$Q1009=Parametres!$G$3),K1009,E1009)</f>
        <v>0</v>
      </c>
      <c r="Q1009" s="656">
        <f t="shared" ref="Q1009:S1009" si="1027">+F1009</f>
        <v>0</v>
      </c>
      <c r="R1009" s="655">
        <f t="shared" si="1027"/>
        <v>0</v>
      </c>
      <c r="S1009" s="656">
        <f t="shared" si="1027"/>
        <v>0</v>
      </c>
      <c r="T1009" s="658" t="e">
        <f>+VLOOKUP($L1009,Data_Validation!$A:$D,1,0)</f>
        <v>#N/A</v>
      </c>
      <c r="U1009" s="658" t="e">
        <f>+VLOOKUP($L1009,Data_Validation!$A:$D,3,0)</f>
        <v>#N/A</v>
      </c>
      <c r="V1009" s="658" t="e">
        <f>+VLOOKUP($L1009,Data_Validation!$A:$D,4,0)</f>
        <v>#N/A</v>
      </c>
      <c r="W1009" s="658" t="e">
        <f>+VLOOKUP($L1009,Data_Validation!$A:$E,5,0)</f>
        <v>#N/A</v>
      </c>
    </row>
    <row r="1010" spans="1:23" ht="15.75" customHeight="1">
      <c r="A1010" s="718"/>
      <c r="B1010" s="656"/>
      <c r="C1010" s="719"/>
      <c r="D1010" s="718"/>
      <c r="E1010" s="718"/>
      <c r="F1010" s="718"/>
      <c r="G1010" s="718"/>
      <c r="H1010" s="718"/>
      <c r="I1010" s="718"/>
      <c r="J1010" s="718"/>
      <c r="K1010" s="718"/>
      <c r="L1010" s="655" t="str">
        <f t="shared" si="980"/>
        <v>0</v>
      </c>
      <c r="M1010" s="656">
        <f t="shared" si="780"/>
        <v>0</v>
      </c>
      <c r="N1010" s="657">
        <f>+IF(OR($Q1010=Parametres!$G$2,$Q1010=Parametres!$G$3),I1010,C1010)</f>
        <v>0</v>
      </c>
      <c r="O1010" s="657">
        <f>+IF(OR($Q1010=Parametres!$G$2,$Q1010=Parametres!$G$3),J1010,D1010)</f>
        <v>0</v>
      </c>
      <c r="P1010" s="657">
        <f>+IF(OR($Q1010=Parametres!$G$2,$Q1010=Parametres!$G$3),K1010,E1010)</f>
        <v>0</v>
      </c>
      <c r="Q1010" s="656">
        <f t="shared" ref="Q1010:S1010" si="1028">+F1010</f>
        <v>0</v>
      </c>
      <c r="R1010" s="655">
        <f t="shared" si="1028"/>
        <v>0</v>
      </c>
      <c r="S1010" s="656">
        <f t="shared" si="1028"/>
        <v>0</v>
      </c>
      <c r="T1010" s="658" t="e">
        <f>+VLOOKUP($L1010,Data_Validation!$A:$D,1,0)</f>
        <v>#N/A</v>
      </c>
      <c r="U1010" s="658" t="e">
        <f>+VLOOKUP($L1010,Data_Validation!$A:$D,3,0)</f>
        <v>#N/A</v>
      </c>
      <c r="V1010" s="658" t="e">
        <f>+VLOOKUP($L1010,Data_Validation!$A:$D,4,0)</f>
        <v>#N/A</v>
      </c>
      <c r="W1010" s="658" t="e">
        <f>+VLOOKUP($L1010,Data_Validation!$A:$E,5,0)</f>
        <v>#N/A</v>
      </c>
    </row>
    <row r="1011" spans="1:23" ht="15.75" customHeight="1">
      <c r="A1011" s="718"/>
      <c r="B1011" s="656"/>
      <c r="C1011" s="719"/>
      <c r="D1011" s="718"/>
      <c r="E1011" s="718"/>
      <c r="F1011" s="718"/>
      <c r="G1011" s="718"/>
      <c r="H1011" s="718"/>
      <c r="I1011" s="718"/>
      <c r="J1011" s="718"/>
      <c r="K1011" s="718"/>
      <c r="L1011" s="655" t="str">
        <f t="shared" si="980"/>
        <v>0</v>
      </c>
      <c r="M1011" s="656">
        <f t="shared" si="780"/>
        <v>0</v>
      </c>
      <c r="N1011" s="657">
        <f>+IF(OR($Q1011=Parametres!$G$2,$Q1011=Parametres!$G$3),I1011,C1011)</f>
        <v>0</v>
      </c>
      <c r="O1011" s="657">
        <f>+IF(OR($Q1011=Parametres!$G$2,$Q1011=Parametres!$G$3),J1011,D1011)</f>
        <v>0</v>
      </c>
      <c r="P1011" s="657">
        <f>+IF(OR($Q1011=Parametres!$G$2,$Q1011=Parametres!$G$3),K1011,E1011)</f>
        <v>0</v>
      </c>
      <c r="Q1011" s="656">
        <f t="shared" ref="Q1011:S1011" si="1029">+F1011</f>
        <v>0</v>
      </c>
      <c r="R1011" s="655">
        <f t="shared" si="1029"/>
        <v>0</v>
      </c>
      <c r="S1011" s="656">
        <f t="shared" si="1029"/>
        <v>0</v>
      </c>
      <c r="T1011" s="658" t="e">
        <f>+VLOOKUP($L1011,Data_Validation!$A:$D,1,0)</f>
        <v>#N/A</v>
      </c>
      <c r="U1011" s="658" t="e">
        <f>+VLOOKUP($L1011,Data_Validation!$A:$D,3,0)</f>
        <v>#N/A</v>
      </c>
      <c r="V1011" s="658" t="e">
        <f>+VLOOKUP($L1011,Data_Validation!$A:$D,4,0)</f>
        <v>#N/A</v>
      </c>
      <c r="W1011" s="658" t="e">
        <f>+VLOOKUP($L1011,Data_Validation!$A:$E,5,0)</f>
        <v>#N/A</v>
      </c>
    </row>
    <row r="1012" spans="1:23" ht="15.75" customHeight="1">
      <c r="A1012" s="718"/>
      <c r="B1012" s="656"/>
      <c r="C1012" s="719"/>
      <c r="D1012" s="718"/>
      <c r="E1012" s="718"/>
      <c r="F1012" s="718"/>
      <c r="G1012" s="718"/>
      <c r="H1012" s="718"/>
      <c r="I1012" s="718"/>
      <c r="J1012" s="718"/>
      <c r="K1012" s="718"/>
      <c r="L1012" s="655" t="str">
        <f t="shared" si="980"/>
        <v>0</v>
      </c>
      <c r="M1012" s="656">
        <f t="shared" si="780"/>
        <v>0</v>
      </c>
      <c r="N1012" s="657">
        <f>+IF(OR($Q1012=Parametres!$G$2,$Q1012=Parametres!$G$3),I1012,C1012)</f>
        <v>0</v>
      </c>
      <c r="O1012" s="657">
        <f>+IF(OR($Q1012=Parametres!$G$2,$Q1012=Parametres!$G$3),J1012,D1012)</f>
        <v>0</v>
      </c>
      <c r="P1012" s="657">
        <f>+IF(OR($Q1012=Parametres!$G$2,$Q1012=Parametres!$G$3),K1012,E1012)</f>
        <v>0</v>
      </c>
      <c r="Q1012" s="656">
        <f t="shared" ref="Q1012:S1012" si="1030">+F1012</f>
        <v>0</v>
      </c>
      <c r="R1012" s="655">
        <f t="shared" si="1030"/>
        <v>0</v>
      </c>
      <c r="S1012" s="656">
        <f t="shared" si="1030"/>
        <v>0</v>
      </c>
      <c r="T1012" s="658" t="e">
        <f>+VLOOKUP($L1012,Data_Validation!$A:$D,1,0)</f>
        <v>#N/A</v>
      </c>
      <c r="U1012" s="658" t="e">
        <f>+VLOOKUP($L1012,Data_Validation!$A:$D,3,0)</f>
        <v>#N/A</v>
      </c>
      <c r="V1012" s="658" t="e">
        <f>+VLOOKUP($L1012,Data_Validation!$A:$D,4,0)</f>
        <v>#N/A</v>
      </c>
      <c r="W1012" s="658" t="e">
        <f>+VLOOKUP($L1012,Data_Validation!$A:$E,5,0)</f>
        <v>#N/A</v>
      </c>
    </row>
    <row r="1013" spans="1:23" ht="15.75" customHeight="1">
      <c r="A1013" s="718"/>
      <c r="B1013" s="656"/>
      <c r="C1013" s="719"/>
      <c r="D1013" s="718"/>
      <c r="E1013" s="718"/>
      <c r="F1013" s="718"/>
      <c r="G1013" s="718"/>
      <c r="H1013" s="718"/>
      <c r="I1013" s="718"/>
      <c r="J1013" s="718"/>
      <c r="K1013" s="718"/>
      <c r="L1013" s="655" t="str">
        <f t="shared" si="980"/>
        <v>0</v>
      </c>
      <c r="M1013" s="656">
        <f t="shared" si="780"/>
        <v>0</v>
      </c>
      <c r="N1013" s="657">
        <f>+IF(OR($Q1013=Parametres!$G$2,$Q1013=Parametres!$G$3),I1013,C1013)</f>
        <v>0</v>
      </c>
      <c r="O1013" s="657">
        <f>+IF(OR($Q1013=Parametres!$G$2,$Q1013=Parametres!$G$3),J1013,D1013)</f>
        <v>0</v>
      </c>
      <c r="P1013" s="657">
        <f>+IF(OR($Q1013=Parametres!$G$2,$Q1013=Parametres!$G$3),K1013,E1013)</f>
        <v>0</v>
      </c>
      <c r="Q1013" s="656">
        <f t="shared" ref="Q1013:S1013" si="1031">+F1013</f>
        <v>0</v>
      </c>
      <c r="R1013" s="655">
        <f t="shared" si="1031"/>
        <v>0</v>
      </c>
      <c r="S1013" s="656">
        <f t="shared" si="1031"/>
        <v>0</v>
      </c>
      <c r="T1013" s="658" t="e">
        <f>+VLOOKUP($L1013,Data_Validation!$A:$D,1,0)</f>
        <v>#N/A</v>
      </c>
      <c r="U1013" s="658" t="e">
        <f>+VLOOKUP($L1013,Data_Validation!$A:$D,3,0)</f>
        <v>#N/A</v>
      </c>
      <c r="V1013" s="658" t="e">
        <f>+VLOOKUP($L1013,Data_Validation!$A:$D,4,0)</f>
        <v>#N/A</v>
      </c>
      <c r="W1013" s="658" t="e">
        <f>+VLOOKUP($L1013,Data_Validation!$A:$E,5,0)</f>
        <v>#N/A</v>
      </c>
    </row>
    <row r="1014" spans="1:23" ht="15.75" customHeight="1">
      <c r="A1014" s="718"/>
      <c r="B1014" s="656"/>
      <c r="C1014" s="719"/>
      <c r="D1014" s="718"/>
      <c r="E1014" s="718"/>
      <c r="F1014" s="718"/>
      <c r="G1014" s="718"/>
      <c r="H1014" s="718"/>
      <c r="I1014" s="718"/>
      <c r="J1014" s="718"/>
      <c r="K1014" s="718"/>
      <c r="L1014" s="655" t="str">
        <f t="shared" si="980"/>
        <v>0</v>
      </c>
      <c r="M1014" s="656">
        <f t="shared" si="780"/>
        <v>0</v>
      </c>
      <c r="N1014" s="657">
        <f>+IF(OR($Q1014=Parametres!$G$2,$Q1014=Parametres!$G$3),I1014,C1014)</f>
        <v>0</v>
      </c>
      <c r="O1014" s="657">
        <f>+IF(OR($Q1014=Parametres!$G$2,$Q1014=Parametres!$G$3),J1014,D1014)</f>
        <v>0</v>
      </c>
      <c r="P1014" s="657">
        <f>+IF(OR($Q1014=Parametres!$G$2,$Q1014=Parametres!$G$3),K1014,E1014)</f>
        <v>0</v>
      </c>
      <c r="Q1014" s="656">
        <f t="shared" ref="Q1014:S1014" si="1032">+F1014</f>
        <v>0</v>
      </c>
      <c r="R1014" s="655">
        <f t="shared" si="1032"/>
        <v>0</v>
      </c>
      <c r="S1014" s="656">
        <f t="shared" si="1032"/>
        <v>0</v>
      </c>
      <c r="T1014" s="658" t="e">
        <f>+VLOOKUP($L1014,Data_Validation!$A:$D,1,0)</f>
        <v>#N/A</v>
      </c>
      <c r="U1014" s="658" t="e">
        <f>+VLOOKUP($L1014,Data_Validation!$A:$D,3,0)</f>
        <v>#N/A</v>
      </c>
      <c r="V1014" s="658" t="e">
        <f>+VLOOKUP($L1014,Data_Validation!$A:$D,4,0)</f>
        <v>#N/A</v>
      </c>
      <c r="W1014" s="658" t="e">
        <f>+VLOOKUP($L1014,Data_Validation!$A:$E,5,0)</f>
        <v>#N/A</v>
      </c>
    </row>
    <row r="1015" spans="1:23" ht="15.75" customHeight="1">
      <c r="A1015" s="718"/>
      <c r="B1015" s="656"/>
      <c r="C1015" s="719"/>
      <c r="D1015" s="718"/>
      <c r="E1015" s="718"/>
      <c r="F1015" s="718"/>
      <c r="G1015" s="718"/>
      <c r="H1015" s="718"/>
      <c r="I1015" s="718"/>
      <c r="J1015" s="718"/>
      <c r="K1015" s="718"/>
      <c r="L1015" s="655" t="str">
        <f t="shared" si="980"/>
        <v>0</v>
      </c>
      <c r="M1015" s="656">
        <f t="shared" si="780"/>
        <v>0</v>
      </c>
      <c r="N1015" s="657">
        <f>+IF(OR($Q1015=Parametres!$G$2,$Q1015=Parametres!$G$3),I1015,C1015)</f>
        <v>0</v>
      </c>
      <c r="O1015" s="657">
        <f>+IF(OR($Q1015=Parametres!$G$2,$Q1015=Parametres!$G$3),J1015,D1015)</f>
        <v>0</v>
      </c>
      <c r="P1015" s="657">
        <f>+IF(OR($Q1015=Parametres!$G$2,$Q1015=Parametres!$G$3),K1015,E1015)</f>
        <v>0</v>
      </c>
      <c r="Q1015" s="656">
        <f t="shared" ref="Q1015:S1015" si="1033">+F1015</f>
        <v>0</v>
      </c>
      <c r="R1015" s="655">
        <f t="shared" si="1033"/>
        <v>0</v>
      </c>
      <c r="S1015" s="656">
        <f t="shared" si="1033"/>
        <v>0</v>
      </c>
      <c r="T1015" s="658" t="e">
        <f>+VLOOKUP($L1015,Data_Validation!$A:$D,1,0)</f>
        <v>#N/A</v>
      </c>
      <c r="U1015" s="658" t="e">
        <f>+VLOOKUP($L1015,Data_Validation!$A:$D,3,0)</f>
        <v>#N/A</v>
      </c>
      <c r="V1015" s="658" t="e">
        <f>+VLOOKUP($L1015,Data_Validation!$A:$D,4,0)</f>
        <v>#N/A</v>
      </c>
      <c r="W1015" s="658" t="e">
        <f>+VLOOKUP($L1015,Data_Validation!$A:$E,5,0)</f>
        <v>#N/A</v>
      </c>
    </row>
    <row r="1016" spans="1:23" ht="15.75" customHeight="1">
      <c r="A1016" s="718"/>
      <c r="B1016" s="656"/>
      <c r="C1016" s="719"/>
      <c r="D1016" s="718"/>
      <c r="E1016" s="718"/>
      <c r="F1016" s="718"/>
      <c r="G1016" s="718"/>
      <c r="H1016" s="718"/>
      <c r="I1016" s="718"/>
      <c r="J1016" s="718"/>
      <c r="K1016" s="718"/>
      <c r="L1016" s="655" t="str">
        <f t="shared" si="980"/>
        <v>0</v>
      </c>
      <c r="M1016" s="656">
        <f t="shared" si="780"/>
        <v>0</v>
      </c>
      <c r="N1016" s="657">
        <f>+IF(OR($Q1016=Parametres!$G$2,$Q1016=Parametres!$G$3),I1016,C1016)</f>
        <v>0</v>
      </c>
      <c r="O1016" s="657">
        <f>+IF(OR($Q1016=Parametres!$G$2,$Q1016=Parametres!$G$3),J1016,D1016)</f>
        <v>0</v>
      </c>
      <c r="P1016" s="657">
        <f>+IF(OR($Q1016=Parametres!$G$2,$Q1016=Parametres!$G$3),K1016,E1016)</f>
        <v>0</v>
      </c>
      <c r="Q1016" s="656">
        <f t="shared" ref="Q1016:S1016" si="1034">+F1016</f>
        <v>0</v>
      </c>
      <c r="R1016" s="655">
        <f t="shared" si="1034"/>
        <v>0</v>
      </c>
      <c r="S1016" s="656">
        <f t="shared" si="1034"/>
        <v>0</v>
      </c>
      <c r="T1016" s="658" t="e">
        <f>+VLOOKUP($L1016,Data_Validation!$A:$D,1,0)</f>
        <v>#N/A</v>
      </c>
      <c r="U1016" s="658" t="e">
        <f>+VLOOKUP($L1016,Data_Validation!$A:$D,3,0)</f>
        <v>#N/A</v>
      </c>
      <c r="V1016" s="658" t="e">
        <f>+VLOOKUP($L1016,Data_Validation!$A:$D,4,0)</f>
        <v>#N/A</v>
      </c>
      <c r="W1016" s="658" t="e">
        <f>+VLOOKUP($L1016,Data_Validation!$A:$E,5,0)</f>
        <v>#N/A</v>
      </c>
    </row>
    <row r="1017" spans="1:23" ht="15.75" customHeight="1">
      <c r="A1017" s="718"/>
      <c r="B1017" s="656"/>
      <c r="C1017" s="719"/>
      <c r="D1017" s="718"/>
      <c r="E1017" s="718"/>
      <c r="F1017" s="718"/>
      <c r="G1017" s="718"/>
      <c r="H1017" s="718"/>
      <c r="I1017" s="718"/>
      <c r="J1017" s="718"/>
      <c r="K1017" s="718"/>
      <c r="L1017" s="655" t="str">
        <f t="shared" si="980"/>
        <v>0</v>
      </c>
      <c r="M1017" s="656">
        <f t="shared" si="780"/>
        <v>0</v>
      </c>
      <c r="N1017" s="657">
        <f>+IF(OR($Q1017=Parametres!$G$2,$Q1017=Parametres!$G$3),I1017,C1017)</f>
        <v>0</v>
      </c>
      <c r="O1017" s="657">
        <f>+IF(OR($Q1017=Parametres!$G$2,$Q1017=Parametres!$G$3),J1017,D1017)</f>
        <v>0</v>
      </c>
      <c r="P1017" s="657">
        <f>+IF(OR($Q1017=Parametres!$G$2,$Q1017=Parametres!$G$3),K1017,E1017)</f>
        <v>0</v>
      </c>
      <c r="Q1017" s="656">
        <f t="shared" ref="Q1017:S1017" si="1035">+F1017</f>
        <v>0</v>
      </c>
      <c r="R1017" s="655">
        <f t="shared" si="1035"/>
        <v>0</v>
      </c>
      <c r="S1017" s="656">
        <f t="shared" si="1035"/>
        <v>0</v>
      </c>
      <c r="T1017" s="658" t="e">
        <f>+VLOOKUP($L1017,Data_Validation!$A:$D,1,0)</f>
        <v>#N/A</v>
      </c>
      <c r="U1017" s="658" t="e">
        <f>+VLOOKUP($L1017,Data_Validation!$A:$D,3,0)</f>
        <v>#N/A</v>
      </c>
      <c r="V1017" s="658" t="e">
        <f>+VLOOKUP($L1017,Data_Validation!$A:$D,4,0)</f>
        <v>#N/A</v>
      </c>
      <c r="W1017" s="658" t="e">
        <f>+VLOOKUP($L1017,Data_Validation!$A:$E,5,0)</f>
        <v>#N/A</v>
      </c>
    </row>
    <row r="1018" spans="1:23" ht="15.75" customHeight="1">
      <c r="A1018" s="718"/>
      <c r="B1018" s="656"/>
      <c r="C1018" s="719"/>
      <c r="D1018" s="718"/>
      <c r="E1018" s="718"/>
      <c r="F1018" s="718"/>
      <c r="G1018" s="718"/>
      <c r="H1018" s="718"/>
      <c r="I1018" s="718"/>
      <c r="J1018" s="718"/>
      <c r="K1018" s="718"/>
      <c r="L1018" s="655" t="str">
        <f t="shared" si="980"/>
        <v>0</v>
      </c>
      <c r="M1018" s="656">
        <f t="shared" si="780"/>
        <v>0</v>
      </c>
      <c r="N1018" s="657">
        <f>+IF(OR($Q1018=Parametres!$G$2,$Q1018=Parametres!$G$3),I1018,C1018)</f>
        <v>0</v>
      </c>
      <c r="O1018" s="657">
        <f>+IF(OR($Q1018=Parametres!$G$2,$Q1018=Parametres!$G$3),J1018,D1018)</f>
        <v>0</v>
      </c>
      <c r="P1018" s="657">
        <f>+IF(OR($Q1018=Parametres!$G$2,$Q1018=Parametres!$G$3),K1018,E1018)</f>
        <v>0</v>
      </c>
      <c r="Q1018" s="656">
        <f t="shared" ref="Q1018:S1018" si="1036">+F1018</f>
        <v>0</v>
      </c>
      <c r="R1018" s="655">
        <f t="shared" si="1036"/>
        <v>0</v>
      </c>
      <c r="S1018" s="656">
        <f t="shared" si="1036"/>
        <v>0</v>
      </c>
      <c r="T1018" s="658" t="e">
        <f>+VLOOKUP($L1018,Data_Validation!$A:$D,1,0)</f>
        <v>#N/A</v>
      </c>
      <c r="U1018" s="658" t="e">
        <f>+VLOOKUP($L1018,Data_Validation!$A:$D,3,0)</f>
        <v>#N/A</v>
      </c>
      <c r="V1018" s="658" t="e">
        <f>+VLOOKUP($L1018,Data_Validation!$A:$D,4,0)</f>
        <v>#N/A</v>
      </c>
      <c r="W1018" s="658" t="e">
        <f>+VLOOKUP($L1018,Data_Validation!$A:$E,5,0)</f>
        <v>#N/A</v>
      </c>
    </row>
    <row r="1019" spans="1:23" ht="15.75" customHeight="1">
      <c r="A1019" s="718"/>
      <c r="B1019" s="656"/>
      <c r="C1019" s="719"/>
      <c r="D1019" s="718"/>
      <c r="E1019" s="718"/>
      <c r="F1019" s="718"/>
      <c r="G1019" s="718"/>
      <c r="H1019" s="718"/>
      <c r="I1019" s="718"/>
      <c r="J1019" s="718"/>
      <c r="K1019" s="718"/>
      <c r="L1019" s="655" t="str">
        <f t="shared" si="980"/>
        <v>0</v>
      </c>
      <c r="M1019" s="656">
        <f t="shared" si="780"/>
        <v>0</v>
      </c>
      <c r="N1019" s="657">
        <f>+IF(OR($Q1019=Parametres!$G$2,$Q1019=Parametres!$G$3),I1019,C1019)</f>
        <v>0</v>
      </c>
      <c r="O1019" s="657">
        <f>+IF(OR($Q1019=Parametres!$G$2,$Q1019=Parametres!$G$3),J1019,D1019)</f>
        <v>0</v>
      </c>
      <c r="P1019" s="657">
        <f>+IF(OR($Q1019=Parametres!$G$2,$Q1019=Parametres!$G$3),K1019,E1019)</f>
        <v>0</v>
      </c>
      <c r="Q1019" s="656">
        <f t="shared" ref="Q1019:S1019" si="1037">+F1019</f>
        <v>0</v>
      </c>
      <c r="R1019" s="655">
        <f t="shared" si="1037"/>
        <v>0</v>
      </c>
      <c r="S1019" s="656">
        <f t="shared" si="1037"/>
        <v>0</v>
      </c>
      <c r="T1019" s="658" t="e">
        <f>+VLOOKUP($L1019,Data_Validation!$A:$D,1,0)</f>
        <v>#N/A</v>
      </c>
      <c r="U1019" s="658" t="e">
        <f>+VLOOKUP($L1019,Data_Validation!$A:$D,3,0)</f>
        <v>#N/A</v>
      </c>
      <c r="V1019" s="658" t="e">
        <f>+VLOOKUP($L1019,Data_Validation!$A:$D,4,0)</f>
        <v>#N/A</v>
      </c>
      <c r="W1019" s="658" t="e">
        <f>+VLOOKUP($L1019,Data_Validation!$A:$E,5,0)</f>
        <v>#N/A</v>
      </c>
    </row>
    <row r="1020" spans="1:23" ht="15.75" customHeight="1">
      <c r="A1020" s="718"/>
      <c r="B1020" s="656"/>
      <c r="C1020" s="719"/>
      <c r="D1020" s="718"/>
      <c r="E1020" s="718"/>
      <c r="F1020" s="718"/>
      <c r="G1020" s="718"/>
      <c r="H1020" s="718"/>
      <c r="I1020" s="718"/>
      <c r="J1020" s="718"/>
      <c r="K1020" s="718"/>
      <c r="L1020" s="655" t="str">
        <f t="shared" si="980"/>
        <v>0</v>
      </c>
      <c r="M1020" s="656">
        <f t="shared" si="780"/>
        <v>0</v>
      </c>
      <c r="N1020" s="657">
        <f>+IF(OR($Q1020=Parametres!$G$2,$Q1020=Parametres!$G$3),I1020,C1020)</f>
        <v>0</v>
      </c>
      <c r="O1020" s="657">
        <f>+IF(OR($Q1020=Parametres!$G$2,$Q1020=Parametres!$G$3),J1020,D1020)</f>
        <v>0</v>
      </c>
      <c r="P1020" s="657">
        <f>+IF(OR($Q1020=Parametres!$G$2,$Q1020=Parametres!$G$3),K1020,E1020)</f>
        <v>0</v>
      </c>
      <c r="Q1020" s="656">
        <f t="shared" ref="Q1020:S1020" si="1038">+F1020</f>
        <v>0</v>
      </c>
      <c r="R1020" s="655">
        <f t="shared" si="1038"/>
        <v>0</v>
      </c>
      <c r="S1020" s="656">
        <f t="shared" si="1038"/>
        <v>0</v>
      </c>
      <c r="T1020" s="658" t="e">
        <f>+VLOOKUP($L1020,Data_Validation!$A:$D,1,0)</f>
        <v>#N/A</v>
      </c>
      <c r="U1020" s="658" t="e">
        <f>+VLOOKUP($L1020,Data_Validation!$A:$D,3,0)</f>
        <v>#N/A</v>
      </c>
      <c r="V1020" s="658" t="e">
        <f>+VLOOKUP($L1020,Data_Validation!$A:$D,4,0)</f>
        <v>#N/A</v>
      </c>
      <c r="W1020" s="658" t="e">
        <f>+VLOOKUP($L1020,Data_Validation!$A:$E,5,0)</f>
        <v>#N/A</v>
      </c>
    </row>
    <row r="1021" spans="1:23" ht="15.75" customHeight="1">
      <c r="A1021" s="718"/>
      <c r="B1021" s="656"/>
      <c r="C1021" s="719"/>
      <c r="D1021" s="718"/>
      <c r="E1021" s="718"/>
      <c r="F1021" s="718"/>
      <c r="G1021" s="718"/>
      <c r="H1021" s="718"/>
      <c r="I1021" s="718"/>
      <c r="J1021" s="718"/>
      <c r="K1021" s="718"/>
      <c r="L1021" s="655" t="str">
        <f t="shared" si="980"/>
        <v>0</v>
      </c>
      <c r="M1021" s="656">
        <f t="shared" si="780"/>
        <v>0</v>
      </c>
      <c r="N1021" s="657">
        <f>+IF(OR($Q1021=Parametres!$G$2,$Q1021=Parametres!$G$3),I1021,C1021)</f>
        <v>0</v>
      </c>
      <c r="O1021" s="657">
        <f>+IF(OR($Q1021=Parametres!$G$2,$Q1021=Parametres!$G$3),J1021,D1021)</f>
        <v>0</v>
      </c>
      <c r="P1021" s="657">
        <f>+IF(OR($Q1021=Parametres!$G$2,$Q1021=Parametres!$G$3),K1021,E1021)</f>
        <v>0</v>
      </c>
      <c r="Q1021" s="656">
        <f t="shared" ref="Q1021:S1021" si="1039">+F1021</f>
        <v>0</v>
      </c>
      <c r="R1021" s="655">
        <f t="shared" si="1039"/>
        <v>0</v>
      </c>
      <c r="S1021" s="656">
        <f t="shared" si="1039"/>
        <v>0</v>
      </c>
      <c r="T1021" s="658" t="e">
        <f>+VLOOKUP($L1021,Data_Validation!$A:$D,1,0)</f>
        <v>#N/A</v>
      </c>
      <c r="U1021" s="658" t="e">
        <f>+VLOOKUP($L1021,Data_Validation!$A:$D,3,0)</f>
        <v>#N/A</v>
      </c>
      <c r="V1021" s="658" t="e">
        <f>+VLOOKUP($L1021,Data_Validation!$A:$D,4,0)</f>
        <v>#N/A</v>
      </c>
      <c r="W1021" s="658" t="e">
        <f>+VLOOKUP($L1021,Data_Validation!$A:$E,5,0)</f>
        <v>#N/A</v>
      </c>
    </row>
    <row r="1022" spans="1:23" ht="15.75" customHeight="1">
      <c r="A1022" s="718"/>
      <c r="B1022" s="656"/>
      <c r="C1022" s="719"/>
      <c r="D1022" s="718"/>
      <c r="E1022" s="718"/>
      <c r="F1022" s="718"/>
      <c r="G1022" s="718"/>
      <c r="H1022" s="718"/>
      <c r="I1022" s="718"/>
      <c r="J1022" s="718"/>
      <c r="K1022" s="718"/>
      <c r="L1022" s="655" t="str">
        <f t="shared" si="980"/>
        <v>0</v>
      </c>
      <c r="M1022" s="656">
        <f t="shared" ref="M1022:M1055" si="1040">+A1022</f>
        <v>0</v>
      </c>
      <c r="N1022" s="657">
        <f>+IF(OR($Q1022=Parametres!$G$2,$Q1022=Parametres!$G$3),I1022,C1022)</f>
        <v>0</v>
      </c>
      <c r="O1022" s="657">
        <f>+IF(OR($Q1022=Parametres!$G$2,$Q1022=Parametres!$G$3),J1022,D1022)</f>
        <v>0</v>
      </c>
      <c r="P1022" s="657">
        <f>+IF(OR($Q1022=Parametres!$G$2,$Q1022=Parametres!$G$3),K1022,E1022)</f>
        <v>0</v>
      </c>
      <c r="Q1022" s="656">
        <f t="shared" ref="Q1022:S1022" si="1041">+F1022</f>
        <v>0</v>
      </c>
      <c r="R1022" s="655">
        <f t="shared" si="1041"/>
        <v>0</v>
      </c>
      <c r="S1022" s="656">
        <f t="shared" si="1041"/>
        <v>0</v>
      </c>
      <c r="T1022" s="658" t="e">
        <f>+VLOOKUP($L1022,Data_Validation!$A:$D,1,0)</f>
        <v>#N/A</v>
      </c>
      <c r="U1022" s="658" t="e">
        <f>+VLOOKUP($L1022,Data_Validation!$A:$D,3,0)</f>
        <v>#N/A</v>
      </c>
      <c r="V1022" s="658" t="e">
        <f>+VLOOKUP($L1022,Data_Validation!$A:$D,4,0)</f>
        <v>#N/A</v>
      </c>
      <c r="W1022" s="658" t="e">
        <f>+VLOOKUP($L1022,Data_Validation!$A:$E,5,0)</f>
        <v>#N/A</v>
      </c>
    </row>
    <row r="1023" spans="1:23" ht="15.75" customHeight="1">
      <c r="A1023" s="718"/>
      <c r="B1023" s="656"/>
      <c r="C1023" s="719"/>
      <c r="D1023" s="718"/>
      <c r="E1023" s="718"/>
      <c r="F1023" s="718"/>
      <c r="G1023" s="718"/>
      <c r="H1023" s="718"/>
      <c r="I1023" s="718"/>
      <c r="J1023" s="718"/>
      <c r="K1023" s="718"/>
      <c r="L1023" s="655" t="str">
        <f t="shared" si="980"/>
        <v>0</v>
      </c>
      <c r="M1023" s="656">
        <f t="shared" si="1040"/>
        <v>0</v>
      </c>
      <c r="N1023" s="657">
        <f>+IF(OR($Q1023=Parametres!$G$2,$Q1023=Parametres!$G$3),I1023,C1023)</f>
        <v>0</v>
      </c>
      <c r="O1023" s="657">
        <f>+IF(OR($Q1023=Parametres!$G$2,$Q1023=Parametres!$G$3),J1023,D1023)</f>
        <v>0</v>
      </c>
      <c r="P1023" s="657">
        <f>+IF(OR($Q1023=Parametres!$G$2,$Q1023=Parametres!$G$3),K1023,E1023)</f>
        <v>0</v>
      </c>
      <c r="Q1023" s="656">
        <f t="shared" ref="Q1023:S1023" si="1042">+F1023</f>
        <v>0</v>
      </c>
      <c r="R1023" s="655">
        <f t="shared" si="1042"/>
        <v>0</v>
      </c>
      <c r="S1023" s="656">
        <f t="shared" si="1042"/>
        <v>0</v>
      </c>
      <c r="T1023" s="658" t="e">
        <f>+VLOOKUP($L1023,Data_Validation!$A:$D,1,0)</f>
        <v>#N/A</v>
      </c>
      <c r="U1023" s="658" t="e">
        <f>+VLOOKUP($L1023,Data_Validation!$A:$D,3,0)</f>
        <v>#N/A</v>
      </c>
      <c r="V1023" s="658" t="e">
        <f>+VLOOKUP($L1023,Data_Validation!$A:$D,4,0)</f>
        <v>#N/A</v>
      </c>
      <c r="W1023" s="658" t="e">
        <f>+VLOOKUP($L1023,Data_Validation!$A:$E,5,0)</f>
        <v>#N/A</v>
      </c>
    </row>
    <row r="1024" spans="1:23" ht="15.75" customHeight="1">
      <c r="A1024" s="718"/>
      <c r="B1024" s="656"/>
      <c r="C1024" s="719"/>
      <c r="D1024" s="718"/>
      <c r="E1024" s="718"/>
      <c r="F1024" s="718"/>
      <c r="G1024" s="718"/>
      <c r="H1024" s="718"/>
      <c r="I1024" s="718"/>
      <c r="J1024" s="718"/>
      <c r="K1024" s="718"/>
      <c r="L1024" s="655" t="str">
        <f t="shared" si="980"/>
        <v>0</v>
      </c>
      <c r="M1024" s="656">
        <f t="shared" si="1040"/>
        <v>0</v>
      </c>
      <c r="N1024" s="657">
        <f>+IF(OR($Q1024=Parametres!$G$2,$Q1024=Parametres!$G$3),I1024,C1024)</f>
        <v>0</v>
      </c>
      <c r="O1024" s="657">
        <f>+IF(OR($Q1024=Parametres!$G$2,$Q1024=Parametres!$G$3),J1024,D1024)</f>
        <v>0</v>
      </c>
      <c r="P1024" s="657">
        <f>+IF(OR($Q1024=Parametres!$G$2,$Q1024=Parametres!$G$3),K1024,E1024)</f>
        <v>0</v>
      </c>
      <c r="Q1024" s="656">
        <f t="shared" ref="Q1024:S1024" si="1043">+F1024</f>
        <v>0</v>
      </c>
      <c r="R1024" s="655">
        <f t="shared" si="1043"/>
        <v>0</v>
      </c>
      <c r="S1024" s="656">
        <f t="shared" si="1043"/>
        <v>0</v>
      </c>
      <c r="T1024" s="658" t="e">
        <f>+VLOOKUP($L1024,Data_Validation!$A:$D,1,0)</f>
        <v>#N/A</v>
      </c>
      <c r="U1024" s="658" t="e">
        <f>+VLOOKUP($L1024,Data_Validation!$A:$D,3,0)</f>
        <v>#N/A</v>
      </c>
      <c r="V1024" s="658" t="e">
        <f>+VLOOKUP($L1024,Data_Validation!$A:$D,4,0)</f>
        <v>#N/A</v>
      </c>
      <c r="W1024" s="658" t="e">
        <f>+VLOOKUP($L1024,Data_Validation!$A:$E,5,0)</f>
        <v>#N/A</v>
      </c>
    </row>
    <row r="1025" spans="1:23" ht="15.75" customHeight="1">
      <c r="A1025" s="718"/>
      <c r="B1025" s="656"/>
      <c r="C1025" s="719"/>
      <c r="D1025" s="718"/>
      <c r="E1025" s="718"/>
      <c r="F1025" s="718"/>
      <c r="G1025" s="718"/>
      <c r="H1025" s="718"/>
      <c r="I1025" s="718"/>
      <c r="J1025" s="718"/>
      <c r="K1025" s="718"/>
      <c r="L1025" s="655" t="str">
        <f t="shared" si="980"/>
        <v>0</v>
      </c>
      <c r="M1025" s="656">
        <f t="shared" si="1040"/>
        <v>0</v>
      </c>
      <c r="N1025" s="657">
        <f>+IF(OR($Q1025=Parametres!$G$2,$Q1025=Parametres!$G$3),I1025,C1025)</f>
        <v>0</v>
      </c>
      <c r="O1025" s="657">
        <f>+IF(OR($Q1025=Parametres!$G$2,$Q1025=Parametres!$G$3),J1025,D1025)</f>
        <v>0</v>
      </c>
      <c r="P1025" s="657">
        <f>+IF(OR($Q1025=Parametres!$G$2,$Q1025=Parametres!$G$3),K1025,E1025)</f>
        <v>0</v>
      </c>
      <c r="Q1025" s="656">
        <f t="shared" ref="Q1025:S1025" si="1044">+F1025</f>
        <v>0</v>
      </c>
      <c r="R1025" s="655">
        <f t="shared" si="1044"/>
        <v>0</v>
      </c>
      <c r="S1025" s="656">
        <f t="shared" si="1044"/>
        <v>0</v>
      </c>
      <c r="T1025" s="658" t="e">
        <f>+VLOOKUP($L1025,Data_Validation!$A:$D,1,0)</f>
        <v>#N/A</v>
      </c>
      <c r="U1025" s="658" t="e">
        <f>+VLOOKUP($L1025,Data_Validation!$A:$D,3,0)</f>
        <v>#N/A</v>
      </c>
      <c r="V1025" s="658" t="e">
        <f>+VLOOKUP($L1025,Data_Validation!$A:$D,4,0)</f>
        <v>#N/A</v>
      </c>
      <c r="W1025" s="658" t="e">
        <f>+VLOOKUP($L1025,Data_Validation!$A:$E,5,0)</f>
        <v>#N/A</v>
      </c>
    </row>
    <row r="1026" spans="1:23" ht="15.75" customHeight="1">
      <c r="A1026" s="718"/>
      <c r="B1026" s="656"/>
      <c r="C1026" s="719"/>
      <c r="D1026" s="718"/>
      <c r="E1026" s="718"/>
      <c r="F1026" s="718"/>
      <c r="G1026" s="718"/>
      <c r="H1026" s="718"/>
      <c r="I1026" s="718"/>
      <c r="J1026" s="718"/>
      <c r="K1026" s="718"/>
      <c r="L1026" s="655" t="str">
        <f t="shared" si="980"/>
        <v>0</v>
      </c>
      <c r="M1026" s="656">
        <f t="shared" si="1040"/>
        <v>0</v>
      </c>
      <c r="N1026" s="657">
        <f>+IF(OR($Q1026=Parametres!$G$2,$Q1026=Parametres!$G$3),I1026,C1026)</f>
        <v>0</v>
      </c>
      <c r="O1026" s="657">
        <f>+IF(OR($Q1026=Parametres!$G$2,$Q1026=Parametres!$G$3),J1026,D1026)</f>
        <v>0</v>
      </c>
      <c r="P1026" s="657">
        <f>+IF(OR($Q1026=Parametres!$G$2,$Q1026=Parametres!$G$3),K1026,E1026)</f>
        <v>0</v>
      </c>
      <c r="Q1026" s="656">
        <f t="shared" ref="Q1026:S1026" si="1045">+F1026</f>
        <v>0</v>
      </c>
      <c r="R1026" s="655">
        <f t="shared" si="1045"/>
        <v>0</v>
      </c>
      <c r="S1026" s="656">
        <f t="shared" si="1045"/>
        <v>0</v>
      </c>
      <c r="T1026" s="658" t="e">
        <f>+VLOOKUP($L1026,Data_Validation!$A:$D,1,0)</f>
        <v>#N/A</v>
      </c>
      <c r="U1026" s="658" t="e">
        <f>+VLOOKUP($L1026,Data_Validation!$A:$D,3,0)</f>
        <v>#N/A</v>
      </c>
      <c r="V1026" s="658" t="e">
        <f>+VLOOKUP($L1026,Data_Validation!$A:$D,4,0)</f>
        <v>#N/A</v>
      </c>
      <c r="W1026" s="658" t="e">
        <f>+VLOOKUP($L1026,Data_Validation!$A:$E,5,0)</f>
        <v>#N/A</v>
      </c>
    </row>
    <row r="1027" spans="1:23" ht="15.75" customHeight="1">
      <c r="A1027" s="718"/>
      <c r="B1027" s="656"/>
      <c r="C1027" s="719"/>
      <c r="D1027" s="718"/>
      <c r="E1027" s="718"/>
      <c r="F1027" s="718"/>
      <c r="G1027" s="718"/>
      <c r="H1027" s="718"/>
      <c r="I1027" s="718"/>
      <c r="J1027" s="718"/>
      <c r="K1027" s="718"/>
      <c r="L1027" s="655" t="str">
        <f t="shared" ref="L1027:L1055" si="1046">TEXT(B1027,0)</f>
        <v>0</v>
      </c>
      <c r="M1027" s="656">
        <f t="shared" si="1040"/>
        <v>0</v>
      </c>
      <c r="N1027" s="657">
        <f>+IF(OR($Q1027=Parametres!$G$2,$Q1027=Parametres!$G$3),I1027,C1027)</f>
        <v>0</v>
      </c>
      <c r="O1027" s="657">
        <f>+IF(OR($Q1027=Parametres!$G$2,$Q1027=Parametres!$G$3),J1027,D1027)</f>
        <v>0</v>
      </c>
      <c r="P1027" s="657">
        <f>+IF(OR($Q1027=Parametres!$G$2,$Q1027=Parametres!$G$3),K1027,E1027)</f>
        <v>0</v>
      </c>
      <c r="Q1027" s="656">
        <f t="shared" ref="Q1027:S1027" si="1047">+F1027</f>
        <v>0</v>
      </c>
      <c r="R1027" s="655">
        <f t="shared" si="1047"/>
        <v>0</v>
      </c>
      <c r="S1027" s="656">
        <f t="shared" si="1047"/>
        <v>0</v>
      </c>
      <c r="T1027" s="658" t="e">
        <f>+VLOOKUP($L1027,Data_Validation!$A:$D,1,0)</f>
        <v>#N/A</v>
      </c>
      <c r="U1027" s="658" t="e">
        <f>+VLOOKUP($L1027,Data_Validation!$A:$D,3,0)</f>
        <v>#N/A</v>
      </c>
      <c r="V1027" s="658" t="e">
        <f>+VLOOKUP($L1027,Data_Validation!$A:$D,4,0)</f>
        <v>#N/A</v>
      </c>
      <c r="W1027" s="658" t="e">
        <f>+VLOOKUP($L1027,Data_Validation!$A:$E,5,0)</f>
        <v>#N/A</v>
      </c>
    </row>
    <row r="1028" spans="1:23" ht="15.75" customHeight="1">
      <c r="A1028" s="718"/>
      <c r="B1028" s="656"/>
      <c r="C1028" s="719"/>
      <c r="D1028" s="718"/>
      <c r="E1028" s="718"/>
      <c r="F1028" s="718"/>
      <c r="G1028" s="718"/>
      <c r="H1028" s="718"/>
      <c r="I1028" s="718"/>
      <c r="J1028" s="718"/>
      <c r="K1028" s="718"/>
      <c r="L1028" s="655" t="str">
        <f t="shared" si="1046"/>
        <v>0</v>
      </c>
      <c r="M1028" s="656">
        <f t="shared" si="1040"/>
        <v>0</v>
      </c>
      <c r="N1028" s="657">
        <f>+IF(OR($Q1028=Parametres!$G$2,$Q1028=Parametres!$G$3),I1028,C1028)</f>
        <v>0</v>
      </c>
      <c r="O1028" s="657">
        <f>+IF(OR($Q1028=Parametres!$G$2,$Q1028=Parametres!$G$3),J1028,D1028)</f>
        <v>0</v>
      </c>
      <c r="P1028" s="657">
        <f>+IF(OR($Q1028=Parametres!$G$2,$Q1028=Parametres!$G$3),K1028,E1028)</f>
        <v>0</v>
      </c>
      <c r="Q1028" s="656">
        <f t="shared" ref="Q1028:S1028" si="1048">+F1028</f>
        <v>0</v>
      </c>
      <c r="R1028" s="655">
        <f t="shared" si="1048"/>
        <v>0</v>
      </c>
      <c r="S1028" s="656">
        <f t="shared" si="1048"/>
        <v>0</v>
      </c>
      <c r="T1028" s="658" t="e">
        <f>+VLOOKUP($L1028,Data_Validation!$A:$D,1,0)</f>
        <v>#N/A</v>
      </c>
      <c r="U1028" s="658" t="e">
        <f>+VLOOKUP($L1028,Data_Validation!$A:$D,3,0)</f>
        <v>#N/A</v>
      </c>
      <c r="V1028" s="658" t="e">
        <f>+VLOOKUP($L1028,Data_Validation!$A:$D,4,0)</f>
        <v>#N/A</v>
      </c>
      <c r="W1028" s="658" t="e">
        <f>+VLOOKUP($L1028,Data_Validation!$A:$E,5,0)</f>
        <v>#N/A</v>
      </c>
    </row>
    <row r="1029" spans="1:23" ht="15.75" customHeight="1">
      <c r="A1029" s="718"/>
      <c r="B1029" s="656"/>
      <c r="C1029" s="719"/>
      <c r="D1029" s="718"/>
      <c r="E1029" s="718"/>
      <c r="F1029" s="718"/>
      <c r="G1029" s="718"/>
      <c r="H1029" s="718"/>
      <c r="I1029" s="718"/>
      <c r="J1029" s="718"/>
      <c r="K1029" s="718"/>
      <c r="L1029" s="655" t="str">
        <f t="shared" si="1046"/>
        <v>0</v>
      </c>
      <c r="M1029" s="656">
        <f t="shared" si="1040"/>
        <v>0</v>
      </c>
      <c r="N1029" s="657">
        <f>+IF(OR($Q1029=Parametres!$G$2,$Q1029=Parametres!$G$3),I1029,C1029)</f>
        <v>0</v>
      </c>
      <c r="O1029" s="657">
        <f>+IF(OR($Q1029=Parametres!$G$2,$Q1029=Parametres!$G$3),J1029,D1029)</f>
        <v>0</v>
      </c>
      <c r="P1029" s="657">
        <f>+IF(OR($Q1029=Parametres!$G$2,$Q1029=Parametres!$G$3),K1029,E1029)</f>
        <v>0</v>
      </c>
      <c r="Q1029" s="656">
        <f t="shared" ref="Q1029:S1029" si="1049">+F1029</f>
        <v>0</v>
      </c>
      <c r="R1029" s="655">
        <f t="shared" si="1049"/>
        <v>0</v>
      </c>
      <c r="S1029" s="656">
        <f t="shared" si="1049"/>
        <v>0</v>
      </c>
      <c r="T1029" s="658" t="e">
        <f>+VLOOKUP($L1029,Data_Validation!$A:$D,1,0)</f>
        <v>#N/A</v>
      </c>
      <c r="U1029" s="658" t="e">
        <f>+VLOOKUP($L1029,Data_Validation!$A:$D,3,0)</f>
        <v>#N/A</v>
      </c>
      <c r="V1029" s="658" t="e">
        <f>+VLOOKUP($L1029,Data_Validation!$A:$D,4,0)</f>
        <v>#N/A</v>
      </c>
      <c r="W1029" s="658" t="e">
        <f>+VLOOKUP($L1029,Data_Validation!$A:$E,5,0)</f>
        <v>#N/A</v>
      </c>
    </row>
    <row r="1030" spans="1:23" ht="15.75" customHeight="1">
      <c r="A1030" s="718"/>
      <c r="B1030" s="656"/>
      <c r="C1030" s="719"/>
      <c r="D1030" s="718"/>
      <c r="E1030" s="718"/>
      <c r="F1030" s="718"/>
      <c r="G1030" s="718"/>
      <c r="H1030" s="718"/>
      <c r="I1030" s="718"/>
      <c r="J1030" s="718"/>
      <c r="K1030" s="718"/>
      <c r="L1030" s="655" t="str">
        <f t="shared" si="1046"/>
        <v>0</v>
      </c>
      <c r="M1030" s="656">
        <f t="shared" si="1040"/>
        <v>0</v>
      </c>
      <c r="N1030" s="657">
        <f>+IF(OR($Q1030=Parametres!$G$2,$Q1030=Parametres!$G$3),I1030,C1030)</f>
        <v>0</v>
      </c>
      <c r="O1030" s="657">
        <f>+IF(OR($Q1030=Parametres!$G$2,$Q1030=Parametres!$G$3),J1030,D1030)</f>
        <v>0</v>
      </c>
      <c r="P1030" s="657">
        <f>+IF(OR($Q1030=Parametres!$G$2,$Q1030=Parametres!$G$3),K1030,E1030)</f>
        <v>0</v>
      </c>
      <c r="Q1030" s="656">
        <f t="shared" ref="Q1030:S1030" si="1050">+F1030</f>
        <v>0</v>
      </c>
      <c r="R1030" s="655">
        <f t="shared" si="1050"/>
        <v>0</v>
      </c>
      <c r="S1030" s="656">
        <f t="shared" si="1050"/>
        <v>0</v>
      </c>
      <c r="T1030" s="658" t="e">
        <f>+VLOOKUP($L1030,Data_Validation!$A:$D,1,0)</f>
        <v>#N/A</v>
      </c>
      <c r="U1030" s="658" t="e">
        <f>+VLOOKUP($L1030,Data_Validation!$A:$D,3,0)</f>
        <v>#N/A</v>
      </c>
      <c r="V1030" s="658" t="e">
        <f>+VLOOKUP($L1030,Data_Validation!$A:$D,4,0)</f>
        <v>#N/A</v>
      </c>
      <c r="W1030" s="658" t="e">
        <f>+VLOOKUP($L1030,Data_Validation!$A:$E,5,0)</f>
        <v>#N/A</v>
      </c>
    </row>
    <row r="1031" spans="1:23" ht="15.75" customHeight="1">
      <c r="A1031" s="718"/>
      <c r="B1031" s="656"/>
      <c r="C1031" s="719"/>
      <c r="D1031" s="718"/>
      <c r="E1031" s="718"/>
      <c r="F1031" s="718"/>
      <c r="G1031" s="718"/>
      <c r="H1031" s="718"/>
      <c r="I1031" s="718"/>
      <c r="J1031" s="718"/>
      <c r="K1031" s="718"/>
      <c r="L1031" s="655" t="str">
        <f t="shared" si="1046"/>
        <v>0</v>
      </c>
      <c r="M1031" s="656">
        <f t="shared" si="1040"/>
        <v>0</v>
      </c>
      <c r="N1031" s="657">
        <f>+IF(OR($Q1031=Parametres!$G$2,$Q1031=Parametres!$G$3),I1031,C1031)</f>
        <v>0</v>
      </c>
      <c r="O1031" s="657">
        <f>+IF(OR($Q1031=Parametres!$G$2,$Q1031=Parametres!$G$3),J1031,D1031)</f>
        <v>0</v>
      </c>
      <c r="P1031" s="657">
        <f>+IF(OR($Q1031=Parametres!$G$2,$Q1031=Parametres!$G$3),K1031,E1031)</f>
        <v>0</v>
      </c>
      <c r="Q1031" s="656">
        <f t="shared" ref="Q1031:S1031" si="1051">+F1031</f>
        <v>0</v>
      </c>
      <c r="R1031" s="655">
        <f t="shared" si="1051"/>
        <v>0</v>
      </c>
      <c r="S1031" s="656">
        <f t="shared" si="1051"/>
        <v>0</v>
      </c>
      <c r="T1031" s="658" t="e">
        <f>+VLOOKUP($L1031,Data_Validation!$A:$D,1,0)</f>
        <v>#N/A</v>
      </c>
      <c r="U1031" s="658" t="e">
        <f>+VLOOKUP($L1031,Data_Validation!$A:$D,3,0)</f>
        <v>#N/A</v>
      </c>
      <c r="V1031" s="658" t="e">
        <f>+VLOOKUP($L1031,Data_Validation!$A:$D,4,0)</f>
        <v>#N/A</v>
      </c>
      <c r="W1031" s="658" t="e">
        <f>+VLOOKUP($L1031,Data_Validation!$A:$E,5,0)</f>
        <v>#N/A</v>
      </c>
    </row>
    <row r="1032" spans="1:23" ht="15.75" customHeight="1">
      <c r="A1032" s="718"/>
      <c r="B1032" s="656"/>
      <c r="C1032" s="719"/>
      <c r="D1032" s="718"/>
      <c r="E1032" s="718"/>
      <c r="F1032" s="718"/>
      <c r="G1032" s="718"/>
      <c r="H1032" s="718"/>
      <c r="I1032" s="718"/>
      <c r="J1032" s="718"/>
      <c r="K1032" s="718"/>
      <c r="L1032" s="655" t="str">
        <f t="shared" si="1046"/>
        <v>0</v>
      </c>
      <c r="M1032" s="656">
        <f t="shared" si="1040"/>
        <v>0</v>
      </c>
      <c r="N1032" s="657">
        <f>+IF(OR($Q1032=Parametres!$G$2,$Q1032=Parametres!$G$3),I1032,C1032)</f>
        <v>0</v>
      </c>
      <c r="O1032" s="657">
        <f>+IF(OR($Q1032=Parametres!$G$2,$Q1032=Parametres!$G$3),J1032,D1032)</f>
        <v>0</v>
      </c>
      <c r="P1032" s="657">
        <f>+IF(OR($Q1032=Parametres!$G$2,$Q1032=Parametres!$G$3),K1032,E1032)</f>
        <v>0</v>
      </c>
      <c r="Q1032" s="656">
        <f t="shared" ref="Q1032:S1032" si="1052">+F1032</f>
        <v>0</v>
      </c>
      <c r="R1032" s="655">
        <f t="shared" si="1052"/>
        <v>0</v>
      </c>
      <c r="S1032" s="656">
        <f t="shared" si="1052"/>
        <v>0</v>
      </c>
      <c r="T1032" s="658" t="e">
        <f>+VLOOKUP($L1032,Data_Validation!$A:$D,1,0)</f>
        <v>#N/A</v>
      </c>
      <c r="U1032" s="658" t="e">
        <f>+VLOOKUP($L1032,Data_Validation!$A:$D,3,0)</f>
        <v>#N/A</v>
      </c>
      <c r="V1032" s="658" t="e">
        <f>+VLOOKUP($L1032,Data_Validation!$A:$D,4,0)</f>
        <v>#N/A</v>
      </c>
      <c r="W1032" s="658" t="e">
        <f>+VLOOKUP($L1032,Data_Validation!$A:$E,5,0)</f>
        <v>#N/A</v>
      </c>
    </row>
    <row r="1033" spans="1:23" ht="15.75" customHeight="1">
      <c r="A1033" s="718"/>
      <c r="B1033" s="656"/>
      <c r="C1033" s="719"/>
      <c r="D1033" s="718"/>
      <c r="E1033" s="718"/>
      <c r="F1033" s="718"/>
      <c r="G1033" s="718"/>
      <c r="H1033" s="718"/>
      <c r="I1033" s="718"/>
      <c r="J1033" s="718"/>
      <c r="K1033" s="718"/>
      <c r="L1033" s="655" t="str">
        <f t="shared" si="1046"/>
        <v>0</v>
      </c>
      <c r="M1033" s="656">
        <f t="shared" si="1040"/>
        <v>0</v>
      </c>
      <c r="N1033" s="657">
        <f>+IF(OR($Q1033=Parametres!$G$2,$Q1033=Parametres!$G$3),I1033,C1033)</f>
        <v>0</v>
      </c>
      <c r="O1033" s="657">
        <f>+IF(OR($Q1033=Parametres!$G$2,$Q1033=Parametres!$G$3),J1033,D1033)</f>
        <v>0</v>
      </c>
      <c r="P1033" s="657">
        <f>+IF(OR($Q1033=Parametres!$G$2,$Q1033=Parametres!$G$3),K1033,E1033)</f>
        <v>0</v>
      </c>
      <c r="Q1033" s="656">
        <f t="shared" ref="Q1033:S1033" si="1053">+F1033</f>
        <v>0</v>
      </c>
      <c r="R1033" s="655">
        <f t="shared" si="1053"/>
        <v>0</v>
      </c>
      <c r="S1033" s="656">
        <f t="shared" si="1053"/>
        <v>0</v>
      </c>
      <c r="T1033" s="658" t="e">
        <f>+VLOOKUP($L1033,Data_Validation!$A:$D,1,0)</f>
        <v>#N/A</v>
      </c>
      <c r="U1033" s="658" t="e">
        <f>+VLOOKUP($L1033,Data_Validation!$A:$D,3,0)</f>
        <v>#N/A</v>
      </c>
      <c r="V1033" s="658" t="e">
        <f>+VLOOKUP($L1033,Data_Validation!$A:$D,4,0)</f>
        <v>#N/A</v>
      </c>
      <c r="W1033" s="658" t="e">
        <f>+VLOOKUP($L1033,Data_Validation!$A:$E,5,0)</f>
        <v>#N/A</v>
      </c>
    </row>
    <row r="1034" spans="1:23" ht="15.75" customHeight="1">
      <c r="A1034" s="718"/>
      <c r="B1034" s="656"/>
      <c r="C1034" s="719"/>
      <c r="D1034" s="718"/>
      <c r="E1034" s="718"/>
      <c r="F1034" s="718"/>
      <c r="G1034" s="718"/>
      <c r="H1034" s="718"/>
      <c r="I1034" s="718"/>
      <c r="J1034" s="718"/>
      <c r="K1034" s="718"/>
      <c r="L1034" s="655" t="str">
        <f t="shared" si="1046"/>
        <v>0</v>
      </c>
      <c r="M1034" s="656">
        <f t="shared" si="1040"/>
        <v>0</v>
      </c>
      <c r="N1034" s="657">
        <f>+IF(OR($Q1034=Parametres!$G$2,$Q1034=Parametres!$G$3),I1034,C1034)</f>
        <v>0</v>
      </c>
      <c r="O1034" s="657">
        <f>+IF(OR($Q1034=Parametres!$G$2,$Q1034=Parametres!$G$3),J1034,D1034)</f>
        <v>0</v>
      </c>
      <c r="P1034" s="657">
        <f>+IF(OR($Q1034=Parametres!$G$2,$Q1034=Parametres!$G$3),K1034,E1034)</f>
        <v>0</v>
      </c>
      <c r="Q1034" s="656">
        <f t="shared" ref="Q1034:S1034" si="1054">+F1034</f>
        <v>0</v>
      </c>
      <c r="R1034" s="655">
        <f t="shared" si="1054"/>
        <v>0</v>
      </c>
      <c r="S1034" s="656">
        <f t="shared" si="1054"/>
        <v>0</v>
      </c>
      <c r="T1034" s="658" t="e">
        <f>+VLOOKUP($L1034,Data_Validation!$A:$D,1,0)</f>
        <v>#N/A</v>
      </c>
      <c r="U1034" s="658" t="e">
        <f>+VLOOKUP($L1034,Data_Validation!$A:$D,3,0)</f>
        <v>#N/A</v>
      </c>
      <c r="V1034" s="658" t="e">
        <f>+VLOOKUP($L1034,Data_Validation!$A:$D,4,0)</f>
        <v>#N/A</v>
      </c>
      <c r="W1034" s="658" t="e">
        <f>+VLOOKUP($L1034,Data_Validation!$A:$E,5,0)</f>
        <v>#N/A</v>
      </c>
    </row>
    <row r="1035" spans="1:23" ht="15.75" customHeight="1">
      <c r="A1035" s="718"/>
      <c r="B1035" s="656"/>
      <c r="C1035" s="719"/>
      <c r="D1035" s="718"/>
      <c r="E1035" s="718"/>
      <c r="F1035" s="718"/>
      <c r="G1035" s="718"/>
      <c r="H1035" s="718"/>
      <c r="I1035" s="718"/>
      <c r="J1035" s="718"/>
      <c r="K1035" s="718"/>
      <c r="L1035" s="655" t="str">
        <f t="shared" si="1046"/>
        <v>0</v>
      </c>
      <c r="M1035" s="656">
        <f t="shared" si="1040"/>
        <v>0</v>
      </c>
      <c r="N1035" s="657">
        <f>+IF(OR($Q1035=Parametres!$G$2,$Q1035=Parametres!$G$3),I1035,C1035)</f>
        <v>0</v>
      </c>
      <c r="O1035" s="657">
        <f>+IF(OR($Q1035=Parametres!$G$2,$Q1035=Parametres!$G$3),J1035,D1035)</f>
        <v>0</v>
      </c>
      <c r="P1035" s="657">
        <f>+IF(OR($Q1035=Parametres!$G$2,$Q1035=Parametres!$G$3),K1035,E1035)</f>
        <v>0</v>
      </c>
      <c r="Q1035" s="656">
        <f t="shared" ref="Q1035:S1035" si="1055">+F1035</f>
        <v>0</v>
      </c>
      <c r="R1035" s="655">
        <f t="shared" si="1055"/>
        <v>0</v>
      </c>
      <c r="S1035" s="656">
        <f t="shared" si="1055"/>
        <v>0</v>
      </c>
      <c r="T1035" s="658" t="e">
        <f>+VLOOKUP($L1035,Data_Validation!$A:$D,1,0)</f>
        <v>#N/A</v>
      </c>
      <c r="U1035" s="658" t="e">
        <f>+VLOOKUP($L1035,Data_Validation!$A:$D,3,0)</f>
        <v>#N/A</v>
      </c>
      <c r="V1035" s="658" t="e">
        <f>+VLOOKUP($L1035,Data_Validation!$A:$D,4,0)</f>
        <v>#N/A</v>
      </c>
      <c r="W1035" s="658" t="e">
        <f>+VLOOKUP($L1035,Data_Validation!$A:$E,5,0)</f>
        <v>#N/A</v>
      </c>
    </row>
    <row r="1036" spans="1:23" ht="15.75" customHeight="1">
      <c r="A1036" s="718"/>
      <c r="B1036" s="656"/>
      <c r="C1036" s="719"/>
      <c r="D1036" s="718"/>
      <c r="E1036" s="718"/>
      <c r="F1036" s="718"/>
      <c r="G1036" s="718"/>
      <c r="H1036" s="718"/>
      <c r="I1036" s="718"/>
      <c r="J1036" s="718"/>
      <c r="K1036" s="718"/>
      <c r="L1036" s="655" t="str">
        <f t="shared" si="1046"/>
        <v>0</v>
      </c>
      <c r="M1036" s="656">
        <f t="shared" si="1040"/>
        <v>0</v>
      </c>
      <c r="N1036" s="657">
        <f>+IF(OR($Q1036=Parametres!$G$2,$Q1036=Parametres!$G$3),I1036,C1036)</f>
        <v>0</v>
      </c>
      <c r="O1036" s="657">
        <f>+IF(OR($Q1036=Parametres!$G$2,$Q1036=Parametres!$G$3),J1036,D1036)</f>
        <v>0</v>
      </c>
      <c r="P1036" s="657">
        <f>+IF(OR($Q1036=Parametres!$G$2,$Q1036=Parametres!$G$3),K1036,E1036)</f>
        <v>0</v>
      </c>
      <c r="Q1036" s="656">
        <f t="shared" ref="Q1036:S1036" si="1056">+F1036</f>
        <v>0</v>
      </c>
      <c r="R1036" s="655">
        <f t="shared" si="1056"/>
        <v>0</v>
      </c>
      <c r="S1036" s="656">
        <f t="shared" si="1056"/>
        <v>0</v>
      </c>
      <c r="T1036" s="658" t="e">
        <f>+VLOOKUP($L1036,Data_Validation!$A:$D,1,0)</f>
        <v>#N/A</v>
      </c>
      <c r="U1036" s="658" t="e">
        <f>+VLOOKUP($L1036,Data_Validation!$A:$D,3,0)</f>
        <v>#N/A</v>
      </c>
      <c r="V1036" s="658" t="e">
        <f>+VLOOKUP($L1036,Data_Validation!$A:$D,4,0)</f>
        <v>#N/A</v>
      </c>
      <c r="W1036" s="658" t="e">
        <f>+VLOOKUP($L1036,Data_Validation!$A:$E,5,0)</f>
        <v>#N/A</v>
      </c>
    </row>
    <row r="1037" spans="1:23" ht="15.75" customHeight="1">
      <c r="A1037" s="718"/>
      <c r="B1037" s="656"/>
      <c r="C1037" s="719"/>
      <c r="D1037" s="718"/>
      <c r="E1037" s="718"/>
      <c r="F1037" s="718"/>
      <c r="G1037" s="718"/>
      <c r="H1037" s="718"/>
      <c r="I1037" s="718"/>
      <c r="J1037" s="718"/>
      <c r="K1037" s="718"/>
      <c r="L1037" s="655" t="str">
        <f t="shared" si="1046"/>
        <v>0</v>
      </c>
      <c r="M1037" s="656">
        <f t="shared" si="1040"/>
        <v>0</v>
      </c>
      <c r="N1037" s="657">
        <f>+IF(OR($Q1037=Parametres!$G$2,$Q1037=Parametres!$G$3),I1037,C1037)</f>
        <v>0</v>
      </c>
      <c r="O1037" s="657">
        <f>+IF(OR($Q1037=Parametres!$G$2,$Q1037=Parametres!$G$3),J1037,D1037)</f>
        <v>0</v>
      </c>
      <c r="P1037" s="657">
        <f>+IF(OR($Q1037=Parametres!$G$2,$Q1037=Parametres!$G$3),K1037,E1037)</f>
        <v>0</v>
      </c>
      <c r="Q1037" s="656">
        <f t="shared" ref="Q1037:S1037" si="1057">+F1037</f>
        <v>0</v>
      </c>
      <c r="R1037" s="655">
        <f t="shared" si="1057"/>
        <v>0</v>
      </c>
      <c r="S1037" s="656">
        <f t="shared" si="1057"/>
        <v>0</v>
      </c>
      <c r="T1037" s="658" t="e">
        <f>+VLOOKUP($L1037,Data_Validation!$A:$D,1,0)</f>
        <v>#N/A</v>
      </c>
      <c r="U1037" s="658" t="e">
        <f>+VLOOKUP($L1037,Data_Validation!$A:$D,3,0)</f>
        <v>#N/A</v>
      </c>
      <c r="V1037" s="658" t="e">
        <f>+VLOOKUP($L1037,Data_Validation!$A:$D,4,0)</f>
        <v>#N/A</v>
      </c>
      <c r="W1037" s="658" t="e">
        <f>+VLOOKUP($L1037,Data_Validation!$A:$E,5,0)</f>
        <v>#N/A</v>
      </c>
    </row>
    <row r="1038" spans="1:23" ht="15.75" customHeight="1">
      <c r="A1038" s="718"/>
      <c r="B1038" s="656"/>
      <c r="C1038" s="719"/>
      <c r="D1038" s="718"/>
      <c r="E1038" s="718"/>
      <c r="F1038" s="718"/>
      <c r="G1038" s="718"/>
      <c r="H1038" s="718"/>
      <c r="I1038" s="718"/>
      <c r="J1038" s="718"/>
      <c r="K1038" s="718"/>
      <c r="L1038" s="655" t="str">
        <f t="shared" si="1046"/>
        <v>0</v>
      </c>
      <c r="M1038" s="656">
        <f t="shared" si="1040"/>
        <v>0</v>
      </c>
      <c r="N1038" s="657">
        <f>+IF(OR($Q1038=Parametres!$G$2,$Q1038=Parametres!$G$3),I1038,C1038)</f>
        <v>0</v>
      </c>
      <c r="O1038" s="657">
        <f>+IF(OR($Q1038=Parametres!$G$2,$Q1038=Parametres!$G$3),J1038,D1038)</f>
        <v>0</v>
      </c>
      <c r="P1038" s="657">
        <f>+IF(OR($Q1038=Parametres!$G$2,$Q1038=Parametres!$G$3),K1038,E1038)</f>
        <v>0</v>
      </c>
      <c r="Q1038" s="656">
        <f t="shared" ref="Q1038:S1038" si="1058">+F1038</f>
        <v>0</v>
      </c>
      <c r="R1038" s="655">
        <f t="shared" si="1058"/>
        <v>0</v>
      </c>
      <c r="S1038" s="656">
        <f t="shared" si="1058"/>
        <v>0</v>
      </c>
      <c r="T1038" s="658" t="e">
        <f>+VLOOKUP($L1038,Data_Validation!$A:$D,1,0)</f>
        <v>#N/A</v>
      </c>
      <c r="U1038" s="658" t="e">
        <f>+VLOOKUP($L1038,Data_Validation!$A:$D,3,0)</f>
        <v>#N/A</v>
      </c>
      <c r="V1038" s="658" t="e">
        <f>+VLOOKUP($L1038,Data_Validation!$A:$D,4,0)</f>
        <v>#N/A</v>
      </c>
      <c r="W1038" s="658" t="e">
        <f>+VLOOKUP($L1038,Data_Validation!$A:$E,5,0)</f>
        <v>#N/A</v>
      </c>
    </row>
    <row r="1039" spans="1:23" ht="15.75" customHeight="1">
      <c r="A1039" s="718"/>
      <c r="B1039" s="656"/>
      <c r="C1039" s="719"/>
      <c r="D1039" s="718"/>
      <c r="E1039" s="718"/>
      <c r="F1039" s="718"/>
      <c r="G1039" s="718"/>
      <c r="H1039" s="718"/>
      <c r="I1039" s="718"/>
      <c r="J1039" s="718"/>
      <c r="K1039" s="718"/>
      <c r="L1039" s="655" t="str">
        <f t="shared" si="1046"/>
        <v>0</v>
      </c>
      <c r="M1039" s="656">
        <f t="shared" si="1040"/>
        <v>0</v>
      </c>
      <c r="N1039" s="657">
        <f>+IF(OR($Q1039=Parametres!$G$2,$Q1039=Parametres!$G$3),I1039,C1039)</f>
        <v>0</v>
      </c>
      <c r="O1039" s="657">
        <f>+IF(OR($Q1039=Parametres!$G$2,$Q1039=Parametres!$G$3),J1039,D1039)</f>
        <v>0</v>
      </c>
      <c r="P1039" s="657">
        <f>+IF(OR($Q1039=Parametres!$G$2,$Q1039=Parametres!$G$3),K1039,E1039)</f>
        <v>0</v>
      </c>
      <c r="Q1039" s="656">
        <f t="shared" ref="Q1039:S1039" si="1059">+F1039</f>
        <v>0</v>
      </c>
      <c r="R1039" s="655">
        <f t="shared" si="1059"/>
        <v>0</v>
      </c>
      <c r="S1039" s="656">
        <f t="shared" si="1059"/>
        <v>0</v>
      </c>
      <c r="T1039" s="658" t="e">
        <f>+VLOOKUP($L1039,Data_Validation!$A:$D,1,0)</f>
        <v>#N/A</v>
      </c>
      <c r="U1039" s="658" t="e">
        <f>+VLOOKUP($L1039,Data_Validation!$A:$D,3,0)</f>
        <v>#N/A</v>
      </c>
      <c r="V1039" s="658" t="e">
        <f>+VLOOKUP($L1039,Data_Validation!$A:$D,4,0)</f>
        <v>#N/A</v>
      </c>
      <c r="W1039" s="658" t="e">
        <f>+VLOOKUP($L1039,Data_Validation!$A:$E,5,0)</f>
        <v>#N/A</v>
      </c>
    </row>
    <row r="1040" spans="1:23" ht="15.75" customHeight="1">
      <c r="A1040" s="718"/>
      <c r="B1040" s="656"/>
      <c r="C1040" s="719"/>
      <c r="D1040" s="718"/>
      <c r="E1040" s="718"/>
      <c r="F1040" s="718"/>
      <c r="G1040" s="718"/>
      <c r="H1040" s="718"/>
      <c r="I1040" s="718"/>
      <c r="J1040" s="718"/>
      <c r="K1040" s="718"/>
      <c r="L1040" s="655" t="str">
        <f t="shared" si="1046"/>
        <v>0</v>
      </c>
      <c r="M1040" s="656">
        <f t="shared" si="1040"/>
        <v>0</v>
      </c>
      <c r="N1040" s="657">
        <f>+IF(OR($Q1040=Parametres!$G$2,$Q1040=Parametres!$G$3),I1040,C1040)</f>
        <v>0</v>
      </c>
      <c r="O1040" s="657">
        <f>+IF(OR($Q1040=Parametres!$G$2,$Q1040=Parametres!$G$3),J1040,D1040)</f>
        <v>0</v>
      </c>
      <c r="P1040" s="657">
        <f>+IF(OR($Q1040=Parametres!$G$2,$Q1040=Parametres!$G$3),K1040,E1040)</f>
        <v>0</v>
      </c>
      <c r="Q1040" s="656">
        <f t="shared" ref="Q1040:S1040" si="1060">+F1040</f>
        <v>0</v>
      </c>
      <c r="R1040" s="655">
        <f t="shared" si="1060"/>
        <v>0</v>
      </c>
      <c r="S1040" s="656">
        <f t="shared" si="1060"/>
        <v>0</v>
      </c>
      <c r="T1040" s="658" t="e">
        <f>+VLOOKUP($L1040,Data_Validation!$A:$D,1,0)</f>
        <v>#N/A</v>
      </c>
      <c r="U1040" s="658" t="e">
        <f>+VLOOKUP($L1040,Data_Validation!$A:$D,3,0)</f>
        <v>#N/A</v>
      </c>
      <c r="V1040" s="658" t="e">
        <f>+VLOOKUP($L1040,Data_Validation!$A:$D,4,0)</f>
        <v>#N/A</v>
      </c>
      <c r="W1040" s="658" t="e">
        <f>+VLOOKUP($L1040,Data_Validation!$A:$E,5,0)</f>
        <v>#N/A</v>
      </c>
    </row>
    <row r="1041" spans="1:23" ht="15.75" customHeight="1">
      <c r="A1041" s="718"/>
      <c r="B1041" s="656"/>
      <c r="C1041" s="719"/>
      <c r="D1041" s="718"/>
      <c r="E1041" s="718"/>
      <c r="F1041" s="718"/>
      <c r="G1041" s="718"/>
      <c r="H1041" s="718"/>
      <c r="I1041" s="718"/>
      <c r="J1041" s="718"/>
      <c r="K1041" s="718"/>
      <c r="L1041" s="655" t="str">
        <f t="shared" si="1046"/>
        <v>0</v>
      </c>
      <c r="M1041" s="656">
        <f t="shared" si="1040"/>
        <v>0</v>
      </c>
      <c r="N1041" s="657">
        <f>+IF(OR($Q1041=Parametres!$G$2,$Q1041=Parametres!$G$3),I1041,C1041)</f>
        <v>0</v>
      </c>
      <c r="O1041" s="657">
        <f>+IF(OR($Q1041=Parametres!$G$2,$Q1041=Parametres!$G$3),J1041,D1041)</f>
        <v>0</v>
      </c>
      <c r="P1041" s="657">
        <f>+IF(OR($Q1041=Parametres!$G$2,$Q1041=Parametres!$G$3),K1041,E1041)</f>
        <v>0</v>
      </c>
      <c r="Q1041" s="656">
        <f t="shared" ref="Q1041:S1041" si="1061">+F1041</f>
        <v>0</v>
      </c>
      <c r="R1041" s="655">
        <f t="shared" si="1061"/>
        <v>0</v>
      </c>
      <c r="S1041" s="656">
        <f t="shared" si="1061"/>
        <v>0</v>
      </c>
      <c r="T1041" s="658" t="e">
        <f>+VLOOKUP($L1041,Data_Validation!$A:$D,1,0)</f>
        <v>#N/A</v>
      </c>
      <c r="U1041" s="658" t="e">
        <f>+VLOOKUP($L1041,Data_Validation!$A:$D,3,0)</f>
        <v>#N/A</v>
      </c>
      <c r="V1041" s="658" t="e">
        <f>+VLOOKUP($L1041,Data_Validation!$A:$D,4,0)</f>
        <v>#N/A</v>
      </c>
      <c r="W1041" s="658" t="e">
        <f>+VLOOKUP($L1041,Data_Validation!$A:$E,5,0)</f>
        <v>#N/A</v>
      </c>
    </row>
    <row r="1042" spans="1:23" ht="15.75" customHeight="1">
      <c r="A1042" s="718"/>
      <c r="B1042" s="656"/>
      <c r="C1042" s="719"/>
      <c r="D1042" s="718"/>
      <c r="E1042" s="718"/>
      <c r="F1042" s="718"/>
      <c r="G1042" s="718"/>
      <c r="H1042" s="718"/>
      <c r="I1042" s="718"/>
      <c r="J1042" s="718"/>
      <c r="K1042" s="718"/>
      <c r="L1042" s="655" t="str">
        <f t="shared" si="1046"/>
        <v>0</v>
      </c>
      <c r="M1042" s="656">
        <f t="shared" si="1040"/>
        <v>0</v>
      </c>
      <c r="N1042" s="657">
        <f>+IF(OR($Q1042=Parametres!$G$2,$Q1042=Parametres!$G$3),I1042,C1042)</f>
        <v>0</v>
      </c>
      <c r="O1042" s="657">
        <f>+IF(OR($Q1042=Parametres!$G$2,$Q1042=Parametres!$G$3),J1042,D1042)</f>
        <v>0</v>
      </c>
      <c r="P1042" s="657">
        <f>+IF(OR($Q1042=Parametres!$G$2,$Q1042=Parametres!$G$3),K1042,E1042)</f>
        <v>0</v>
      </c>
      <c r="Q1042" s="656">
        <f t="shared" ref="Q1042:S1042" si="1062">+F1042</f>
        <v>0</v>
      </c>
      <c r="R1042" s="655">
        <f t="shared" si="1062"/>
        <v>0</v>
      </c>
      <c r="S1042" s="656">
        <f t="shared" si="1062"/>
        <v>0</v>
      </c>
      <c r="T1042" s="658" t="e">
        <f>+VLOOKUP($L1042,Data_Validation!$A:$D,1,0)</f>
        <v>#N/A</v>
      </c>
      <c r="U1042" s="658" t="e">
        <f>+VLOOKUP($L1042,Data_Validation!$A:$D,3,0)</f>
        <v>#N/A</v>
      </c>
      <c r="V1042" s="658" t="e">
        <f>+VLOOKUP($L1042,Data_Validation!$A:$D,4,0)</f>
        <v>#N/A</v>
      </c>
      <c r="W1042" s="658" t="e">
        <f>+VLOOKUP($L1042,Data_Validation!$A:$E,5,0)</f>
        <v>#N/A</v>
      </c>
    </row>
    <row r="1043" spans="1:23" ht="15.75" customHeight="1">
      <c r="A1043" s="718"/>
      <c r="B1043" s="656"/>
      <c r="C1043" s="719"/>
      <c r="D1043" s="718"/>
      <c r="E1043" s="718"/>
      <c r="F1043" s="718"/>
      <c r="G1043" s="718"/>
      <c r="H1043" s="718"/>
      <c r="I1043" s="718"/>
      <c r="J1043" s="718"/>
      <c r="K1043" s="718"/>
      <c r="L1043" s="655" t="str">
        <f t="shared" si="1046"/>
        <v>0</v>
      </c>
      <c r="M1043" s="656">
        <f t="shared" si="1040"/>
        <v>0</v>
      </c>
      <c r="N1043" s="657">
        <f>+IF(OR($Q1043=Parametres!$G$2,$Q1043=Parametres!$G$3),I1043,C1043)</f>
        <v>0</v>
      </c>
      <c r="O1043" s="657">
        <f>+IF(OR($Q1043=Parametres!$G$2,$Q1043=Parametres!$G$3),J1043,D1043)</f>
        <v>0</v>
      </c>
      <c r="P1043" s="657">
        <f>+IF(OR($Q1043=Parametres!$G$2,$Q1043=Parametres!$G$3),K1043,E1043)</f>
        <v>0</v>
      </c>
      <c r="Q1043" s="656">
        <f t="shared" ref="Q1043:S1043" si="1063">+F1043</f>
        <v>0</v>
      </c>
      <c r="R1043" s="655">
        <f t="shared" si="1063"/>
        <v>0</v>
      </c>
      <c r="S1043" s="656">
        <f t="shared" si="1063"/>
        <v>0</v>
      </c>
      <c r="T1043" s="658" t="e">
        <f>+VLOOKUP($L1043,Data_Validation!$A:$D,1,0)</f>
        <v>#N/A</v>
      </c>
      <c r="U1043" s="658" t="e">
        <f>+VLOOKUP($L1043,Data_Validation!$A:$D,3,0)</f>
        <v>#N/A</v>
      </c>
      <c r="V1043" s="658" t="e">
        <f>+VLOOKUP($L1043,Data_Validation!$A:$D,4,0)</f>
        <v>#N/A</v>
      </c>
      <c r="W1043" s="658" t="e">
        <f>+VLOOKUP($L1043,Data_Validation!$A:$E,5,0)</f>
        <v>#N/A</v>
      </c>
    </row>
    <row r="1044" spans="1:23" ht="15.75" customHeight="1">
      <c r="A1044" s="718"/>
      <c r="B1044" s="656"/>
      <c r="C1044" s="719"/>
      <c r="D1044" s="718"/>
      <c r="E1044" s="718"/>
      <c r="F1044" s="718"/>
      <c r="G1044" s="718"/>
      <c r="H1044" s="718"/>
      <c r="I1044" s="718"/>
      <c r="J1044" s="718"/>
      <c r="K1044" s="718"/>
      <c r="L1044" s="655" t="str">
        <f t="shared" si="1046"/>
        <v>0</v>
      </c>
      <c r="M1044" s="656">
        <f t="shared" si="1040"/>
        <v>0</v>
      </c>
      <c r="N1044" s="657">
        <f>+IF(OR($Q1044=Parametres!$G$2,$Q1044=Parametres!$G$3),I1044,C1044)</f>
        <v>0</v>
      </c>
      <c r="O1044" s="657">
        <f>+IF(OR($Q1044=Parametres!$G$2,$Q1044=Parametres!$G$3),J1044,D1044)</f>
        <v>0</v>
      </c>
      <c r="P1044" s="657">
        <f>+IF(OR($Q1044=Parametres!$G$2,$Q1044=Parametres!$G$3),K1044,E1044)</f>
        <v>0</v>
      </c>
      <c r="Q1044" s="656">
        <f t="shared" ref="Q1044:S1044" si="1064">+F1044</f>
        <v>0</v>
      </c>
      <c r="R1044" s="655">
        <f t="shared" si="1064"/>
        <v>0</v>
      </c>
      <c r="S1044" s="656">
        <f t="shared" si="1064"/>
        <v>0</v>
      </c>
      <c r="T1044" s="658" t="e">
        <f>+VLOOKUP($L1044,Data_Validation!$A:$D,1,0)</f>
        <v>#N/A</v>
      </c>
      <c r="U1044" s="658" t="e">
        <f>+VLOOKUP($L1044,Data_Validation!$A:$D,3,0)</f>
        <v>#N/A</v>
      </c>
      <c r="V1044" s="658" t="e">
        <f>+VLOOKUP($L1044,Data_Validation!$A:$D,4,0)</f>
        <v>#N/A</v>
      </c>
      <c r="W1044" s="658" t="e">
        <f>+VLOOKUP($L1044,Data_Validation!$A:$E,5,0)</f>
        <v>#N/A</v>
      </c>
    </row>
    <row r="1045" spans="1:23" ht="15.75" customHeight="1">
      <c r="A1045" s="718"/>
      <c r="B1045" s="656"/>
      <c r="C1045" s="719"/>
      <c r="D1045" s="718"/>
      <c r="E1045" s="718"/>
      <c r="F1045" s="718"/>
      <c r="G1045" s="718"/>
      <c r="H1045" s="718"/>
      <c r="I1045" s="718"/>
      <c r="J1045" s="718"/>
      <c r="K1045" s="718"/>
      <c r="L1045" s="655" t="str">
        <f t="shared" si="1046"/>
        <v>0</v>
      </c>
      <c r="M1045" s="656">
        <f t="shared" si="1040"/>
        <v>0</v>
      </c>
      <c r="N1045" s="657">
        <f>+IF(OR($Q1045=Parametres!$G$2,$Q1045=Parametres!$G$3),I1045,C1045)</f>
        <v>0</v>
      </c>
      <c r="O1045" s="657">
        <f>+IF(OR($Q1045=Parametres!$G$2,$Q1045=Parametres!$G$3),J1045,D1045)</f>
        <v>0</v>
      </c>
      <c r="P1045" s="657">
        <f>+IF(OR($Q1045=Parametres!$G$2,$Q1045=Parametres!$G$3),K1045,E1045)</f>
        <v>0</v>
      </c>
      <c r="Q1045" s="656">
        <f t="shared" ref="Q1045:S1045" si="1065">+F1045</f>
        <v>0</v>
      </c>
      <c r="R1045" s="655">
        <f t="shared" si="1065"/>
        <v>0</v>
      </c>
      <c r="S1045" s="656">
        <f t="shared" si="1065"/>
        <v>0</v>
      </c>
      <c r="T1045" s="658" t="e">
        <f>+VLOOKUP($L1045,Data_Validation!$A:$D,1,0)</f>
        <v>#N/A</v>
      </c>
      <c r="U1045" s="658" t="e">
        <f>+VLOOKUP($L1045,Data_Validation!$A:$D,3,0)</f>
        <v>#N/A</v>
      </c>
      <c r="V1045" s="658" t="e">
        <f>+VLOOKUP($L1045,Data_Validation!$A:$D,4,0)</f>
        <v>#N/A</v>
      </c>
      <c r="W1045" s="658" t="e">
        <f>+VLOOKUP($L1045,Data_Validation!$A:$E,5,0)</f>
        <v>#N/A</v>
      </c>
    </row>
    <row r="1046" spans="1:23" ht="15.75" customHeight="1">
      <c r="A1046" s="718"/>
      <c r="B1046" s="656"/>
      <c r="C1046" s="719"/>
      <c r="D1046" s="718"/>
      <c r="E1046" s="718"/>
      <c r="F1046" s="718"/>
      <c r="G1046" s="718"/>
      <c r="H1046" s="718"/>
      <c r="I1046" s="718"/>
      <c r="J1046" s="718"/>
      <c r="K1046" s="718"/>
      <c r="L1046" s="655" t="str">
        <f t="shared" si="1046"/>
        <v>0</v>
      </c>
      <c r="M1046" s="656">
        <f t="shared" si="1040"/>
        <v>0</v>
      </c>
      <c r="N1046" s="657">
        <f>+IF(OR($Q1046=Parametres!$G$2,$Q1046=Parametres!$G$3),I1046,C1046)</f>
        <v>0</v>
      </c>
      <c r="O1046" s="657">
        <f>+IF(OR($Q1046=Parametres!$G$2,$Q1046=Parametres!$G$3),J1046,D1046)</f>
        <v>0</v>
      </c>
      <c r="P1046" s="657">
        <f>+IF(OR($Q1046=Parametres!$G$2,$Q1046=Parametres!$G$3),K1046,E1046)</f>
        <v>0</v>
      </c>
      <c r="Q1046" s="656">
        <f t="shared" ref="Q1046:S1046" si="1066">+F1046</f>
        <v>0</v>
      </c>
      <c r="R1046" s="655">
        <f t="shared" si="1066"/>
        <v>0</v>
      </c>
      <c r="S1046" s="656">
        <f t="shared" si="1066"/>
        <v>0</v>
      </c>
      <c r="T1046" s="658" t="e">
        <f>+VLOOKUP($L1046,Data_Validation!$A:$D,1,0)</f>
        <v>#N/A</v>
      </c>
      <c r="U1046" s="658" t="e">
        <f>+VLOOKUP($L1046,Data_Validation!$A:$D,3,0)</f>
        <v>#N/A</v>
      </c>
      <c r="V1046" s="658" t="e">
        <f>+VLOOKUP($L1046,Data_Validation!$A:$D,4,0)</f>
        <v>#N/A</v>
      </c>
      <c r="W1046" s="658" t="e">
        <f>+VLOOKUP($L1046,Data_Validation!$A:$E,5,0)</f>
        <v>#N/A</v>
      </c>
    </row>
    <row r="1047" spans="1:23" ht="15.75" customHeight="1">
      <c r="A1047" s="718"/>
      <c r="B1047" s="656"/>
      <c r="C1047" s="719"/>
      <c r="D1047" s="718"/>
      <c r="E1047" s="718"/>
      <c r="F1047" s="718"/>
      <c r="G1047" s="718"/>
      <c r="H1047" s="718"/>
      <c r="I1047" s="718"/>
      <c r="J1047" s="718"/>
      <c r="K1047" s="718"/>
      <c r="L1047" s="655" t="str">
        <f t="shared" si="1046"/>
        <v>0</v>
      </c>
      <c r="M1047" s="656">
        <f t="shared" si="1040"/>
        <v>0</v>
      </c>
      <c r="N1047" s="657">
        <f>+IF(OR($Q1047=Parametres!$G$2,$Q1047=Parametres!$G$3),I1047,C1047)</f>
        <v>0</v>
      </c>
      <c r="O1047" s="657">
        <f>+IF(OR($Q1047=Parametres!$G$2,$Q1047=Parametres!$G$3),J1047,D1047)</f>
        <v>0</v>
      </c>
      <c r="P1047" s="657">
        <f>+IF(OR($Q1047=Parametres!$G$2,$Q1047=Parametres!$G$3),K1047,E1047)</f>
        <v>0</v>
      </c>
      <c r="Q1047" s="656">
        <f t="shared" ref="Q1047:S1047" si="1067">+F1047</f>
        <v>0</v>
      </c>
      <c r="R1047" s="655">
        <f t="shared" si="1067"/>
        <v>0</v>
      </c>
      <c r="S1047" s="656">
        <f t="shared" si="1067"/>
        <v>0</v>
      </c>
      <c r="T1047" s="658" t="e">
        <f>+VLOOKUP($L1047,Data_Validation!$A:$D,1,0)</f>
        <v>#N/A</v>
      </c>
      <c r="U1047" s="658" t="e">
        <f>+VLOOKUP($L1047,Data_Validation!$A:$D,3,0)</f>
        <v>#N/A</v>
      </c>
      <c r="V1047" s="658" t="e">
        <f>+VLOOKUP($L1047,Data_Validation!$A:$D,4,0)</f>
        <v>#N/A</v>
      </c>
      <c r="W1047" s="658" t="e">
        <f>+VLOOKUP($L1047,Data_Validation!$A:$E,5,0)</f>
        <v>#N/A</v>
      </c>
    </row>
    <row r="1048" spans="1:23" ht="15.75" customHeight="1">
      <c r="A1048" s="718"/>
      <c r="B1048" s="656"/>
      <c r="C1048" s="719"/>
      <c r="D1048" s="718"/>
      <c r="E1048" s="718"/>
      <c r="F1048" s="718"/>
      <c r="G1048" s="718"/>
      <c r="H1048" s="718"/>
      <c r="I1048" s="718"/>
      <c r="J1048" s="718"/>
      <c r="K1048" s="718"/>
      <c r="L1048" s="655" t="str">
        <f t="shared" si="1046"/>
        <v>0</v>
      </c>
      <c r="M1048" s="656">
        <f t="shared" si="1040"/>
        <v>0</v>
      </c>
      <c r="N1048" s="657">
        <f>+IF(OR($Q1048=Parametres!$G$2,$Q1048=Parametres!$G$3),I1048,C1048)</f>
        <v>0</v>
      </c>
      <c r="O1048" s="657">
        <f>+IF(OR($Q1048=Parametres!$G$2,$Q1048=Parametres!$G$3),J1048,D1048)</f>
        <v>0</v>
      </c>
      <c r="P1048" s="657">
        <f>+IF(OR($Q1048=Parametres!$G$2,$Q1048=Parametres!$G$3),K1048,E1048)</f>
        <v>0</v>
      </c>
      <c r="Q1048" s="656">
        <f t="shared" ref="Q1048:S1048" si="1068">+F1048</f>
        <v>0</v>
      </c>
      <c r="R1048" s="655">
        <f t="shared" si="1068"/>
        <v>0</v>
      </c>
      <c r="S1048" s="656">
        <f t="shared" si="1068"/>
        <v>0</v>
      </c>
      <c r="T1048" s="658" t="e">
        <f>+VLOOKUP($L1048,Data_Validation!$A:$D,1,0)</f>
        <v>#N/A</v>
      </c>
      <c r="U1048" s="658" t="e">
        <f>+VLOOKUP($L1048,Data_Validation!$A:$D,3,0)</f>
        <v>#N/A</v>
      </c>
      <c r="V1048" s="658" t="e">
        <f>+VLOOKUP($L1048,Data_Validation!$A:$D,4,0)</f>
        <v>#N/A</v>
      </c>
      <c r="W1048" s="658" t="e">
        <f>+VLOOKUP($L1048,Data_Validation!$A:$E,5,0)</f>
        <v>#N/A</v>
      </c>
    </row>
    <row r="1049" spans="1:23" ht="15.75" customHeight="1">
      <c r="A1049" s="718"/>
      <c r="B1049" s="656"/>
      <c r="C1049" s="719"/>
      <c r="D1049" s="718"/>
      <c r="E1049" s="718"/>
      <c r="F1049" s="718"/>
      <c r="G1049" s="718"/>
      <c r="H1049" s="718"/>
      <c r="I1049" s="718"/>
      <c r="J1049" s="718"/>
      <c r="K1049" s="718"/>
      <c r="L1049" s="655" t="str">
        <f t="shared" si="1046"/>
        <v>0</v>
      </c>
      <c r="M1049" s="656">
        <f t="shared" si="1040"/>
        <v>0</v>
      </c>
      <c r="N1049" s="657">
        <f>+IF(OR($Q1049=Parametres!$G$2,$Q1049=Parametres!$G$3),I1049,C1049)</f>
        <v>0</v>
      </c>
      <c r="O1049" s="657">
        <f>+IF(OR($Q1049=Parametres!$G$2,$Q1049=Parametres!$G$3),J1049,D1049)</f>
        <v>0</v>
      </c>
      <c r="P1049" s="657">
        <f>+IF(OR($Q1049=Parametres!$G$2,$Q1049=Parametres!$G$3),K1049,E1049)</f>
        <v>0</v>
      </c>
      <c r="Q1049" s="656">
        <f t="shared" ref="Q1049:S1049" si="1069">+F1049</f>
        <v>0</v>
      </c>
      <c r="R1049" s="655">
        <f t="shared" si="1069"/>
        <v>0</v>
      </c>
      <c r="S1049" s="656">
        <f t="shared" si="1069"/>
        <v>0</v>
      </c>
      <c r="T1049" s="658" t="e">
        <f>+VLOOKUP($L1049,Data_Validation!$A:$D,1,0)</f>
        <v>#N/A</v>
      </c>
      <c r="U1049" s="658" t="e">
        <f>+VLOOKUP($L1049,Data_Validation!$A:$D,3,0)</f>
        <v>#N/A</v>
      </c>
      <c r="V1049" s="658" t="e">
        <f>+VLOOKUP($L1049,Data_Validation!$A:$D,4,0)</f>
        <v>#N/A</v>
      </c>
      <c r="W1049" s="658" t="e">
        <f>+VLOOKUP($L1049,Data_Validation!$A:$E,5,0)</f>
        <v>#N/A</v>
      </c>
    </row>
    <row r="1050" spans="1:23" ht="15.75" customHeight="1">
      <c r="A1050" s="718"/>
      <c r="B1050" s="656"/>
      <c r="C1050" s="719"/>
      <c r="D1050" s="718"/>
      <c r="E1050" s="718"/>
      <c r="F1050" s="718"/>
      <c r="G1050" s="718"/>
      <c r="H1050" s="718"/>
      <c r="I1050" s="718"/>
      <c r="J1050" s="718"/>
      <c r="K1050" s="718"/>
      <c r="L1050" s="655" t="str">
        <f t="shared" si="1046"/>
        <v>0</v>
      </c>
      <c r="M1050" s="656">
        <f t="shared" si="1040"/>
        <v>0</v>
      </c>
      <c r="N1050" s="657">
        <f>+IF(OR($Q1050=Parametres!$G$2,$Q1050=Parametres!$G$3),I1050,C1050)</f>
        <v>0</v>
      </c>
      <c r="O1050" s="657">
        <f>+IF(OR($Q1050=Parametres!$G$2,$Q1050=Parametres!$G$3),J1050,D1050)</f>
        <v>0</v>
      </c>
      <c r="P1050" s="657">
        <f>+IF(OR($Q1050=Parametres!$G$2,$Q1050=Parametres!$G$3),K1050,E1050)</f>
        <v>0</v>
      </c>
      <c r="Q1050" s="656">
        <f t="shared" ref="Q1050:S1050" si="1070">+F1050</f>
        <v>0</v>
      </c>
      <c r="R1050" s="655">
        <f t="shared" si="1070"/>
        <v>0</v>
      </c>
      <c r="S1050" s="656">
        <f t="shared" si="1070"/>
        <v>0</v>
      </c>
      <c r="T1050" s="658" t="e">
        <f>+VLOOKUP($L1050,Data_Validation!$A:$D,1,0)</f>
        <v>#N/A</v>
      </c>
      <c r="U1050" s="658" t="e">
        <f>+VLOOKUP($L1050,Data_Validation!$A:$D,3,0)</f>
        <v>#N/A</v>
      </c>
      <c r="V1050" s="658" t="e">
        <f>+VLOOKUP($L1050,Data_Validation!$A:$D,4,0)</f>
        <v>#N/A</v>
      </c>
      <c r="W1050" s="658" t="e">
        <f>+VLOOKUP($L1050,Data_Validation!$A:$E,5,0)</f>
        <v>#N/A</v>
      </c>
    </row>
    <row r="1051" spans="1:23" ht="15.75" customHeight="1">
      <c r="A1051" s="718"/>
      <c r="B1051" s="656"/>
      <c r="C1051" s="719"/>
      <c r="D1051" s="718"/>
      <c r="E1051" s="718"/>
      <c r="F1051" s="718"/>
      <c r="G1051" s="718"/>
      <c r="H1051" s="718"/>
      <c r="I1051" s="718"/>
      <c r="J1051" s="718"/>
      <c r="K1051" s="718"/>
      <c r="L1051" s="655" t="str">
        <f t="shared" si="1046"/>
        <v>0</v>
      </c>
      <c r="M1051" s="656">
        <f t="shared" si="1040"/>
        <v>0</v>
      </c>
      <c r="N1051" s="657">
        <f>+IF(OR($Q1051=Parametres!$G$2,$Q1051=Parametres!$G$3),I1051,C1051)</f>
        <v>0</v>
      </c>
      <c r="O1051" s="657">
        <f>+IF(OR($Q1051=Parametres!$G$2,$Q1051=Parametres!$G$3),J1051,D1051)</f>
        <v>0</v>
      </c>
      <c r="P1051" s="657">
        <f>+IF(OR($Q1051=Parametres!$G$2,$Q1051=Parametres!$G$3),K1051,E1051)</f>
        <v>0</v>
      </c>
      <c r="Q1051" s="656">
        <f t="shared" ref="Q1051:S1051" si="1071">+F1051</f>
        <v>0</v>
      </c>
      <c r="R1051" s="655">
        <f t="shared" si="1071"/>
        <v>0</v>
      </c>
      <c r="S1051" s="656">
        <f t="shared" si="1071"/>
        <v>0</v>
      </c>
      <c r="T1051" s="658" t="e">
        <f>+VLOOKUP($L1051,Data_Validation!$A:$D,1,0)</f>
        <v>#N/A</v>
      </c>
      <c r="U1051" s="658" t="e">
        <f>+VLOOKUP($L1051,Data_Validation!$A:$D,3,0)</f>
        <v>#N/A</v>
      </c>
      <c r="V1051" s="658" t="e">
        <f>+VLOOKUP($L1051,Data_Validation!$A:$D,4,0)</f>
        <v>#N/A</v>
      </c>
      <c r="W1051" s="658" t="e">
        <f>+VLOOKUP($L1051,Data_Validation!$A:$E,5,0)</f>
        <v>#N/A</v>
      </c>
    </row>
    <row r="1052" spans="1:23" ht="15.75" customHeight="1">
      <c r="A1052" s="718"/>
      <c r="B1052" s="656"/>
      <c r="C1052" s="719"/>
      <c r="D1052" s="718"/>
      <c r="E1052" s="718"/>
      <c r="F1052" s="718"/>
      <c r="G1052" s="718"/>
      <c r="H1052" s="718"/>
      <c r="I1052" s="718"/>
      <c r="J1052" s="718"/>
      <c r="K1052" s="718"/>
      <c r="L1052" s="655" t="str">
        <f t="shared" si="1046"/>
        <v>0</v>
      </c>
      <c r="M1052" s="656">
        <f t="shared" si="1040"/>
        <v>0</v>
      </c>
      <c r="N1052" s="657">
        <f>+IF(OR($Q1052=Parametres!$G$2,$Q1052=Parametres!$G$3),I1052,C1052)</f>
        <v>0</v>
      </c>
      <c r="O1052" s="657">
        <f>+IF(OR($Q1052=Parametres!$G$2,$Q1052=Parametres!$G$3),J1052,D1052)</f>
        <v>0</v>
      </c>
      <c r="P1052" s="657">
        <f>+IF(OR($Q1052=Parametres!$G$2,$Q1052=Parametres!$G$3),K1052,E1052)</f>
        <v>0</v>
      </c>
      <c r="Q1052" s="656">
        <f t="shared" ref="Q1052:S1052" si="1072">+F1052</f>
        <v>0</v>
      </c>
      <c r="R1052" s="655">
        <f t="shared" si="1072"/>
        <v>0</v>
      </c>
      <c r="S1052" s="656">
        <f t="shared" si="1072"/>
        <v>0</v>
      </c>
      <c r="T1052" s="658" t="e">
        <f>+VLOOKUP($L1052,Data_Validation!$A:$D,1,0)</f>
        <v>#N/A</v>
      </c>
      <c r="U1052" s="658" t="e">
        <f>+VLOOKUP($L1052,Data_Validation!$A:$D,3,0)</f>
        <v>#N/A</v>
      </c>
      <c r="V1052" s="658" t="e">
        <f>+VLOOKUP($L1052,Data_Validation!$A:$D,4,0)</f>
        <v>#N/A</v>
      </c>
      <c r="W1052" s="658" t="e">
        <f>+VLOOKUP($L1052,Data_Validation!$A:$E,5,0)</f>
        <v>#N/A</v>
      </c>
    </row>
    <row r="1053" spans="1:23" ht="15.75" customHeight="1">
      <c r="A1053" s="718"/>
      <c r="B1053" s="656"/>
      <c r="C1053" s="719"/>
      <c r="D1053" s="718"/>
      <c r="E1053" s="718"/>
      <c r="F1053" s="718"/>
      <c r="G1053" s="718"/>
      <c r="H1053" s="718"/>
      <c r="I1053" s="718"/>
      <c r="J1053" s="718"/>
      <c r="K1053" s="718"/>
      <c r="L1053" s="655" t="str">
        <f t="shared" si="1046"/>
        <v>0</v>
      </c>
      <c r="M1053" s="656">
        <f t="shared" si="1040"/>
        <v>0</v>
      </c>
      <c r="N1053" s="657">
        <f>+IF(OR($Q1053=Parametres!$G$2,$Q1053=Parametres!$G$3),I1053,C1053)</f>
        <v>0</v>
      </c>
      <c r="O1053" s="657">
        <f>+IF(OR($Q1053=Parametres!$G$2,$Q1053=Parametres!$G$3),J1053,D1053)</f>
        <v>0</v>
      </c>
      <c r="P1053" s="657">
        <f>+IF(OR($Q1053=Parametres!$G$2,$Q1053=Parametres!$G$3),K1053,E1053)</f>
        <v>0</v>
      </c>
      <c r="Q1053" s="656">
        <f t="shared" ref="Q1053:S1053" si="1073">+F1053</f>
        <v>0</v>
      </c>
      <c r="R1053" s="655">
        <f t="shared" si="1073"/>
        <v>0</v>
      </c>
      <c r="S1053" s="656">
        <f t="shared" si="1073"/>
        <v>0</v>
      </c>
      <c r="T1053" s="658" t="e">
        <f>+VLOOKUP($L1053,Data_Validation!$A:$D,1,0)</f>
        <v>#N/A</v>
      </c>
      <c r="U1053" s="658" t="e">
        <f>+VLOOKUP($L1053,Data_Validation!$A:$D,3,0)</f>
        <v>#N/A</v>
      </c>
      <c r="V1053" s="658" t="e">
        <f>+VLOOKUP($L1053,Data_Validation!$A:$D,4,0)</f>
        <v>#N/A</v>
      </c>
      <c r="W1053" s="658" t="e">
        <f>+VLOOKUP($L1053,Data_Validation!$A:$E,5,0)</f>
        <v>#N/A</v>
      </c>
    </row>
    <row r="1054" spans="1:23" ht="15.75" customHeight="1">
      <c r="A1054" s="718"/>
      <c r="B1054" s="656"/>
      <c r="C1054" s="719"/>
      <c r="D1054" s="718"/>
      <c r="E1054" s="718"/>
      <c r="F1054" s="718"/>
      <c r="G1054" s="718"/>
      <c r="H1054" s="718"/>
      <c r="I1054" s="718"/>
      <c r="J1054" s="718"/>
      <c r="K1054" s="718"/>
      <c r="L1054" s="655" t="str">
        <f t="shared" si="1046"/>
        <v>0</v>
      </c>
      <c r="M1054" s="656">
        <f t="shared" si="1040"/>
        <v>0</v>
      </c>
      <c r="N1054" s="657">
        <f>+IF(OR($Q1054=Parametres!$G$2,$Q1054=Parametres!$G$3),I1054,C1054)</f>
        <v>0</v>
      </c>
      <c r="O1054" s="657">
        <f>+IF(OR($Q1054=Parametres!$G$2,$Q1054=Parametres!$G$3),J1054,D1054)</f>
        <v>0</v>
      </c>
      <c r="P1054" s="657">
        <f>+IF(OR($Q1054=Parametres!$G$2,$Q1054=Parametres!$G$3),K1054,E1054)</f>
        <v>0</v>
      </c>
      <c r="Q1054" s="656">
        <f t="shared" ref="Q1054:S1054" si="1074">+F1054</f>
        <v>0</v>
      </c>
      <c r="R1054" s="655">
        <f t="shared" si="1074"/>
        <v>0</v>
      </c>
      <c r="S1054" s="656">
        <f t="shared" si="1074"/>
        <v>0</v>
      </c>
      <c r="T1054" s="658" t="e">
        <f>+VLOOKUP($L1054,Data_Validation!$A:$D,1,0)</f>
        <v>#N/A</v>
      </c>
      <c r="U1054" s="658" t="e">
        <f>+VLOOKUP($L1054,Data_Validation!$A:$D,3,0)</f>
        <v>#N/A</v>
      </c>
      <c r="V1054" s="658" t="e">
        <f>+VLOOKUP($L1054,Data_Validation!$A:$D,4,0)</f>
        <v>#N/A</v>
      </c>
      <c r="W1054" s="658" t="e">
        <f>+VLOOKUP($L1054,Data_Validation!$A:$E,5,0)</f>
        <v>#N/A</v>
      </c>
    </row>
    <row r="1055" spans="1:23" ht="15.75" customHeight="1">
      <c r="A1055" s="718"/>
      <c r="B1055" s="656"/>
      <c r="C1055" s="719"/>
      <c r="D1055" s="718"/>
      <c r="E1055" s="718"/>
      <c r="F1055" s="718"/>
      <c r="G1055" s="718"/>
      <c r="H1055" s="718"/>
      <c r="I1055" s="718"/>
      <c r="J1055" s="718"/>
      <c r="K1055" s="718"/>
      <c r="L1055" s="655" t="str">
        <f t="shared" si="1046"/>
        <v>0</v>
      </c>
      <c r="M1055" s="656">
        <f t="shared" si="1040"/>
        <v>0</v>
      </c>
      <c r="N1055" s="657">
        <f>+IF(OR($Q1055=Parametres!$G$2,$Q1055=Parametres!$G$3),I1055,C1055)</f>
        <v>0</v>
      </c>
      <c r="O1055" s="657">
        <f>+IF(OR($Q1055=Parametres!$G$2,$Q1055=Parametres!$G$3),J1055,D1055)</f>
        <v>0</v>
      </c>
      <c r="P1055" s="657">
        <f>+IF(OR($Q1055=Parametres!$G$2,$Q1055=Parametres!$G$3),K1055,E1055)</f>
        <v>0</v>
      </c>
      <c r="Q1055" s="656">
        <f t="shared" ref="Q1055:S1055" si="1075">+F1055</f>
        <v>0</v>
      </c>
      <c r="R1055" s="655">
        <f t="shared" si="1075"/>
        <v>0</v>
      </c>
      <c r="S1055" s="656">
        <f t="shared" si="1075"/>
        <v>0</v>
      </c>
      <c r="T1055" s="658" t="e">
        <f>+VLOOKUP($L1055,Data_Validation!$A:$D,1,0)</f>
        <v>#N/A</v>
      </c>
      <c r="U1055" s="658" t="e">
        <f>+VLOOKUP($L1055,Data_Validation!$A:$D,3,0)</f>
        <v>#N/A</v>
      </c>
      <c r="V1055" s="658" t="e">
        <f>+VLOOKUP($L1055,Data_Validation!$A:$D,4,0)</f>
        <v>#N/A</v>
      </c>
      <c r="W1055" s="658" t="e">
        <f>+VLOOKUP($L1055,Data_Validation!$A:$E,5,0)</f>
        <v>#N/A</v>
      </c>
    </row>
    <row r="1056" spans="1:23" ht="15.75" customHeight="1">
      <c r="O1056" s="675"/>
    </row>
    <row r="1057" spans="2:15" ht="15.75" customHeight="1">
      <c r="O1057" s="675"/>
    </row>
    <row r="1058" spans="2:15" ht="15.75" customHeight="1">
      <c r="O1058" s="675"/>
    </row>
    <row r="1059" spans="2:15" ht="15.75" customHeight="1">
      <c r="O1059" s="675"/>
    </row>
    <row r="1060" spans="2:15" ht="15.75" customHeight="1">
      <c r="O1060" s="675"/>
    </row>
    <row r="1061" spans="2:15" ht="15.75" customHeight="1">
      <c r="O1061" s="675"/>
    </row>
    <row r="1062" spans="2:15" ht="15.75" customHeight="1">
      <c r="O1062" s="675"/>
    </row>
    <row r="1063" spans="2:15" ht="15.75" customHeight="1">
      <c r="O1063" s="675"/>
    </row>
    <row r="1064" spans="2:15" ht="15.75" customHeight="1">
      <c r="O1064" s="675"/>
    </row>
    <row r="1065" spans="2:15" ht="15.75" customHeight="1">
      <c r="O1065" s="675"/>
    </row>
    <row r="1066" spans="2:15" ht="15" customHeight="1">
      <c r="B1066" s="5"/>
      <c r="C1066" s="5"/>
      <c r="O1066" s="675"/>
    </row>
    <row r="1067" spans="2:15" ht="15" customHeight="1">
      <c r="B1067" s="5"/>
      <c r="O1067" s="675"/>
    </row>
    <row r="1068" spans="2:15" ht="15" customHeight="1">
      <c r="B1068" s="5"/>
      <c r="C1068" s="5"/>
      <c r="D1068" s="5"/>
      <c r="E1068" s="5"/>
      <c r="F1068" s="5"/>
      <c r="O1068" s="675"/>
    </row>
    <row r="1069" spans="2:15" ht="15" customHeight="1">
      <c r="B1069" s="5"/>
      <c r="O1069" s="675"/>
    </row>
    <row r="1070" spans="2:15" ht="15" customHeight="1">
      <c r="B1070" s="5"/>
      <c r="C1070" s="5"/>
      <c r="D1070" s="5"/>
      <c r="E1070" s="5"/>
      <c r="F1070" s="5"/>
      <c r="O1070" s="675"/>
    </row>
    <row r="1071" spans="2:15" ht="15" customHeight="1">
      <c r="B1071" s="5"/>
      <c r="O1071" s="675"/>
    </row>
    <row r="1072" spans="2:15" ht="15" customHeight="1">
      <c r="B1072" s="5"/>
      <c r="C1072" s="5"/>
      <c r="D1072" s="5"/>
      <c r="E1072" s="5"/>
      <c r="F1072" s="5"/>
      <c r="O1072" s="675"/>
    </row>
    <row r="1073" spans="2:15" ht="15" customHeight="1">
      <c r="B1073" s="5"/>
      <c r="O1073" s="675"/>
    </row>
    <row r="1074" spans="2:15" ht="15" customHeight="1">
      <c r="B1074" s="5"/>
      <c r="C1074" s="5"/>
      <c r="D1074" s="5"/>
      <c r="E1074" s="5"/>
      <c r="F1074" s="5"/>
      <c r="O1074" s="675"/>
    </row>
    <row r="1075" spans="2:15" ht="15" customHeight="1">
      <c r="B1075" s="5"/>
      <c r="O1075" s="675"/>
    </row>
    <row r="1076" spans="2:15" ht="15" customHeight="1">
      <c r="B1076" s="5"/>
      <c r="C1076" s="5"/>
      <c r="D1076" s="5"/>
      <c r="E1076" s="5"/>
      <c r="F1076" s="5"/>
      <c r="O1076" s="675"/>
    </row>
    <row r="1077" spans="2:15" ht="15" customHeight="1">
      <c r="B1077" s="5"/>
      <c r="O1077" s="675"/>
    </row>
    <row r="1078" spans="2:15" ht="15" customHeight="1">
      <c r="B1078" s="5"/>
      <c r="C1078" s="5"/>
      <c r="D1078" s="5"/>
      <c r="E1078" s="5"/>
      <c r="F1078" s="5"/>
      <c r="O1078" s="675"/>
    </row>
    <row r="1079" spans="2:15" ht="15" customHeight="1">
      <c r="B1079" s="5"/>
      <c r="O1079" s="675"/>
    </row>
    <row r="1080" spans="2:15" ht="15" customHeight="1">
      <c r="B1080" s="5"/>
      <c r="C1080" s="5"/>
      <c r="D1080" s="5"/>
      <c r="E1080" s="5"/>
      <c r="F1080" s="5"/>
      <c r="O1080" s="675"/>
    </row>
    <row r="1081" spans="2:15" ht="15" customHeight="1">
      <c r="B1081" s="5"/>
      <c r="O1081" s="675"/>
    </row>
    <row r="1082" spans="2:15" ht="15" customHeight="1">
      <c r="B1082" s="5"/>
      <c r="C1082" s="5"/>
      <c r="D1082" s="5"/>
      <c r="O1082" s="675"/>
    </row>
    <row r="1083" spans="2:15" ht="15" customHeight="1">
      <c r="B1083" s="5"/>
      <c r="O1083" s="675"/>
    </row>
    <row r="1084" spans="2:15" ht="15" customHeight="1">
      <c r="B1084" s="5"/>
      <c r="C1084" s="5"/>
      <c r="D1084" s="5"/>
      <c r="E1084" s="5"/>
      <c r="F1084" s="5"/>
      <c r="O1084" s="675"/>
    </row>
    <row r="1085" spans="2:15" ht="15" customHeight="1">
      <c r="B1085" s="5"/>
      <c r="O1085" s="675"/>
    </row>
    <row r="1086" spans="2:15" ht="15" customHeight="1">
      <c r="C1086" s="5"/>
      <c r="D1086" s="5"/>
      <c r="O1086" s="675"/>
    </row>
    <row r="1087" spans="2:15" ht="15" customHeight="1">
      <c r="E1087" s="5"/>
      <c r="F1087" s="5"/>
      <c r="O1087" s="675"/>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6" t="s">
        <v>1319</v>
      </c>
      <c r="B1" s="676" t="s">
        <v>251</v>
      </c>
      <c r="C1" s="676" t="s">
        <v>1320</v>
      </c>
      <c r="D1" s="676" t="s">
        <v>720</v>
      </c>
    </row>
    <row r="2" spans="1:8" ht="14.25" customHeight="1">
      <c r="A2" s="691" t="s">
        <v>1438</v>
      </c>
      <c r="B2" s="680" t="s">
        <v>1439</v>
      </c>
      <c r="C2" s="681" t="s">
        <v>92</v>
      </c>
      <c r="D2" s="681" t="s">
        <v>46</v>
      </c>
      <c r="G2" s="652" t="s">
        <v>722</v>
      </c>
      <c r="H2" s="652" t="s">
        <v>1440</v>
      </c>
    </row>
    <row r="3" spans="1:8" ht="14.25" customHeight="1">
      <c r="A3" s="691" t="s">
        <v>1441</v>
      </c>
      <c r="B3" s="680" t="s">
        <v>1442</v>
      </c>
      <c r="C3" s="681" t="s">
        <v>152</v>
      </c>
      <c r="D3" s="681" t="s">
        <v>48</v>
      </c>
      <c r="G3" s="652" t="s">
        <v>731</v>
      </c>
      <c r="H3" s="652" t="s">
        <v>1443</v>
      </c>
    </row>
    <row r="4" spans="1:8" ht="14.25" customHeight="1">
      <c r="A4" s="691" t="s">
        <v>1444</v>
      </c>
      <c r="B4" s="680" t="s">
        <v>1445</v>
      </c>
      <c r="C4" s="681" t="s">
        <v>92</v>
      </c>
      <c r="D4" s="681" t="s">
        <v>46</v>
      </c>
      <c r="G4" s="652" t="s">
        <v>732</v>
      </c>
      <c r="H4" s="652" t="s">
        <v>1446</v>
      </c>
    </row>
    <row r="5" spans="1:8" ht="14.25" customHeight="1">
      <c r="A5" s="691" t="s">
        <v>1447</v>
      </c>
      <c r="B5" s="680" t="s">
        <v>1448</v>
      </c>
      <c r="C5" s="681" t="s">
        <v>152</v>
      </c>
      <c r="D5" s="681" t="s">
        <v>48</v>
      </c>
      <c r="G5" s="652" t="s">
        <v>817</v>
      </c>
      <c r="H5" s="652" t="s">
        <v>819</v>
      </c>
    </row>
    <row r="6" spans="1:8" ht="14.25" customHeight="1">
      <c r="A6" s="691" t="s">
        <v>1449</v>
      </c>
      <c r="B6" s="680" t="s">
        <v>1450</v>
      </c>
      <c r="C6" s="681" t="s">
        <v>92</v>
      </c>
      <c r="D6" s="681" t="s">
        <v>46</v>
      </c>
      <c r="G6" s="652" t="s">
        <v>1344</v>
      </c>
      <c r="H6" s="652" t="s">
        <v>1451</v>
      </c>
    </row>
    <row r="7" spans="1:8" ht="14.25" customHeight="1">
      <c r="A7" s="691" t="s">
        <v>1452</v>
      </c>
      <c r="B7" s="680" t="s">
        <v>1453</v>
      </c>
      <c r="C7" s="681" t="s">
        <v>152</v>
      </c>
      <c r="D7" s="681" t="s">
        <v>48</v>
      </c>
      <c r="G7" s="652" t="s">
        <v>822</v>
      </c>
      <c r="H7" s="652" t="s">
        <v>1454</v>
      </c>
    </row>
    <row r="8" spans="1:8" ht="14.25" customHeight="1">
      <c r="A8" s="691" t="s">
        <v>1455</v>
      </c>
      <c r="B8" s="680" t="s">
        <v>1456</v>
      </c>
      <c r="C8" s="681" t="s">
        <v>92</v>
      </c>
      <c r="D8" s="681" t="s">
        <v>46</v>
      </c>
      <c r="G8" s="652" t="s">
        <v>824</v>
      </c>
      <c r="H8" s="652" t="s">
        <v>825</v>
      </c>
    </row>
    <row r="9" spans="1:8" ht="14.25" customHeight="1">
      <c r="A9" s="691" t="s">
        <v>1457</v>
      </c>
      <c r="B9" s="680" t="s">
        <v>1458</v>
      </c>
      <c r="C9" s="681" t="s">
        <v>152</v>
      </c>
      <c r="D9" s="681" t="s">
        <v>48</v>
      </c>
      <c r="G9" s="652" t="s">
        <v>826</v>
      </c>
      <c r="H9" s="652" t="s">
        <v>827</v>
      </c>
    </row>
    <row r="10" spans="1:8" ht="14.25" customHeight="1">
      <c r="A10" s="691" t="s">
        <v>1459</v>
      </c>
      <c r="B10" s="680" t="s">
        <v>1460</v>
      </c>
      <c r="C10" s="681" t="s">
        <v>92</v>
      </c>
      <c r="D10" s="681" t="s">
        <v>46</v>
      </c>
      <c r="G10" s="652" t="s">
        <v>828</v>
      </c>
      <c r="H10" s="652" t="s">
        <v>1461</v>
      </c>
    </row>
    <row r="11" spans="1:8" ht="14.25" customHeight="1">
      <c r="A11" s="691" t="s">
        <v>1462</v>
      </c>
      <c r="B11" s="680" t="s">
        <v>1463</v>
      </c>
      <c r="C11" s="681" t="s">
        <v>152</v>
      </c>
      <c r="D11" s="681" t="s">
        <v>48</v>
      </c>
      <c r="G11" s="652" t="s">
        <v>829</v>
      </c>
      <c r="H11" s="652" t="s">
        <v>830</v>
      </c>
    </row>
    <row r="12" spans="1:8" ht="14.25" customHeight="1">
      <c r="A12" s="691" t="s">
        <v>1464</v>
      </c>
      <c r="B12" s="680" t="s">
        <v>1465</v>
      </c>
      <c r="C12" s="681" t="s">
        <v>92</v>
      </c>
      <c r="D12" s="681" t="s">
        <v>46</v>
      </c>
      <c r="G12" s="652" t="s">
        <v>831</v>
      </c>
      <c r="H12" s="652" t="s">
        <v>1466</v>
      </c>
    </row>
    <row r="13" spans="1:8" ht="14.25" customHeight="1">
      <c r="A13" s="691" t="s">
        <v>1467</v>
      </c>
      <c r="B13" s="680" t="s">
        <v>1468</v>
      </c>
      <c r="C13" s="681" t="s">
        <v>152</v>
      </c>
      <c r="D13" s="681" t="s">
        <v>48</v>
      </c>
      <c r="G13" s="652" t="s">
        <v>834</v>
      </c>
      <c r="H13" s="652" t="s">
        <v>1469</v>
      </c>
    </row>
    <row r="14" spans="1:8" ht="14.25" customHeight="1">
      <c r="A14" s="691" t="s">
        <v>1470</v>
      </c>
      <c r="B14" s="680" t="s">
        <v>1471</v>
      </c>
      <c r="C14" s="681" t="s">
        <v>92</v>
      </c>
      <c r="D14" s="681" t="s">
        <v>46</v>
      </c>
      <c r="G14" s="652" t="s">
        <v>836</v>
      </c>
      <c r="H14" s="652" t="s">
        <v>837</v>
      </c>
    </row>
    <row r="15" spans="1:8" ht="14.25" customHeight="1">
      <c r="A15" s="691" t="s">
        <v>1472</v>
      </c>
      <c r="B15" s="680" t="s">
        <v>1473</v>
      </c>
      <c r="C15" s="681" t="s">
        <v>152</v>
      </c>
      <c r="D15" s="681" t="s">
        <v>48</v>
      </c>
      <c r="G15" s="652" t="s">
        <v>838</v>
      </c>
      <c r="H15" s="652" t="s">
        <v>1474</v>
      </c>
    </row>
    <row r="16" spans="1:8" ht="14.25" customHeight="1">
      <c r="A16" s="691" t="s">
        <v>1475</v>
      </c>
      <c r="B16" s="680" t="s">
        <v>1476</v>
      </c>
      <c r="C16" s="681" t="s">
        <v>92</v>
      </c>
      <c r="D16" s="681" t="s">
        <v>46</v>
      </c>
      <c r="G16" s="652" t="s">
        <v>839</v>
      </c>
      <c r="H16" s="652" t="s">
        <v>1477</v>
      </c>
    </row>
    <row r="17" spans="1:8" ht="14.25" customHeight="1">
      <c r="A17" s="691" t="s">
        <v>1478</v>
      </c>
      <c r="B17" s="680" t="s">
        <v>1479</v>
      </c>
      <c r="C17" s="681" t="s">
        <v>152</v>
      </c>
      <c r="D17" s="681" t="s">
        <v>48</v>
      </c>
      <c r="G17" s="652" t="s">
        <v>1348</v>
      </c>
      <c r="H17" s="652" t="s">
        <v>1480</v>
      </c>
    </row>
    <row r="18" spans="1:8" ht="14.25" customHeight="1">
      <c r="A18" s="691" t="s">
        <v>1481</v>
      </c>
      <c r="B18" s="680" t="s">
        <v>1482</v>
      </c>
      <c r="C18" s="681" t="s">
        <v>1323</v>
      </c>
      <c r="D18" s="681"/>
      <c r="G18" s="652" t="s">
        <v>1349</v>
      </c>
      <c r="H18" s="652" t="s">
        <v>1431</v>
      </c>
    </row>
    <row r="19" spans="1:8" ht="14.25" customHeight="1">
      <c r="A19" s="691" t="s">
        <v>1483</v>
      </c>
      <c r="B19" s="680" t="s">
        <v>1484</v>
      </c>
      <c r="C19" s="681" t="s">
        <v>1323</v>
      </c>
      <c r="D19" s="681"/>
      <c r="G19" s="652" t="s">
        <v>842</v>
      </c>
      <c r="H19" s="652" t="s">
        <v>843</v>
      </c>
    </row>
    <row r="20" spans="1:8" ht="14.25" customHeight="1">
      <c r="A20" s="691" t="s">
        <v>1485</v>
      </c>
      <c r="B20" s="680" t="s">
        <v>1486</v>
      </c>
      <c r="C20" s="681" t="s">
        <v>1323</v>
      </c>
      <c r="D20" s="681"/>
      <c r="G20" s="652" t="s">
        <v>844</v>
      </c>
      <c r="H20" s="652" t="s">
        <v>845</v>
      </c>
    </row>
    <row r="21" spans="1:8" ht="14.25" customHeight="1">
      <c r="A21" s="691" t="s">
        <v>1487</v>
      </c>
      <c r="B21" s="680" t="s">
        <v>1488</v>
      </c>
      <c r="C21" s="681" t="s">
        <v>1323</v>
      </c>
      <c r="D21" s="681"/>
      <c r="G21" s="652" t="s">
        <v>846</v>
      </c>
      <c r="H21" s="652" t="s">
        <v>1489</v>
      </c>
    </row>
    <row r="22" spans="1:8" ht="14.25" customHeight="1">
      <c r="A22" s="691" t="s">
        <v>1490</v>
      </c>
      <c r="B22" s="680" t="s">
        <v>1491</v>
      </c>
      <c r="C22" s="681" t="s">
        <v>1323</v>
      </c>
      <c r="D22" s="681"/>
      <c r="G22" s="652" t="s">
        <v>847</v>
      </c>
      <c r="H22" s="652" t="s">
        <v>848</v>
      </c>
    </row>
    <row r="23" spans="1:8" ht="14.25" customHeight="1">
      <c r="A23" s="691" t="s">
        <v>1492</v>
      </c>
      <c r="B23" s="680" t="s">
        <v>1493</v>
      </c>
      <c r="C23" s="681" t="s">
        <v>1323</v>
      </c>
      <c r="D23" s="681"/>
      <c r="G23" s="652" t="s">
        <v>849</v>
      </c>
      <c r="H23" s="652" t="s">
        <v>850</v>
      </c>
    </row>
    <row r="24" spans="1:8" ht="14.25" customHeight="1">
      <c r="A24" s="691" t="s">
        <v>1494</v>
      </c>
      <c r="B24" s="680" t="s">
        <v>1495</v>
      </c>
      <c r="C24" s="681" t="s">
        <v>1323</v>
      </c>
      <c r="D24" s="681"/>
      <c r="G24" s="652" t="s">
        <v>851</v>
      </c>
      <c r="H24" s="652" t="s">
        <v>852</v>
      </c>
    </row>
    <row r="25" spans="1:8" ht="14.25" customHeight="1">
      <c r="A25" s="691" t="s">
        <v>1496</v>
      </c>
      <c r="B25" s="680" t="s">
        <v>1497</v>
      </c>
      <c r="C25" s="681" t="s">
        <v>1323</v>
      </c>
      <c r="D25" s="681"/>
      <c r="G25" s="652" t="s">
        <v>857</v>
      </c>
      <c r="H25" s="652" t="s">
        <v>858</v>
      </c>
    </row>
    <row r="26" spans="1:8" ht="14.25" customHeight="1">
      <c r="A26" s="691" t="s">
        <v>1498</v>
      </c>
      <c r="B26" s="680" t="s">
        <v>1499</v>
      </c>
      <c r="C26" s="681" t="s">
        <v>1323</v>
      </c>
      <c r="D26" s="681"/>
      <c r="G26" s="652" t="s">
        <v>860</v>
      </c>
      <c r="H26" s="652" t="s">
        <v>1500</v>
      </c>
    </row>
    <row r="27" spans="1:8" ht="14.25" customHeight="1">
      <c r="A27" s="691" t="s">
        <v>1501</v>
      </c>
      <c r="B27" s="680" t="s">
        <v>1502</v>
      </c>
      <c r="C27" s="681" t="s">
        <v>1323</v>
      </c>
      <c r="D27" s="681"/>
      <c r="G27" s="652" t="s">
        <v>861</v>
      </c>
      <c r="H27" s="652" t="s">
        <v>862</v>
      </c>
    </row>
    <row r="28" spans="1:8" ht="14.25" customHeight="1">
      <c r="A28" s="691" t="s">
        <v>1503</v>
      </c>
      <c r="B28" s="680" t="s">
        <v>1504</v>
      </c>
      <c r="C28" s="681" t="s">
        <v>1323</v>
      </c>
      <c r="D28" s="681"/>
      <c r="G28" s="652" t="s">
        <v>863</v>
      </c>
      <c r="H28" s="652" t="s">
        <v>864</v>
      </c>
    </row>
    <row r="29" spans="1:8" ht="14.25" customHeight="1">
      <c r="A29" s="691" t="s">
        <v>1505</v>
      </c>
      <c r="B29" s="680" t="s">
        <v>1506</v>
      </c>
      <c r="C29" s="681" t="s">
        <v>1323</v>
      </c>
      <c r="D29" s="681"/>
      <c r="G29" s="652" t="s">
        <v>865</v>
      </c>
      <c r="H29" s="652" t="s">
        <v>1507</v>
      </c>
    </row>
    <row r="30" spans="1:8" ht="14.25" customHeight="1">
      <c r="A30" s="691" t="s">
        <v>1508</v>
      </c>
      <c r="B30" s="680" t="s">
        <v>1509</v>
      </c>
      <c r="C30" s="681" t="s">
        <v>1323</v>
      </c>
      <c r="D30" s="681"/>
      <c r="G30" s="652" t="s">
        <v>866</v>
      </c>
      <c r="H30" s="652" t="s">
        <v>1510</v>
      </c>
    </row>
    <row r="31" spans="1:8" ht="14.25" customHeight="1">
      <c r="A31" s="691" t="s">
        <v>1511</v>
      </c>
      <c r="B31" s="680" t="s">
        <v>1512</v>
      </c>
      <c r="C31" s="681" t="s">
        <v>1323</v>
      </c>
      <c r="D31" s="681"/>
      <c r="G31" s="652" t="s">
        <v>867</v>
      </c>
      <c r="H31" s="652" t="s">
        <v>868</v>
      </c>
    </row>
    <row r="32" spans="1:8" ht="14.25" customHeight="1">
      <c r="A32" s="691" t="s">
        <v>1513</v>
      </c>
      <c r="B32" s="680" t="s">
        <v>1514</v>
      </c>
      <c r="C32" s="681" t="s">
        <v>1323</v>
      </c>
      <c r="D32" s="681"/>
      <c r="G32" s="652" t="s">
        <v>869</v>
      </c>
      <c r="H32" s="652" t="s">
        <v>1515</v>
      </c>
    </row>
    <row r="33" spans="1:8" ht="14.25" customHeight="1">
      <c r="A33" s="691" t="s">
        <v>1516</v>
      </c>
      <c r="B33" s="680" t="s">
        <v>1517</v>
      </c>
      <c r="C33" s="681" t="s">
        <v>1323</v>
      </c>
      <c r="D33" s="681"/>
      <c r="G33" s="652" t="s">
        <v>871</v>
      </c>
      <c r="H33" s="652" t="s">
        <v>1518</v>
      </c>
    </row>
    <row r="34" spans="1:8" ht="14.25" customHeight="1">
      <c r="A34" s="690" t="s">
        <v>1519</v>
      </c>
      <c r="B34" s="690" t="s">
        <v>1520</v>
      </c>
      <c r="C34" s="681" t="s">
        <v>1327</v>
      </c>
      <c r="D34" s="681"/>
      <c r="G34" s="652" t="s">
        <v>872</v>
      </c>
      <c r="H34" s="652" t="s">
        <v>1521</v>
      </c>
    </row>
    <row r="35" spans="1:8" ht="14.25" customHeight="1">
      <c r="A35" s="690" t="s">
        <v>1522</v>
      </c>
      <c r="B35" s="690" t="s">
        <v>1523</v>
      </c>
      <c r="C35" s="681" t="s">
        <v>1327</v>
      </c>
      <c r="D35" s="681"/>
      <c r="G35" s="652" t="s">
        <v>1353</v>
      </c>
      <c r="H35" s="652" t="s">
        <v>1524</v>
      </c>
    </row>
    <row r="36" spans="1:8" ht="14.25" customHeight="1">
      <c r="A36" s="690" t="s">
        <v>1525</v>
      </c>
      <c r="B36" s="690" t="s">
        <v>1526</v>
      </c>
      <c r="C36" s="681" t="s">
        <v>1327</v>
      </c>
      <c r="D36" s="681"/>
      <c r="G36" s="652" t="s">
        <v>873</v>
      </c>
      <c r="H36" s="652" t="s">
        <v>1527</v>
      </c>
    </row>
    <row r="37" spans="1:8" ht="14.25" customHeight="1">
      <c r="A37" s="691" t="s">
        <v>1528</v>
      </c>
      <c r="B37" s="680" t="s">
        <v>1529</v>
      </c>
      <c r="C37" s="681" t="s">
        <v>1327</v>
      </c>
      <c r="D37" s="681"/>
      <c r="G37" s="652" t="s">
        <v>874</v>
      </c>
      <c r="H37" s="652" t="s">
        <v>1530</v>
      </c>
    </row>
    <row r="38" spans="1:8" ht="14.25" customHeight="1">
      <c r="A38" s="691" t="s">
        <v>1531</v>
      </c>
      <c r="B38" s="680" t="s">
        <v>1532</v>
      </c>
      <c r="C38" s="681" t="s">
        <v>1327</v>
      </c>
      <c r="D38" s="681"/>
      <c r="G38" s="652" t="s">
        <v>1354</v>
      </c>
      <c r="H38" s="652" t="s">
        <v>1533</v>
      </c>
    </row>
    <row r="39" spans="1:8" ht="14.25" customHeight="1">
      <c r="A39" s="691" t="s">
        <v>1534</v>
      </c>
      <c r="B39" s="680" t="s">
        <v>1535</v>
      </c>
      <c r="C39" s="681" t="s">
        <v>1327</v>
      </c>
      <c r="D39" s="681"/>
      <c r="G39" s="652" t="s">
        <v>1356</v>
      </c>
      <c r="H39" s="652" t="s">
        <v>1536</v>
      </c>
    </row>
    <row r="40" spans="1:8" ht="14.25" customHeight="1">
      <c r="A40" s="691" t="s">
        <v>1537</v>
      </c>
      <c r="B40" s="680" t="s">
        <v>1538</v>
      </c>
      <c r="C40" s="681" t="s">
        <v>1327</v>
      </c>
      <c r="D40" s="681"/>
      <c r="G40" s="652" t="s">
        <v>1357</v>
      </c>
      <c r="H40" s="652" t="s">
        <v>1539</v>
      </c>
    </row>
    <row r="41" spans="1:8" ht="14.25" customHeight="1">
      <c r="A41" s="691" t="s">
        <v>1540</v>
      </c>
      <c r="B41" s="680" t="s">
        <v>1541</v>
      </c>
      <c r="C41" s="681" t="s">
        <v>1327</v>
      </c>
      <c r="D41" s="681"/>
      <c r="G41" s="652" t="s">
        <v>875</v>
      </c>
      <c r="H41" s="652" t="s">
        <v>1542</v>
      </c>
    </row>
    <row r="42" spans="1:8" ht="14.25" customHeight="1">
      <c r="A42" s="691" t="s">
        <v>1543</v>
      </c>
      <c r="B42" s="680" t="s">
        <v>1544</v>
      </c>
      <c r="C42" s="681" t="s">
        <v>161</v>
      </c>
      <c r="D42" s="681"/>
      <c r="G42" s="652" t="s">
        <v>876</v>
      </c>
      <c r="H42" s="652" t="s">
        <v>1545</v>
      </c>
    </row>
    <row r="43" spans="1:8" ht="14.25" customHeight="1">
      <c r="A43" s="691" t="s">
        <v>1546</v>
      </c>
      <c r="B43" s="680" t="s">
        <v>1547</v>
      </c>
      <c r="C43" s="681" t="s">
        <v>161</v>
      </c>
      <c r="D43" s="681"/>
      <c r="G43" s="652" t="s">
        <v>1358</v>
      </c>
      <c r="H43" s="652" t="s">
        <v>1548</v>
      </c>
    </row>
    <row r="44" spans="1:8" ht="14.25" customHeight="1">
      <c r="A44" s="691" t="s">
        <v>1549</v>
      </c>
      <c r="B44" s="680" t="s">
        <v>1550</v>
      </c>
      <c r="C44" s="681" t="s">
        <v>161</v>
      </c>
      <c r="D44" s="681"/>
      <c r="G44" s="652" t="s">
        <v>1359</v>
      </c>
      <c r="H44" s="652" t="s">
        <v>1551</v>
      </c>
    </row>
    <row r="45" spans="1:8" ht="14.25" customHeight="1">
      <c r="A45" s="691" t="s">
        <v>1552</v>
      </c>
      <c r="B45" s="680" t="s">
        <v>1553</v>
      </c>
      <c r="C45" s="681" t="s">
        <v>1327</v>
      </c>
      <c r="D45" s="681" t="s">
        <v>164</v>
      </c>
      <c r="G45" s="652" t="s">
        <v>877</v>
      </c>
      <c r="H45" s="652" t="s">
        <v>1554</v>
      </c>
    </row>
    <row r="46" spans="1:8" ht="14.25" customHeight="1">
      <c r="A46" s="691" t="s">
        <v>1555</v>
      </c>
      <c r="B46" s="680" t="s">
        <v>1556</v>
      </c>
      <c r="C46" s="681" t="s">
        <v>1327</v>
      </c>
      <c r="D46" s="681" t="s">
        <v>166</v>
      </c>
      <c r="G46" s="652" t="s">
        <v>878</v>
      </c>
      <c r="H46" s="652" t="s">
        <v>1557</v>
      </c>
    </row>
    <row r="47" spans="1:8" ht="14.25" customHeight="1">
      <c r="A47" s="691" t="s">
        <v>1558</v>
      </c>
      <c r="B47" s="680" t="s">
        <v>1559</v>
      </c>
      <c r="C47" s="681" t="s">
        <v>161</v>
      </c>
      <c r="D47" s="681" t="s">
        <v>167</v>
      </c>
      <c r="G47" s="652" t="s">
        <v>879</v>
      </c>
      <c r="H47" s="652" t="s">
        <v>1560</v>
      </c>
    </row>
    <row r="48" spans="1:8" ht="14.25" customHeight="1">
      <c r="A48" s="691" t="s">
        <v>1561</v>
      </c>
      <c r="B48" s="680" t="s">
        <v>1562</v>
      </c>
      <c r="C48" s="681" t="s">
        <v>176</v>
      </c>
      <c r="D48" s="681" t="s">
        <v>178</v>
      </c>
      <c r="G48" s="652" t="s">
        <v>880</v>
      </c>
      <c r="H48" s="652" t="s">
        <v>1563</v>
      </c>
    </row>
    <row r="49" spans="1:8" ht="14.25" customHeight="1">
      <c r="A49" s="691" t="s">
        <v>1564</v>
      </c>
      <c r="B49" s="680" t="s">
        <v>1565</v>
      </c>
      <c r="C49" s="681" t="s">
        <v>161</v>
      </c>
      <c r="D49" s="681"/>
      <c r="G49" s="652" t="s">
        <v>882</v>
      </c>
      <c r="H49" s="652" t="s">
        <v>1566</v>
      </c>
    </row>
    <row r="50" spans="1:8" ht="14.25" customHeight="1">
      <c r="A50" s="691" t="s">
        <v>1567</v>
      </c>
      <c r="B50" s="680" t="s">
        <v>1568</v>
      </c>
      <c r="C50" s="681" t="s">
        <v>1327</v>
      </c>
      <c r="D50" s="681"/>
      <c r="G50" s="652" t="s">
        <v>1360</v>
      </c>
      <c r="H50" s="652" t="s">
        <v>1569</v>
      </c>
    </row>
    <row r="51" spans="1:8" ht="14.25" customHeight="1">
      <c r="A51" s="691" t="s">
        <v>1570</v>
      </c>
      <c r="B51" s="680" t="s">
        <v>1571</v>
      </c>
      <c r="C51" s="681" t="s">
        <v>1323</v>
      </c>
      <c r="D51" s="681"/>
      <c r="G51" s="652" t="s">
        <v>883</v>
      </c>
      <c r="H51" s="652" t="s">
        <v>1572</v>
      </c>
    </row>
    <row r="52" spans="1:8" ht="14.25" customHeight="1">
      <c r="A52" s="691" t="s">
        <v>1573</v>
      </c>
      <c r="B52" s="680" t="s">
        <v>1574</v>
      </c>
      <c r="C52" s="681" t="s">
        <v>1323</v>
      </c>
      <c r="D52" s="681"/>
      <c r="G52" s="652" t="s">
        <v>885</v>
      </c>
      <c r="H52" s="652" t="s">
        <v>1575</v>
      </c>
    </row>
    <row r="53" spans="1:8" ht="14.25" customHeight="1">
      <c r="A53" s="691" t="s">
        <v>1576</v>
      </c>
      <c r="B53" s="680" t="s">
        <v>1577</v>
      </c>
      <c r="C53" s="681" t="s">
        <v>1327</v>
      </c>
      <c r="D53" s="681"/>
      <c r="G53" s="652" t="s">
        <v>1361</v>
      </c>
      <c r="H53" s="652" t="s">
        <v>1578</v>
      </c>
    </row>
    <row r="54" spans="1:8" ht="14.25" customHeight="1">
      <c r="A54" s="691" t="s">
        <v>1579</v>
      </c>
      <c r="B54" s="680" t="s">
        <v>1580</v>
      </c>
      <c r="C54" s="681" t="s">
        <v>1323</v>
      </c>
      <c r="D54" s="681"/>
      <c r="G54" s="652" t="s">
        <v>1362</v>
      </c>
      <c r="H54" s="652" t="s">
        <v>1581</v>
      </c>
    </row>
    <row r="55" spans="1:8" ht="14.25" customHeight="1">
      <c r="A55" s="691" t="s">
        <v>1582</v>
      </c>
      <c r="B55" s="680" t="s">
        <v>1583</v>
      </c>
      <c r="C55" s="681" t="s">
        <v>1323</v>
      </c>
      <c r="D55" s="681"/>
      <c r="G55" s="652" t="s">
        <v>1363</v>
      </c>
      <c r="H55" s="652" t="s">
        <v>1584</v>
      </c>
    </row>
    <row r="56" spans="1:8" ht="14.25" customHeight="1">
      <c r="A56" s="691" t="s">
        <v>1585</v>
      </c>
      <c r="B56" s="680" t="s">
        <v>1586</v>
      </c>
      <c r="C56" s="681" t="s">
        <v>1327</v>
      </c>
      <c r="D56" s="681"/>
      <c r="G56" s="652" t="s">
        <v>886</v>
      </c>
      <c r="H56" s="652" t="s">
        <v>1587</v>
      </c>
    </row>
    <row r="57" spans="1:8" ht="14.25" customHeight="1">
      <c r="A57" s="691" t="s">
        <v>1588</v>
      </c>
      <c r="B57" s="680" t="s">
        <v>1589</v>
      </c>
      <c r="C57" s="681" t="s">
        <v>1323</v>
      </c>
      <c r="D57" s="681"/>
      <c r="G57" s="652" t="s">
        <v>888</v>
      </c>
      <c r="H57" s="652" t="s">
        <v>1590</v>
      </c>
    </row>
    <row r="58" spans="1:8" ht="14.25" customHeight="1">
      <c r="A58" s="691" t="s">
        <v>1591</v>
      </c>
      <c r="B58" s="680" t="s">
        <v>1592</v>
      </c>
      <c r="C58" s="681" t="s">
        <v>152</v>
      </c>
      <c r="D58" s="681"/>
      <c r="G58" s="652" t="s">
        <v>889</v>
      </c>
      <c r="H58" s="652" t="s">
        <v>1593</v>
      </c>
    </row>
    <row r="59" spans="1:8" ht="14.25" customHeight="1">
      <c r="A59" s="691" t="s">
        <v>1594</v>
      </c>
      <c r="B59" s="680" t="s">
        <v>1595</v>
      </c>
      <c r="C59" s="681" t="s">
        <v>152</v>
      </c>
      <c r="D59" s="681"/>
      <c r="G59" s="652" t="s">
        <v>890</v>
      </c>
      <c r="H59" s="652" t="s">
        <v>1596</v>
      </c>
    </row>
    <row r="60" spans="1:8" ht="14.25" customHeight="1">
      <c r="A60" s="691" t="s">
        <v>1597</v>
      </c>
      <c r="B60" s="680" t="s">
        <v>1598</v>
      </c>
      <c r="C60" s="681" t="s">
        <v>1327</v>
      </c>
      <c r="D60" s="681"/>
      <c r="G60" s="652" t="s">
        <v>891</v>
      </c>
      <c r="H60" s="652" t="s">
        <v>1599</v>
      </c>
    </row>
    <row r="61" spans="1:8" ht="14.25" customHeight="1">
      <c r="A61" s="691" t="s">
        <v>1600</v>
      </c>
      <c r="B61" s="680" t="s">
        <v>1601</v>
      </c>
      <c r="C61" s="681" t="s">
        <v>1327</v>
      </c>
      <c r="D61" s="681"/>
      <c r="G61" s="652" t="s">
        <v>892</v>
      </c>
      <c r="H61" s="652" t="s">
        <v>1602</v>
      </c>
    </row>
    <row r="62" spans="1:8" ht="14.25" customHeight="1">
      <c r="A62" s="691" t="s">
        <v>1603</v>
      </c>
      <c r="B62" s="680" t="s">
        <v>1604</v>
      </c>
      <c r="C62" s="681" t="s">
        <v>92</v>
      </c>
      <c r="D62" s="681" t="s">
        <v>186</v>
      </c>
      <c r="G62" s="652" t="s">
        <v>1364</v>
      </c>
      <c r="H62" s="652" t="s">
        <v>1605</v>
      </c>
    </row>
    <row r="63" spans="1:8" ht="14.25" customHeight="1">
      <c r="A63" s="691" t="s">
        <v>1606</v>
      </c>
      <c r="B63" s="680" t="s">
        <v>1607</v>
      </c>
      <c r="C63" s="681" t="s">
        <v>92</v>
      </c>
      <c r="D63" s="681" t="s">
        <v>186</v>
      </c>
      <c r="G63" s="652" t="s">
        <v>1365</v>
      </c>
      <c r="H63" s="652" t="s">
        <v>1608</v>
      </c>
    </row>
    <row r="64" spans="1:8" ht="14.25" customHeight="1">
      <c r="A64" s="691" t="s">
        <v>1609</v>
      </c>
      <c r="B64" s="680" t="s">
        <v>1610</v>
      </c>
      <c r="C64" s="681" t="s">
        <v>92</v>
      </c>
      <c r="D64" s="681" t="s">
        <v>186</v>
      </c>
      <c r="G64" s="652" t="s">
        <v>893</v>
      </c>
      <c r="H64" s="652" t="s">
        <v>1611</v>
      </c>
    </row>
    <row r="65" spans="1:8" ht="14.25" customHeight="1">
      <c r="A65" s="691" t="s">
        <v>1612</v>
      </c>
      <c r="B65" s="680" t="s">
        <v>1613</v>
      </c>
      <c r="C65" s="681" t="s">
        <v>92</v>
      </c>
      <c r="D65" s="681" t="s">
        <v>186</v>
      </c>
      <c r="G65" s="652" t="s">
        <v>894</v>
      </c>
      <c r="H65" s="652" t="s">
        <v>1614</v>
      </c>
    </row>
    <row r="66" spans="1:8" ht="14.25" customHeight="1">
      <c r="A66" s="691" t="s">
        <v>1615</v>
      </c>
      <c r="B66" s="680" t="s">
        <v>1616</v>
      </c>
      <c r="C66" s="681" t="s">
        <v>92</v>
      </c>
      <c r="D66" s="681" t="s">
        <v>186</v>
      </c>
      <c r="G66" s="652" t="s">
        <v>895</v>
      </c>
      <c r="H66" s="652" t="s">
        <v>1617</v>
      </c>
    </row>
    <row r="67" spans="1:8" ht="14.25" customHeight="1">
      <c r="A67" s="691" t="s">
        <v>1618</v>
      </c>
      <c r="B67" s="680" t="s">
        <v>1619</v>
      </c>
      <c r="C67" s="681" t="s">
        <v>92</v>
      </c>
      <c r="D67" s="681" t="s">
        <v>186</v>
      </c>
      <c r="G67" s="652" t="s">
        <v>896</v>
      </c>
      <c r="H67" s="652" t="s">
        <v>1620</v>
      </c>
    </row>
    <row r="68" spans="1:8" ht="14.25" customHeight="1">
      <c r="A68" s="691" t="s">
        <v>1621</v>
      </c>
      <c r="B68" s="680" t="s">
        <v>1622</v>
      </c>
      <c r="C68" s="681" t="s">
        <v>92</v>
      </c>
      <c r="D68" s="681" t="s">
        <v>186</v>
      </c>
      <c r="G68" s="652" t="s">
        <v>897</v>
      </c>
      <c r="H68" s="652" t="s">
        <v>1623</v>
      </c>
    </row>
    <row r="69" spans="1:8" ht="14.25" customHeight="1">
      <c r="A69" s="691" t="s">
        <v>1624</v>
      </c>
      <c r="B69" s="680" t="s">
        <v>1625</v>
      </c>
      <c r="C69" s="681" t="s">
        <v>92</v>
      </c>
      <c r="D69" s="681" t="s">
        <v>186</v>
      </c>
      <c r="G69" s="652" t="s">
        <v>898</v>
      </c>
      <c r="H69" s="652" t="s">
        <v>1626</v>
      </c>
    </row>
    <row r="70" spans="1:8" ht="14.25" customHeight="1">
      <c r="A70" s="691" t="s">
        <v>1627</v>
      </c>
      <c r="B70" s="680" t="s">
        <v>1628</v>
      </c>
      <c r="C70" s="681" t="s">
        <v>152</v>
      </c>
      <c r="D70" s="681" t="s">
        <v>186</v>
      </c>
      <c r="G70" s="652" t="s">
        <v>899</v>
      </c>
      <c r="H70" s="652" t="s">
        <v>1629</v>
      </c>
    </row>
    <row r="71" spans="1:8" ht="14.25" customHeight="1">
      <c r="A71" s="691" t="s">
        <v>1630</v>
      </c>
      <c r="B71" s="680" t="s">
        <v>1631</v>
      </c>
      <c r="C71" s="681" t="s">
        <v>152</v>
      </c>
      <c r="D71" s="681" t="s">
        <v>186</v>
      </c>
      <c r="G71" s="652" t="s">
        <v>900</v>
      </c>
      <c r="H71" s="652" t="s">
        <v>1632</v>
      </c>
    </row>
    <row r="72" spans="1:8" ht="14.25" customHeight="1">
      <c r="A72" s="691" t="s">
        <v>1633</v>
      </c>
      <c r="B72" s="680" t="s">
        <v>1634</v>
      </c>
      <c r="C72" s="681" t="s">
        <v>152</v>
      </c>
      <c r="D72" s="681" t="s">
        <v>186</v>
      </c>
      <c r="G72" s="652" t="s">
        <v>1366</v>
      </c>
      <c r="H72" s="652" t="s">
        <v>901</v>
      </c>
    </row>
    <row r="73" spans="1:8" ht="14.25" customHeight="1">
      <c r="A73" s="691" t="s">
        <v>1635</v>
      </c>
      <c r="B73" s="680" t="s">
        <v>1636</v>
      </c>
      <c r="C73" s="681" t="s">
        <v>152</v>
      </c>
      <c r="D73" s="681" t="s">
        <v>186</v>
      </c>
      <c r="G73" s="652" t="s">
        <v>902</v>
      </c>
      <c r="H73" s="652" t="s">
        <v>1637</v>
      </c>
    </row>
    <row r="74" spans="1:8" ht="14.25" customHeight="1">
      <c r="A74" s="691" t="s">
        <v>1638</v>
      </c>
      <c r="B74" s="680" t="s">
        <v>1639</v>
      </c>
      <c r="C74" s="681" t="s">
        <v>152</v>
      </c>
      <c r="D74" s="681" t="s">
        <v>186</v>
      </c>
      <c r="G74" s="652" t="s">
        <v>723</v>
      </c>
      <c r="H74" s="652" t="s">
        <v>1640</v>
      </c>
    </row>
    <row r="75" spans="1:8" ht="14.25" customHeight="1">
      <c r="A75" s="691" t="s">
        <v>1641</v>
      </c>
      <c r="B75" s="680" t="s">
        <v>1642</v>
      </c>
      <c r="C75" s="681" t="s">
        <v>152</v>
      </c>
      <c r="D75" s="681" t="s">
        <v>186</v>
      </c>
      <c r="G75" s="652" t="s">
        <v>903</v>
      </c>
      <c r="H75" s="652" t="s">
        <v>905</v>
      </c>
    </row>
    <row r="76" spans="1:8" ht="14.25" customHeight="1">
      <c r="A76" s="691" t="s">
        <v>1643</v>
      </c>
      <c r="B76" s="680" t="s">
        <v>1644</v>
      </c>
      <c r="C76" s="681" t="s">
        <v>152</v>
      </c>
      <c r="D76" s="681" t="s">
        <v>186</v>
      </c>
      <c r="G76" s="652" t="s">
        <v>906</v>
      </c>
      <c r="H76" s="652" t="s">
        <v>907</v>
      </c>
    </row>
    <row r="77" spans="1:8" ht="14.25" customHeight="1">
      <c r="A77" s="691" t="s">
        <v>1645</v>
      </c>
      <c r="B77" s="680" t="s">
        <v>1646</v>
      </c>
      <c r="C77" s="681" t="s">
        <v>152</v>
      </c>
      <c r="D77" s="681" t="s">
        <v>186</v>
      </c>
      <c r="G77" s="652" t="s">
        <v>908</v>
      </c>
      <c r="H77" s="652" t="s">
        <v>909</v>
      </c>
    </row>
    <row r="78" spans="1:8" ht="14.25" customHeight="1">
      <c r="A78" s="680" t="s">
        <v>1647</v>
      </c>
      <c r="B78" s="680" t="s">
        <v>1648</v>
      </c>
      <c r="C78" s="681" t="s">
        <v>92</v>
      </c>
      <c r="D78" s="681" t="s">
        <v>1649</v>
      </c>
      <c r="G78" s="652" t="s">
        <v>910</v>
      </c>
      <c r="H78" s="652" t="s">
        <v>911</v>
      </c>
    </row>
    <row r="79" spans="1:8" ht="14.25" customHeight="1">
      <c r="A79" s="680" t="s">
        <v>1650</v>
      </c>
      <c r="B79" s="680" t="s">
        <v>1651</v>
      </c>
      <c r="C79" s="681" t="s">
        <v>92</v>
      </c>
      <c r="D79" s="681" t="s">
        <v>1649</v>
      </c>
      <c r="G79" s="652" t="s">
        <v>912</v>
      </c>
      <c r="H79" s="652" t="s">
        <v>913</v>
      </c>
    </row>
    <row r="80" spans="1:8" ht="14.25" customHeight="1">
      <c r="A80" s="680" t="s">
        <v>1652</v>
      </c>
      <c r="B80" s="680" t="s">
        <v>1653</v>
      </c>
      <c r="C80" s="681" t="s">
        <v>92</v>
      </c>
      <c r="D80" s="681" t="s">
        <v>1649</v>
      </c>
      <c r="G80" s="652" t="s">
        <v>914</v>
      </c>
      <c r="H80" s="652" t="s">
        <v>1654</v>
      </c>
    </row>
    <row r="81" spans="1:8" ht="14.25" customHeight="1">
      <c r="A81" s="680" t="s">
        <v>1655</v>
      </c>
      <c r="B81" s="680" t="s">
        <v>1656</v>
      </c>
      <c r="C81" s="681" t="s">
        <v>92</v>
      </c>
      <c r="D81" s="681" t="s">
        <v>1649</v>
      </c>
      <c r="G81" s="652" t="s">
        <v>915</v>
      </c>
      <c r="H81" s="652" t="s">
        <v>916</v>
      </c>
    </row>
    <row r="82" spans="1:8" ht="14.25" customHeight="1">
      <c r="A82" s="680" t="s">
        <v>1657</v>
      </c>
      <c r="B82" s="680" t="s">
        <v>1658</v>
      </c>
      <c r="C82" s="681" t="s">
        <v>92</v>
      </c>
      <c r="D82" s="681" t="s">
        <v>1649</v>
      </c>
      <c r="G82" s="652" t="s">
        <v>917</v>
      </c>
      <c r="H82" s="652" t="s">
        <v>1659</v>
      </c>
    </row>
    <row r="83" spans="1:8" ht="14.25" customHeight="1">
      <c r="A83" s="680" t="s">
        <v>1660</v>
      </c>
      <c r="B83" s="680" t="s">
        <v>1661</v>
      </c>
      <c r="C83" s="681" t="s">
        <v>92</v>
      </c>
      <c r="D83" s="681" t="s">
        <v>1649</v>
      </c>
      <c r="G83" s="652" t="s">
        <v>918</v>
      </c>
      <c r="H83" s="652" t="s">
        <v>1662</v>
      </c>
    </row>
    <row r="84" spans="1:8" ht="14.25" customHeight="1">
      <c r="A84" s="680" t="s">
        <v>1663</v>
      </c>
      <c r="B84" s="680" t="s">
        <v>1664</v>
      </c>
      <c r="C84" s="681" t="s">
        <v>92</v>
      </c>
      <c r="D84" s="681" t="s">
        <v>1649</v>
      </c>
      <c r="G84" s="652" t="s">
        <v>919</v>
      </c>
      <c r="H84" s="652" t="s">
        <v>1665</v>
      </c>
    </row>
    <row r="85" spans="1:8" ht="14.25" customHeight="1">
      <c r="A85" s="680" t="s">
        <v>1666</v>
      </c>
      <c r="B85" s="680" t="s">
        <v>1667</v>
      </c>
      <c r="C85" s="681" t="s">
        <v>92</v>
      </c>
      <c r="D85" s="681" t="s">
        <v>1649</v>
      </c>
      <c r="G85" s="652" t="s">
        <v>921</v>
      </c>
      <c r="H85" s="652" t="s">
        <v>920</v>
      </c>
    </row>
    <row r="86" spans="1:8" ht="14.25" customHeight="1">
      <c r="A86" s="691" t="s">
        <v>1668</v>
      </c>
      <c r="B86" s="680" t="s">
        <v>1669</v>
      </c>
      <c r="C86" s="681" t="s">
        <v>92</v>
      </c>
      <c r="D86" s="681"/>
      <c r="G86" s="652" t="s">
        <v>922</v>
      </c>
      <c r="H86" s="652" t="s">
        <v>1670</v>
      </c>
    </row>
    <row r="87" spans="1:8" ht="14.25" customHeight="1">
      <c r="A87" s="691" t="s">
        <v>1671</v>
      </c>
      <c r="B87" s="680" t="s">
        <v>1672</v>
      </c>
      <c r="C87" s="681" t="s">
        <v>152</v>
      </c>
      <c r="D87" s="681"/>
      <c r="G87" s="652" t="s">
        <v>923</v>
      </c>
      <c r="H87" s="652" t="s">
        <v>1673</v>
      </c>
    </row>
    <row r="88" spans="1:8" ht="14.25" customHeight="1">
      <c r="A88" s="691" t="s">
        <v>1674</v>
      </c>
      <c r="B88" s="680" t="s">
        <v>1675</v>
      </c>
      <c r="C88" s="681" t="s">
        <v>161</v>
      </c>
      <c r="D88" s="681"/>
      <c r="G88" s="652" t="s">
        <v>734</v>
      </c>
      <c r="H88" s="652" t="s">
        <v>1676</v>
      </c>
    </row>
    <row r="89" spans="1:8" ht="14.25" customHeight="1">
      <c r="A89" s="691" t="s">
        <v>1677</v>
      </c>
      <c r="B89" s="680" t="s">
        <v>1678</v>
      </c>
      <c r="C89" s="681" t="s">
        <v>176</v>
      </c>
      <c r="D89" s="681"/>
      <c r="G89" s="652" t="s">
        <v>924</v>
      </c>
      <c r="H89" s="652" t="s">
        <v>925</v>
      </c>
    </row>
    <row r="90" spans="1:8" ht="14.25" customHeight="1">
      <c r="A90" s="691" t="s">
        <v>1679</v>
      </c>
      <c r="B90" s="680" t="s">
        <v>1680</v>
      </c>
      <c r="C90" s="681" t="s">
        <v>180</v>
      </c>
      <c r="D90" s="681"/>
      <c r="G90" s="652" t="s">
        <v>926</v>
      </c>
      <c r="H90" s="652" t="s">
        <v>1681</v>
      </c>
    </row>
    <row r="91" spans="1:8" ht="14.25" customHeight="1">
      <c r="A91" s="691" t="s">
        <v>1682</v>
      </c>
      <c r="B91" s="680" t="s">
        <v>1683</v>
      </c>
      <c r="C91" s="681" t="s">
        <v>92</v>
      </c>
      <c r="D91" s="681"/>
      <c r="G91" s="652" t="s">
        <v>927</v>
      </c>
      <c r="H91" s="652" t="s">
        <v>930</v>
      </c>
    </row>
    <row r="92" spans="1:8" ht="14.25" customHeight="1">
      <c r="A92" s="691" t="s">
        <v>1684</v>
      </c>
      <c r="B92" s="680" t="s">
        <v>1685</v>
      </c>
      <c r="C92" s="681" t="s">
        <v>152</v>
      </c>
      <c r="D92" s="681"/>
      <c r="G92" s="652" t="s">
        <v>929</v>
      </c>
      <c r="H92" s="652" t="s">
        <v>1686</v>
      </c>
    </row>
    <row r="93" spans="1:8" ht="14.25" customHeight="1">
      <c r="A93" s="691" t="s">
        <v>1687</v>
      </c>
      <c r="B93" s="680" t="s">
        <v>1688</v>
      </c>
      <c r="C93" s="681" t="s">
        <v>161</v>
      </c>
      <c r="D93" s="681"/>
      <c r="G93" s="652" t="s">
        <v>932</v>
      </c>
      <c r="H93" s="652" t="s">
        <v>1689</v>
      </c>
    </row>
    <row r="94" spans="1:8" ht="14.25" customHeight="1">
      <c r="A94" s="691" t="s">
        <v>1690</v>
      </c>
      <c r="B94" s="680" t="s">
        <v>1691</v>
      </c>
      <c r="C94" s="681" t="s">
        <v>180</v>
      </c>
      <c r="D94" s="681"/>
      <c r="G94" s="652" t="s">
        <v>735</v>
      </c>
      <c r="H94" s="652" t="s">
        <v>1692</v>
      </c>
    </row>
    <row r="95" spans="1:8" ht="14.25" customHeight="1">
      <c r="A95" s="691" t="s">
        <v>1693</v>
      </c>
      <c r="B95" s="680" t="s">
        <v>1694</v>
      </c>
      <c r="C95" s="681" t="s">
        <v>152</v>
      </c>
      <c r="D95" s="681"/>
      <c r="G95" s="652" t="s">
        <v>933</v>
      </c>
      <c r="H95" s="652" t="s">
        <v>934</v>
      </c>
    </row>
    <row r="96" spans="1:8" ht="14.25" customHeight="1">
      <c r="A96" s="691" t="s">
        <v>1695</v>
      </c>
      <c r="B96" s="680" t="s">
        <v>1696</v>
      </c>
      <c r="C96" s="681" t="s">
        <v>92</v>
      </c>
      <c r="D96" s="681" t="s">
        <v>168</v>
      </c>
      <c r="G96" s="652" t="s">
        <v>935</v>
      </c>
      <c r="H96" s="652" t="s">
        <v>1697</v>
      </c>
    </row>
    <row r="97" spans="1:8" ht="14.25" customHeight="1">
      <c r="A97" s="691" t="s">
        <v>1698</v>
      </c>
      <c r="B97" s="680" t="s">
        <v>1699</v>
      </c>
      <c r="C97" s="681" t="s">
        <v>92</v>
      </c>
      <c r="D97" s="681"/>
      <c r="G97" s="652" t="s">
        <v>736</v>
      </c>
      <c r="H97" s="652" t="s">
        <v>1700</v>
      </c>
    </row>
    <row r="98" spans="1:8" ht="14.25" customHeight="1">
      <c r="A98" s="691" t="s">
        <v>1701</v>
      </c>
      <c r="B98" s="680" t="s">
        <v>1702</v>
      </c>
      <c r="C98" s="681" t="s">
        <v>152</v>
      </c>
      <c r="D98" s="681"/>
      <c r="G98" s="652" t="s">
        <v>936</v>
      </c>
      <c r="H98" s="652" t="s">
        <v>1703</v>
      </c>
    </row>
    <row r="99" spans="1:8" ht="14.25" customHeight="1">
      <c r="A99" s="691" t="s">
        <v>1704</v>
      </c>
      <c r="B99" s="680" t="s">
        <v>1705</v>
      </c>
      <c r="C99" s="681" t="s">
        <v>92</v>
      </c>
      <c r="D99" s="681"/>
      <c r="G99" s="652" t="s">
        <v>937</v>
      </c>
      <c r="H99" s="652" t="s">
        <v>1706</v>
      </c>
    </row>
    <row r="100" spans="1:8" ht="14.25" customHeight="1">
      <c r="A100" s="691" t="s">
        <v>1707</v>
      </c>
      <c r="B100" s="680" t="s">
        <v>1708</v>
      </c>
      <c r="C100" s="681" t="s">
        <v>152</v>
      </c>
      <c r="D100" s="681"/>
      <c r="G100" s="652" t="s">
        <v>938</v>
      </c>
      <c r="H100" s="652" t="s">
        <v>1709</v>
      </c>
    </row>
    <row r="101" spans="1:8" ht="14.25" customHeight="1">
      <c r="A101" s="691" t="s">
        <v>1710</v>
      </c>
      <c r="B101" s="680" t="s">
        <v>1711</v>
      </c>
      <c r="C101" s="681" t="s">
        <v>161</v>
      </c>
      <c r="D101" s="681"/>
      <c r="G101" s="652" t="s">
        <v>737</v>
      </c>
      <c r="H101" s="652" t="s">
        <v>1712</v>
      </c>
    </row>
    <row r="102" spans="1:8" ht="14.25" customHeight="1">
      <c r="A102" s="691" t="s">
        <v>1713</v>
      </c>
      <c r="B102" s="680" t="s">
        <v>1714</v>
      </c>
      <c r="C102" s="681" t="s">
        <v>180</v>
      </c>
      <c r="D102" s="681"/>
      <c r="G102" s="652" t="s">
        <v>738</v>
      </c>
      <c r="H102" s="652" t="s">
        <v>1715</v>
      </c>
    </row>
    <row r="103" spans="1:8" ht="14.25" customHeight="1">
      <c r="A103" s="691" t="s">
        <v>1716</v>
      </c>
      <c r="B103" s="680" t="s">
        <v>1717</v>
      </c>
      <c r="C103" s="681" t="s">
        <v>92</v>
      </c>
      <c r="D103" s="681"/>
      <c r="G103" s="652" t="s">
        <v>939</v>
      </c>
      <c r="H103" s="652" t="s">
        <v>940</v>
      </c>
    </row>
    <row r="104" spans="1:8" ht="14.25" customHeight="1">
      <c r="A104" s="691" t="s">
        <v>1718</v>
      </c>
      <c r="B104" s="680" t="s">
        <v>1719</v>
      </c>
      <c r="C104" s="681" t="s">
        <v>152</v>
      </c>
      <c r="D104" s="681"/>
      <c r="G104" s="652" t="s">
        <v>739</v>
      </c>
      <c r="H104" s="652" t="s">
        <v>1720</v>
      </c>
    </row>
    <row r="105" spans="1:8" ht="14.25" customHeight="1">
      <c r="A105" s="691" t="s">
        <v>1721</v>
      </c>
      <c r="B105" s="680" t="s">
        <v>1722</v>
      </c>
      <c r="C105" s="681" t="s">
        <v>161</v>
      </c>
      <c r="D105" s="681"/>
      <c r="G105" s="652" t="s">
        <v>740</v>
      </c>
      <c r="H105" s="652" t="s">
        <v>1723</v>
      </c>
    </row>
    <row r="106" spans="1:8" ht="14.25" customHeight="1">
      <c r="A106" s="691" t="s">
        <v>1724</v>
      </c>
      <c r="B106" s="680" t="s">
        <v>1725</v>
      </c>
      <c r="C106" s="681" t="s">
        <v>161</v>
      </c>
      <c r="D106" s="681" t="s">
        <v>168</v>
      </c>
      <c r="G106" s="652" t="s">
        <v>741</v>
      </c>
      <c r="H106" s="652" t="s">
        <v>1726</v>
      </c>
    </row>
    <row r="107" spans="1:8" ht="14.25" customHeight="1">
      <c r="A107" s="691" t="s">
        <v>1727</v>
      </c>
      <c r="B107" s="680" t="s">
        <v>1728</v>
      </c>
      <c r="C107" s="681" t="s">
        <v>161</v>
      </c>
      <c r="D107" s="681"/>
      <c r="G107" s="652" t="s">
        <v>742</v>
      </c>
      <c r="H107" s="652" t="s">
        <v>1729</v>
      </c>
    </row>
    <row r="108" spans="1:8" ht="14.25" customHeight="1">
      <c r="A108" s="691" t="s">
        <v>1730</v>
      </c>
      <c r="B108" s="680" t="s">
        <v>1731</v>
      </c>
      <c r="C108" s="681" t="s">
        <v>92</v>
      </c>
      <c r="D108" s="681"/>
      <c r="G108" s="652" t="s">
        <v>941</v>
      </c>
      <c r="H108" s="652" t="s">
        <v>942</v>
      </c>
    </row>
    <row r="109" spans="1:8" ht="14.25" customHeight="1">
      <c r="A109" s="691" t="s">
        <v>1732</v>
      </c>
      <c r="B109" s="680" t="s">
        <v>1733</v>
      </c>
      <c r="C109" s="681" t="s">
        <v>152</v>
      </c>
      <c r="D109" s="681"/>
      <c r="G109" s="652" t="s">
        <v>945</v>
      </c>
      <c r="H109" s="652" t="s">
        <v>946</v>
      </c>
    </row>
    <row r="110" spans="1:8" ht="14.25" customHeight="1">
      <c r="A110" s="691" t="s">
        <v>1734</v>
      </c>
      <c r="B110" s="680" t="s">
        <v>1735</v>
      </c>
      <c r="C110" s="681" t="s">
        <v>161</v>
      </c>
      <c r="D110" s="681"/>
      <c r="G110" s="652" t="s">
        <v>947</v>
      </c>
      <c r="H110" s="652" t="s">
        <v>1736</v>
      </c>
    </row>
    <row r="111" spans="1:8" ht="14.25" customHeight="1">
      <c r="A111" s="691" t="s">
        <v>1737</v>
      </c>
      <c r="B111" s="680" t="s">
        <v>1738</v>
      </c>
      <c r="C111" s="681" t="s">
        <v>176</v>
      </c>
      <c r="D111" s="681"/>
      <c r="G111" s="652" t="s">
        <v>1369</v>
      </c>
      <c r="H111" s="652" t="s">
        <v>1739</v>
      </c>
    </row>
    <row r="112" spans="1:8" ht="14.25" customHeight="1">
      <c r="A112" s="691" t="s">
        <v>1740</v>
      </c>
      <c r="B112" s="680" t="s">
        <v>1741</v>
      </c>
      <c r="C112" s="681" t="s">
        <v>180</v>
      </c>
      <c r="D112" s="681"/>
      <c r="G112" s="652" t="s">
        <v>948</v>
      </c>
      <c r="H112" s="652" t="s">
        <v>1742</v>
      </c>
    </row>
    <row r="113" spans="1:8" ht="14.25" customHeight="1">
      <c r="A113" s="691" t="s">
        <v>1743</v>
      </c>
      <c r="B113" s="680" t="s">
        <v>1744</v>
      </c>
      <c r="C113" s="681" t="s">
        <v>1327</v>
      </c>
      <c r="D113" s="681" t="s">
        <v>121</v>
      </c>
      <c r="G113" s="652" t="s">
        <v>949</v>
      </c>
      <c r="H113" s="652" t="s">
        <v>1745</v>
      </c>
    </row>
    <row r="114" spans="1:8" ht="14.25" customHeight="1">
      <c r="A114" s="691" t="s">
        <v>1746</v>
      </c>
      <c r="B114" s="680" t="s">
        <v>1747</v>
      </c>
      <c r="C114" s="681" t="s">
        <v>1327</v>
      </c>
      <c r="D114" s="681" t="s">
        <v>121</v>
      </c>
      <c r="G114" s="652" t="s">
        <v>743</v>
      </c>
      <c r="H114" s="652" t="s">
        <v>744</v>
      </c>
    </row>
    <row r="115" spans="1:8" ht="14.25" customHeight="1">
      <c r="A115" s="691" t="s">
        <v>1748</v>
      </c>
      <c r="B115" s="680" t="s">
        <v>1749</v>
      </c>
      <c r="C115" s="681" t="s">
        <v>161</v>
      </c>
      <c r="D115" s="681" t="s">
        <v>121</v>
      </c>
      <c r="G115" s="652" t="s">
        <v>745</v>
      </c>
      <c r="H115" s="652" t="s">
        <v>746</v>
      </c>
    </row>
    <row r="116" spans="1:8" ht="14.25" customHeight="1">
      <c r="A116" s="691" t="s">
        <v>1750</v>
      </c>
      <c r="B116" s="680" t="s">
        <v>1751</v>
      </c>
      <c r="C116" s="681" t="s">
        <v>176</v>
      </c>
      <c r="D116" s="681" t="s">
        <v>121</v>
      </c>
      <c r="G116" s="652" t="s">
        <v>747</v>
      </c>
      <c r="H116" s="652" t="s">
        <v>1752</v>
      </c>
    </row>
    <row r="117" spans="1:8" ht="14.25" customHeight="1">
      <c r="A117" s="691" t="s">
        <v>1753</v>
      </c>
      <c r="B117" s="680" t="s">
        <v>1754</v>
      </c>
      <c r="C117" s="681" t="s">
        <v>180</v>
      </c>
      <c r="D117" s="681" t="s">
        <v>121</v>
      </c>
      <c r="G117" s="652" t="s">
        <v>748</v>
      </c>
      <c r="H117" s="652" t="s">
        <v>1755</v>
      </c>
    </row>
    <row r="118" spans="1:8" ht="14.25" customHeight="1">
      <c r="A118" s="691" t="s">
        <v>1756</v>
      </c>
      <c r="B118" s="680" t="s">
        <v>1757</v>
      </c>
      <c r="C118" s="681" t="s">
        <v>180</v>
      </c>
      <c r="D118" s="681"/>
      <c r="G118" s="652" t="s">
        <v>954</v>
      </c>
      <c r="H118" s="652" t="s">
        <v>955</v>
      </c>
    </row>
    <row r="119" spans="1:8" ht="14.25" customHeight="1">
      <c r="A119" s="691" t="s">
        <v>1758</v>
      </c>
      <c r="B119" s="680" t="s">
        <v>1759</v>
      </c>
      <c r="C119" s="681" t="s">
        <v>1323</v>
      </c>
      <c r="D119" s="681" t="s">
        <v>25</v>
      </c>
      <c r="G119" s="652" t="s">
        <v>956</v>
      </c>
      <c r="H119" s="652" t="s">
        <v>957</v>
      </c>
    </row>
    <row r="120" spans="1:8" ht="14.25" customHeight="1">
      <c r="A120" s="691" t="s">
        <v>1760</v>
      </c>
      <c r="B120" s="680" t="s">
        <v>1761</v>
      </c>
      <c r="C120" s="681" t="s">
        <v>1323</v>
      </c>
      <c r="D120" s="681" t="s">
        <v>25</v>
      </c>
      <c r="G120" s="652" t="s">
        <v>724</v>
      </c>
      <c r="H120" s="652" t="s">
        <v>750</v>
      </c>
    </row>
    <row r="121" spans="1:8" ht="14.25" customHeight="1">
      <c r="A121" s="691" t="s">
        <v>1762</v>
      </c>
      <c r="B121" s="680" t="s">
        <v>1763</v>
      </c>
      <c r="C121" s="681" t="s">
        <v>1323</v>
      </c>
      <c r="D121" s="681" t="s">
        <v>1764</v>
      </c>
      <c r="G121" s="652" t="s">
        <v>749</v>
      </c>
      <c r="H121" s="652" t="s">
        <v>1765</v>
      </c>
    </row>
    <row r="122" spans="1:8" ht="14.25" customHeight="1">
      <c r="A122" s="691" t="s">
        <v>1766</v>
      </c>
      <c r="B122" s="680" t="s">
        <v>1767</v>
      </c>
      <c r="C122" s="681" t="s">
        <v>1323</v>
      </c>
      <c r="D122" s="681" t="s">
        <v>25</v>
      </c>
      <c r="G122" s="652" t="s">
        <v>958</v>
      </c>
      <c r="H122" s="652" t="s">
        <v>960</v>
      </c>
    </row>
    <row r="123" spans="1:8" ht="14.25" customHeight="1">
      <c r="A123" s="691" t="s">
        <v>1768</v>
      </c>
      <c r="B123" s="680" t="s">
        <v>1769</v>
      </c>
      <c r="C123" s="681" t="s">
        <v>1323</v>
      </c>
      <c r="D123" s="681" t="s">
        <v>25</v>
      </c>
      <c r="G123" s="652" t="s">
        <v>961</v>
      </c>
      <c r="H123" s="652" t="s">
        <v>1770</v>
      </c>
    </row>
    <row r="124" spans="1:8" ht="14.25" customHeight="1">
      <c r="A124" s="691" t="s">
        <v>1771</v>
      </c>
      <c r="B124" s="680" t="s">
        <v>1772</v>
      </c>
      <c r="C124" s="681" t="s">
        <v>1323</v>
      </c>
      <c r="D124" s="681" t="s">
        <v>25</v>
      </c>
      <c r="G124" s="652" t="s">
        <v>962</v>
      </c>
      <c r="H124" s="652" t="s">
        <v>1773</v>
      </c>
    </row>
    <row r="125" spans="1:8" ht="14.25" customHeight="1">
      <c r="A125" s="691" t="s">
        <v>1774</v>
      </c>
      <c r="B125" s="680" t="s">
        <v>1775</v>
      </c>
      <c r="C125" s="681" t="s">
        <v>1323</v>
      </c>
      <c r="D125" s="681" t="s">
        <v>25</v>
      </c>
      <c r="G125" s="652" t="s">
        <v>751</v>
      </c>
      <c r="H125" s="652" t="s">
        <v>1776</v>
      </c>
    </row>
    <row r="126" spans="1:8" ht="14.25" customHeight="1">
      <c r="A126" s="691" t="s">
        <v>1777</v>
      </c>
      <c r="B126" s="680" t="s">
        <v>1778</v>
      </c>
      <c r="C126" s="681" t="s">
        <v>1323</v>
      </c>
      <c r="D126" s="681" t="s">
        <v>29</v>
      </c>
      <c r="G126" s="652" t="s">
        <v>752</v>
      </c>
      <c r="H126" s="652" t="s">
        <v>1779</v>
      </c>
    </row>
    <row r="127" spans="1:8" ht="14.25" customHeight="1">
      <c r="A127" s="691" t="s">
        <v>1780</v>
      </c>
      <c r="B127" s="680" t="s">
        <v>1781</v>
      </c>
      <c r="C127" s="681" t="s">
        <v>1323</v>
      </c>
      <c r="D127" s="681" t="s">
        <v>30</v>
      </c>
      <c r="G127" s="652" t="s">
        <v>753</v>
      </c>
      <c r="H127" s="652" t="s">
        <v>1782</v>
      </c>
    </row>
    <row r="128" spans="1:8" ht="14.25" customHeight="1">
      <c r="A128" s="691" t="s">
        <v>1783</v>
      </c>
      <c r="B128" s="680" t="s">
        <v>1784</v>
      </c>
      <c r="C128" s="681" t="s">
        <v>1323</v>
      </c>
      <c r="D128" s="681" t="s">
        <v>30</v>
      </c>
      <c r="G128" s="652" t="s">
        <v>754</v>
      </c>
      <c r="H128" s="652" t="s">
        <v>1785</v>
      </c>
    </row>
    <row r="129" spans="1:8" ht="14.25" customHeight="1">
      <c r="A129" s="691" t="s">
        <v>1786</v>
      </c>
      <c r="B129" s="680" t="s">
        <v>1787</v>
      </c>
      <c r="C129" s="681" t="s">
        <v>1323</v>
      </c>
      <c r="D129" s="681" t="s">
        <v>34</v>
      </c>
      <c r="G129" s="652" t="s">
        <v>755</v>
      </c>
      <c r="H129" s="652" t="s">
        <v>1788</v>
      </c>
    </row>
    <row r="130" spans="1:8" ht="14.25" customHeight="1">
      <c r="A130" s="691" t="s">
        <v>1789</v>
      </c>
      <c r="B130" s="680" t="s">
        <v>1790</v>
      </c>
      <c r="C130" s="681" t="s">
        <v>1323</v>
      </c>
      <c r="D130" s="681" t="s">
        <v>38</v>
      </c>
      <c r="G130" s="652" t="s">
        <v>756</v>
      </c>
      <c r="H130" s="652" t="s">
        <v>1791</v>
      </c>
    </row>
    <row r="131" spans="1:8" ht="14.25" customHeight="1">
      <c r="A131" s="691" t="s">
        <v>1792</v>
      </c>
      <c r="B131" s="680" t="s">
        <v>1793</v>
      </c>
      <c r="C131" s="681" t="s">
        <v>1323</v>
      </c>
      <c r="D131" s="681" t="s">
        <v>32</v>
      </c>
      <c r="G131" s="652" t="s">
        <v>757</v>
      </c>
      <c r="H131" s="652" t="s">
        <v>1794</v>
      </c>
    </row>
    <row r="132" spans="1:8" ht="14.25" customHeight="1">
      <c r="A132" s="691" t="s">
        <v>1795</v>
      </c>
      <c r="B132" s="680" t="s">
        <v>1796</v>
      </c>
      <c r="C132" s="681" t="s">
        <v>1323</v>
      </c>
      <c r="D132" s="681" t="s">
        <v>36</v>
      </c>
      <c r="G132" s="652" t="s">
        <v>963</v>
      </c>
      <c r="H132" s="652" t="s">
        <v>1797</v>
      </c>
    </row>
    <row r="133" spans="1:8" ht="14.25" customHeight="1">
      <c r="A133" s="691" t="s">
        <v>1798</v>
      </c>
      <c r="B133" s="680" t="s">
        <v>1799</v>
      </c>
      <c r="C133" s="681" t="s">
        <v>1323</v>
      </c>
      <c r="D133" s="681" t="s">
        <v>1346</v>
      </c>
      <c r="G133" s="652" t="s">
        <v>758</v>
      </c>
      <c r="H133" s="652" t="s">
        <v>1800</v>
      </c>
    </row>
    <row r="134" spans="1:8" ht="14.25" customHeight="1">
      <c r="A134" s="680" t="s">
        <v>1801</v>
      </c>
      <c r="B134" s="680" t="s">
        <v>1802</v>
      </c>
      <c r="C134" s="681" t="s">
        <v>1323</v>
      </c>
      <c r="D134" s="681" t="s">
        <v>1346</v>
      </c>
      <c r="G134" s="652" t="s">
        <v>759</v>
      </c>
      <c r="H134" s="652" t="s">
        <v>1803</v>
      </c>
    </row>
    <row r="135" spans="1:8" ht="14.25" customHeight="1">
      <c r="A135" s="691" t="s">
        <v>1804</v>
      </c>
      <c r="B135" s="680" t="s">
        <v>1805</v>
      </c>
      <c r="C135" s="681" t="s">
        <v>1323</v>
      </c>
      <c r="D135" s="681" t="s">
        <v>57</v>
      </c>
      <c r="G135" s="652" t="s">
        <v>760</v>
      </c>
      <c r="H135" s="652" t="s">
        <v>1806</v>
      </c>
    </row>
    <row r="136" spans="1:8" ht="14.25" customHeight="1">
      <c r="A136" s="691" t="s">
        <v>1807</v>
      </c>
      <c r="B136" s="680" t="s">
        <v>1808</v>
      </c>
      <c r="C136" s="681" t="s">
        <v>1323</v>
      </c>
      <c r="D136" s="681" t="s">
        <v>32</v>
      </c>
      <c r="G136" s="652" t="s">
        <v>761</v>
      </c>
      <c r="H136" s="652" t="s">
        <v>1809</v>
      </c>
    </row>
    <row r="137" spans="1:8" ht="14.25" customHeight="1">
      <c r="A137" s="691" t="s">
        <v>1810</v>
      </c>
      <c r="B137" s="680" t="s">
        <v>1811</v>
      </c>
      <c r="C137" s="681" t="s">
        <v>1323</v>
      </c>
      <c r="D137" s="681" t="s">
        <v>1346</v>
      </c>
      <c r="G137" s="652" t="s">
        <v>725</v>
      </c>
      <c r="H137" s="652" t="s">
        <v>763</v>
      </c>
    </row>
    <row r="138" spans="1:8" ht="14.25" customHeight="1">
      <c r="A138" s="691" t="s">
        <v>1812</v>
      </c>
      <c r="B138" s="680" t="s">
        <v>1813</v>
      </c>
      <c r="C138" s="681" t="s">
        <v>1323</v>
      </c>
      <c r="D138" s="681" t="s">
        <v>42</v>
      </c>
      <c r="G138" s="652" t="s">
        <v>762</v>
      </c>
      <c r="H138" s="652" t="s">
        <v>1814</v>
      </c>
    </row>
    <row r="139" spans="1:8" ht="14.25" customHeight="1">
      <c r="A139" s="691" t="s">
        <v>1815</v>
      </c>
      <c r="B139" s="680" t="s">
        <v>1816</v>
      </c>
      <c r="C139" s="681" t="s">
        <v>1323</v>
      </c>
      <c r="D139" s="681" t="s">
        <v>1346</v>
      </c>
      <c r="G139" s="652" t="s">
        <v>764</v>
      </c>
      <c r="H139" s="652" t="s">
        <v>1817</v>
      </c>
    </row>
    <row r="140" spans="1:8" ht="14.25" customHeight="1">
      <c r="A140" s="691" t="s">
        <v>1818</v>
      </c>
      <c r="B140" s="680" t="s">
        <v>1819</v>
      </c>
      <c r="C140" s="681" t="s">
        <v>1323</v>
      </c>
      <c r="D140" s="681" t="s">
        <v>46</v>
      </c>
      <c r="G140" s="652" t="s">
        <v>765</v>
      </c>
      <c r="H140" s="652" t="s">
        <v>1820</v>
      </c>
    </row>
    <row r="141" spans="1:8" ht="14.25" customHeight="1">
      <c r="A141" s="691" t="s">
        <v>1821</v>
      </c>
      <c r="B141" s="680" t="s">
        <v>1822</v>
      </c>
      <c r="C141" s="681" t="s">
        <v>1323</v>
      </c>
      <c r="D141" s="681">
        <v>0</v>
      </c>
      <c r="G141" s="652" t="s">
        <v>766</v>
      </c>
      <c r="H141" s="652" t="s">
        <v>1823</v>
      </c>
    </row>
    <row r="142" spans="1:8" ht="14.25" customHeight="1">
      <c r="A142" s="691" t="s">
        <v>1824</v>
      </c>
      <c r="B142" s="680" t="s">
        <v>1825</v>
      </c>
      <c r="C142" s="681" t="s">
        <v>1323</v>
      </c>
      <c r="D142" s="681" t="s">
        <v>46</v>
      </c>
      <c r="G142" s="652" t="s">
        <v>767</v>
      </c>
      <c r="H142" s="652" t="s">
        <v>1826</v>
      </c>
    </row>
    <row r="143" spans="1:8" ht="14.25" customHeight="1">
      <c r="A143" s="691" t="s">
        <v>1827</v>
      </c>
      <c r="B143" s="680" t="s">
        <v>1828</v>
      </c>
      <c r="C143" s="681" t="s">
        <v>1323</v>
      </c>
      <c r="D143" s="681" t="s">
        <v>48</v>
      </c>
      <c r="G143" s="652" t="s">
        <v>768</v>
      </c>
      <c r="H143" s="652" t="s">
        <v>1829</v>
      </c>
    </row>
    <row r="144" spans="1:8" ht="14.25" customHeight="1">
      <c r="A144" s="691" t="s">
        <v>1830</v>
      </c>
      <c r="B144" s="680" t="s">
        <v>1831</v>
      </c>
      <c r="C144" s="681" t="s">
        <v>1323</v>
      </c>
      <c r="D144" s="681" t="s">
        <v>48</v>
      </c>
      <c r="G144" s="652" t="s">
        <v>769</v>
      </c>
      <c r="H144" s="652" t="s">
        <v>1832</v>
      </c>
    </row>
    <row r="145" spans="1:8" ht="14.25" customHeight="1">
      <c r="A145" s="691" t="s">
        <v>1833</v>
      </c>
      <c r="B145" s="680" t="s">
        <v>1834</v>
      </c>
      <c r="C145" s="681" t="s">
        <v>1323</v>
      </c>
      <c r="D145" s="681" t="s">
        <v>154</v>
      </c>
      <c r="G145" s="652" t="s">
        <v>770</v>
      </c>
      <c r="H145" s="652" t="s">
        <v>1835</v>
      </c>
    </row>
    <row r="146" spans="1:8" ht="14.25" customHeight="1">
      <c r="A146" s="691" t="s">
        <v>1836</v>
      </c>
      <c r="B146" s="680" t="s">
        <v>1837</v>
      </c>
      <c r="C146" s="681" t="s">
        <v>1323</v>
      </c>
      <c r="D146" s="681" t="s">
        <v>46</v>
      </c>
      <c r="G146" s="652" t="s">
        <v>771</v>
      </c>
      <c r="H146" s="652" t="s">
        <v>1838</v>
      </c>
    </row>
    <row r="147" spans="1:8" ht="14.25" customHeight="1">
      <c r="A147" s="691" t="s">
        <v>1839</v>
      </c>
      <c r="B147" s="680" t="s">
        <v>1840</v>
      </c>
      <c r="C147" s="681" t="s">
        <v>1323</v>
      </c>
      <c r="D147" s="681">
        <v>0</v>
      </c>
      <c r="G147" s="652" t="s">
        <v>772</v>
      </c>
      <c r="H147" s="652" t="s">
        <v>1841</v>
      </c>
    </row>
    <row r="148" spans="1:8" ht="14.25" customHeight="1">
      <c r="A148" s="691" t="s">
        <v>1842</v>
      </c>
      <c r="B148" s="680" t="s">
        <v>1843</v>
      </c>
      <c r="C148" s="681" t="s">
        <v>1323</v>
      </c>
      <c r="D148" s="681" t="s">
        <v>46</v>
      </c>
      <c r="G148" s="652" t="s">
        <v>964</v>
      </c>
      <c r="H148" s="652" t="s">
        <v>966</v>
      </c>
    </row>
    <row r="149" spans="1:8" ht="14.25" customHeight="1">
      <c r="A149" s="691" t="s">
        <v>1844</v>
      </c>
      <c r="B149" s="680" t="s">
        <v>1845</v>
      </c>
      <c r="C149" s="681" t="s">
        <v>1323</v>
      </c>
      <c r="D149" s="681">
        <v>0</v>
      </c>
      <c r="G149" s="652" t="s">
        <v>967</v>
      </c>
      <c r="H149" s="652" t="s">
        <v>968</v>
      </c>
    </row>
    <row r="150" spans="1:8" ht="14.25" customHeight="1">
      <c r="A150" s="691" t="s">
        <v>1846</v>
      </c>
      <c r="B150" s="680" t="s">
        <v>1847</v>
      </c>
      <c r="C150" s="681" t="s">
        <v>1323</v>
      </c>
      <c r="D150" s="681" t="s">
        <v>50</v>
      </c>
      <c r="G150" s="652" t="s">
        <v>1371</v>
      </c>
      <c r="H150" s="652" t="s">
        <v>1848</v>
      </c>
    </row>
    <row r="151" spans="1:8" ht="14.25" customHeight="1">
      <c r="A151" s="691" t="s">
        <v>1849</v>
      </c>
      <c r="B151" s="680" t="s">
        <v>1850</v>
      </c>
      <c r="C151" s="681" t="s">
        <v>1323</v>
      </c>
      <c r="D151" s="681" t="s">
        <v>50</v>
      </c>
      <c r="G151" s="652" t="s">
        <v>1411</v>
      </c>
      <c r="H151" s="652" t="s">
        <v>1410</v>
      </c>
    </row>
    <row r="152" spans="1:8" ht="14.25" customHeight="1">
      <c r="A152" s="691" t="s">
        <v>1851</v>
      </c>
      <c r="B152" s="680" t="s">
        <v>1852</v>
      </c>
      <c r="C152" s="681" t="s">
        <v>1323</v>
      </c>
      <c r="D152" s="681" t="s">
        <v>50</v>
      </c>
      <c r="G152" s="652" t="s">
        <v>1372</v>
      </c>
      <c r="H152" s="652" t="s">
        <v>1433</v>
      </c>
    </row>
    <row r="153" spans="1:8" ht="14.25" customHeight="1">
      <c r="A153" s="691" t="s">
        <v>1853</v>
      </c>
      <c r="B153" s="680" t="s">
        <v>1854</v>
      </c>
      <c r="C153" s="681" t="s">
        <v>1323</v>
      </c>
      <c r="D153" s="681" t="s">
        <v>56</v>
      </c>
      <c r="G153" s="652" t="s">
        <v>1413</v>
      </c>
      <c r="H153" s="652" t="s">
        <v>1412</v>
      </c>
    </row>
    <row r="154" spans="1:8" ht="14.25" customHeight="1">
      <c r="A154" s="691" t="s">
        <v>1855</v>
      </c>
      <c r="B154" s="680" t="s">
        <v>1856</v>
      </c>
      <c r="C154" s="681" t="s">
        <v>1323</v>
      </c>
      <c r="D154" s="681" t="s">
        <v>58</v>
      </c>
      <c r="G154" s="652" t="s">
        <v>1373</v>
      </c>
      <c r="H154" s="652" t="s">
        <v>1434</v>
      </c>
    </row>
    <row r="155" spans="1:8" ht="14.25" customHeight="1">
      <c r="A155" s="691" t="s">
        <v>1857</v>
      </c>
      <c r="B155" s="680" t="s">
        <v>1858</v>
      </c>
      <c r="C155" s="681" t="s">
        <v>1323</v>
      </c>
      <c r="D155" s="681" t="s">
        <v>50</v>
      </c>
      <c r="G155" s="652" t="s">
        <v>1415</v>
      </c>
      <c r="H155" s="652" t="s">
        <v>1414</v>
      </c>
    </row>
    <row r="156" spans="1:8" ht="14.25" customHeight="1">
      <c r="A156" s="691" t="s">
        <v>1859</v>
      </c>
      <c r="B156" s="680" t="s">
        <v>1860</v>
      </c>
      <c r="C156" s="681" t="s">
        <v>1323</v>
      </c>
      <c r="D156" s="681" t="s">
        <v>50</v>
      </c>
      <c r="G156" s="652" t="s">
        <v>969</v>
      </c>
      <c r="H156" s="652" t="s">
        <v>970</v>
      </c>
    </row>
    <row r="157" spans="1:8" ht="14.25" customHeight="1">
      <c r="A157" s="691" t="s">
        <v>1861</v>
      </c>
      <c r="B157" s="680" t="s">
        <v>1862</v>
      </c>
      <c r="C157" s="681" t="s">
        <v>1323</v>
      </c>
      <c r="D157" s="681" t="s">
        <v>60</v>
      </c>
      <c r="G157" s="652" t="s">
        <v>971</v>
      </c>
      <c r="H157" s="652" t="s">
        <v>972</v>
      </c>
    </row>
    <row r="158" spans="1:8" ht="14.25" customHeight="1">
      <c r="A158" s="691" t="s">
        <v>1863</v>
      </c>
      <c r="B158" s="680" t="s">
        <v>1864</v>
      </c>
      <c r="C158" s="681" t="s">
        <v>1323</v>
      </c>
      <c r="D158" s="681" t="s">
        <v>60</v>
      </c>
      <c r="G158" s="652" t="s">
        <v>773</v>
      </c>
      <c r="H158" s="652" t="s">
        <v>980</v>
      </c>
    </row>
    <row r="159" spans="1:8" ht="14.25" customHeight="1">
      <c r="A159" s="691" t="s">
        <v>1865</v>
      </c>
      <c r="B159" s="680" t="s">
        <v>1866</v>
      </c>
      <c r="C159" s="681" t="s">
        <v>1323</v>
      </c>
      <c r="D159" s="681" t="s">
        <v>60</v>
      </c>
      <c r="G159" s="652" t="s">
        <v>1374</v>
      </c>
      <c r="H159" s="652" t="s">
        <v>974</v>
      </c>
    </row>
    <row r="160" spans="1:8" ht="14.25" customHeight="1">
      <c r="A160" s="691" t="s">
        <v>1867</v>
      </c>
      <c r="B160" s="680" t="s">
        <v>1868</v>
      </c>
      <c r="C160" s="681" t="s">
        <v>1323</v>
      </c>
      <c r="D160" s="681" t="s">
        <v>60</v>
      </c>
      <c r="G160" s="652" t="s">
        <v>1416</v>
      </c>
      <c r="H160" s="652" t="s">
        <v>975</v>
      </c>
    </row>
    <row r="161" spans="1:8" ht="14.25" customHeight="1">
      <c r="A161" s="691" t="s">
        <v>1869</v>
      </c>
      <c r="B161" s="680" t="s">
        <v>1870</v>
      </c>
      <c r="C161" s="681" t="s">
        <v>1323</v>
      </c>
      <c r="D161" s="681" t="s">
        <v>60</v>
      </c>
      <c r="G161" s="652" t="s">
        <v>1375</v>
      </c>
      <c r="H161" s="652" t="s">
        <v>1871</v>
      </c>
    </row>
    <row r="162" spans="1:8" ht="14.25" customHeight="1">
      <c r="A162" s="691" t="s">
        <v>1872</v>
      </c>
      <c r="B162" s="680" t="s">
        <v>1873</v>
      </c>
      <c r="C162" s="681" t="s">
        <v>1323</v>
      </c>
      <c r="D162" s="681" t="s">
        <v>57</v>
      </c>
      <c r="G162" s="652" t="s">
        <v>1418</v>
      </c>
      <c r="H162" s="652" t="s">
        <v>1417</v>
      </c>
    </row>
    <row r="163" spans="1:8" ht="14.25" customHeight="1">
      <c r="A163" s="691" t="s">
        <v>1874</v>
      </c>
      <c r="B163" s="680" t="s">
        <v>1875</v>
      </c>
      <c r="C163" s="681" t="s">
        <v>1323</v>
      </c>
      <c r="D163" s="681" t="s">
        <v>60</v>
      </c>
      <c r="G163" s="652" t="s">
        <v>1376</v>
      </c>
      <c r="H163" s="652" t="s">
        <v>1437</v>
      </c>
    </row>
    <row r="164" spans="1:8" ht="14.25" customHeight="1">
      <c r="A164" s="691" t="s">
        <v>1876</v>
      </c>
      <c r="B164" s="680" t="s">
        <v>1877</v>
      </c>
      <c r="C164" s="681" t="s">
        <v>1323</v>
      </c>
      <c r="D164" s="681" t="s">
        <v>60</v>
      </c>
      <c r="G164" s="652" t="s">
        <v>1420</v>
      </c>
      <c r="H164" s="652" t="s">
        <v>1419</v>
      </c>
    </row>
    <row r="165" spans="1:8" ht="14.25" customHeight="1">
      <c r="A165" s="680" t="s">
        <v>1878</v>
      </c>
      <c r="B165" s="680" t="s">
        <v>1879</v>
      </c>
      <c r="C165" s="681" t="s">
        <v>1323</v>
      </c>
      <c r="D165" s="681" t="s">
        <v>60</v>
      </c>
      <c r="G165" s="652" t="s">
        <v>981</v>
      </c>
      <c r="H165" s="652" t="s">
        <v>982</v>
      </c>
    </row>
    <row r="166" spans="1:8" ht="14.25" customHeight="1">
      <c r="A166" s="691" t="s">
        <v>1880</v>
      </c>
      <c r="B166" s="680" t="s">
        <v>1881</v>
      </c>
      <c r="C166" s="681" t="s">
        <v>1323</v>
      </c>
      <c r="D166" s="681" t="s">
        <v>60</v>
      </c>
      <c r="G166" s="652" t="s">
        <v>983</v>
      </c>
      <c r="H166" s="652" t="s">
        <v>984</v>
      </c>
    </row>
    <row r="167" spans="1:8" ht="14.25" customHeight="1">
      <c r="A167" s="691" t="s">
        <v>1882</v>
      </c>
      <c r="B167" s="680" t="s">
        <v>1883</v>
      </c>
      <c r="C167" s="681" t="s">
        <v>1323</v>
      </c>
      <c r="D167" s="681" t="s">
        <v>60</v>
      </c>
      <c r="G167" s="652" t="s">
        <v>988</v>
      </c>
      <c r="H167" s="652" t="s">
        <v>989</v>
      </c>
    </row>
    <row r="168" spans="1:8" ht="14.25" customHeight="1">
      <c r="A168" s="691" t="s">
        <v>1884</v>
      </c>
      <c r="B168" s="680" t="s">
        <v>1885</v>
      </c>
      <c r="C168" s="681" t="s">
        <v>1323</v>
      </c>
      <c r="D168" s="681" t="s">
        <v>60</v>
      </c>
      <c r="G168" s="652" t="s">
        <v>990</v>
      </c>
      <c r="H168" s="652" t="s">
        <v>991</v>
      </c>
    </row>
    <row r="169" spans="1:8" ht="14.25" customHeight="1">
      <c r="A169" s="691" t="s">
        <v>1886</v>
      </c>
      <c r="B169" s="680" t="s">
        <v>1887</v>
      </c>
      <c r="C169" s="681" t="s">
        <v>1323</v>
      </c>
      <c r="D169" s="681" t="s">
        <v>57</v>
      </c>
      <c r="G169" s="652" t="s">
        <v>992</v>
      </c>
      <c r="H169" s="652" t="s">
        <v>993</v>
      </c>
    </row>
    <row r="170" spans="1:8" ht="14.25" customHeight="1">
      <c r="A170" s="680" t="s">
        <v>1888</v>
      </c>
      <c r="B170" s="680" t="s">
        <v>1889</v>
      </c>
      <c r="C170" s="681" t="s">
        <v>1323</v>
      </c>
      <c r="D170" s="681" t="s">
        <v>57</v>
      </c>
      <c r="G170" s="652" t="s">
        <v>994</v>
      </c>
      <c r="H170" s="652" t="s">
        <v>995</v>
      </c>
    </row>
    <row r="171" spans="1:8" ht="14.25" customHeight="1">
      <c r="A171" s="691" t="s">
        <v>1890</v>
      </c>
      <c r="B171" s="680" t="s">
        <v>1891</v>
      </c>
      <c r="C171" s="681" t="s">
        <v>1323</v>
      </c>
      <c r="D171" s="681" t="s">
        <v>60</v>
      </c>
      <c r="G171" s="652" t="s">
        <v>1378</v>
      </c>
      <c r="H171" s="652" t="s">
        <v>1435</v>
      </c>
    </row>
    <row r="172" spans="1:8" ht="14.25" customHeight="1">
      <c r="A172" s="691" t="s">
        <v>1892</v>
      </c>
      <c r="B172" s="680" t="s">
        <v>1893</v>
      </c>
      <c r="C172" s="681" t="s">
        <v>1323</v>
      </c>
      <c r="D172" s="681" t="s">
        <v>60</v>
      </c>
      <c r="G172" s="652" t="s">
        <v>1423</v>
      </c>
      <c r="H172" s="652" t="s">
        <v>1422</v>
      </c>
    </row>
    <row r="173" spans="1:8" ht="14.25" customHeight="1">
      <c r="A173" s="691" t="s">
        <v>1894</v>
      </c>
      <c r="B173" s="680" t="s">
        <v>1895</v>
      </c>
      <c r="C173" s="681" t="s">
        <v>1323</v>
      </c>
      <c r="D173" s="681" t="s">
        <v>60</v>
      </c>
      <c r="G173" s="652" t="s">
        <v>996</v>
      </c>
      <c r="H173" s="652" t="s">
        <v>997</v>
      </c>
    </row>
    <row r="174" spans="1:8" ht="14.25" customHeight="1">
      <c r="A174" s="691" t="s">
        <v>1896</v>
      </c>
      <c r="B174" s="680" t="s">
        <v>1897</v>
      </c>
      <c r="C174" s="681" t="s">
        <v>1323</v>
      </c>
      <c r="D174" s="681" t="s">
        <v>60</v>
      </c>
      <c r="G174" s="652" t="s">
        <v>998</v>
      </c>
      <c r="H174" s="652" t="s">
        <v>999</v>
      </c>
    </row>
    <row r="175" spans="1:8" ht="14.25" customHeight="1">
      <c r="A175" s="691" t="s">
        <v>1898</v>
      </c>
      <c r="B175" s="680" t="s">
        <v>1361</v>
      </c>
      <c r="C175" s="681" t="s">
        <v>1323</v>
      </c>
      <c r="D175" s="681" t="s">
        <v>60</v>
      </c>
      <c r="G175" s="652" t="s">
        <v>1000</v>
      </c>
      <c r="H175" s="652" t="s">
        <v>1001</v>
      </c>
    </row>
    <row r="176" spans="1:8" ht="14.25" customHeight="1">
      <c r="A176" s="680" t="s">
        <v>1899</v>
      </c>
      <c r="B176" s="680" t="s">
        <v>1900</v>
      </c>
      <c r="C176" s="681" t="s">
        <v>1323</v>
      </c>
      <c r="D176" s="681" t="s">
        <v>60</v>
      </c>
      <c r="G176" s="652" t="s">
        <v>1002</v>
      </c>
      <c r="H176" s="652" t="s">
        <v>1003</v>
      </c>
    </row>
    <row r="177" spans="1:8" ht="14.25" customHeight="1">
      <c r="A177" s="691" t="s">
        <v>1901</v>
      </c>
      <c r="B177" s="680" t="s">
        <v>1902</v>
      </c>
      <c r="C177" s="681" t="s">
        <v>1323</v>
      </c>
      <c r="D177" s="681" t="s">
        <v>60</v>
      </c>
      <c r="G177" s="652" t="s">
        <v>1008</v>
      </c>
      <c r="H177" s="652" t="s">
        <v>1009</v>
      </c>
    </row>
    <row r="178" spans="1:8" ht="14.25" customHeight="1">
      <c r="A178" s="691" t="s">
        <v>1903</v>
      </c>
      <c r="B178" s="680" t="s">
        <v>1904</v>
      </c>
      <c r="C178" s="681" t="s">
        <v>1323</v>
      </c>
      <c r="D178" s="681" t="s">
        <v>70</v>
      </c>
      <c r="G178" s="652" t="s">
        <v>1010</v>
      </c>
      <c r="H178" s="652" t="s">
        <v>1011</v>
      </c>
    </row>
    <row r="179" spans="1:8" ht="14.25" customHeight="1">
      <c r="A179" s="691" t="s">
        <v>1905</v>
      </c>
      <c r="B179" s="680" t="s">
        <v>1906</v>
      </c>
      <c r="C179" s="681" t="s">
        <v>1323</v>
      </c>
      <c r="D179" s="681" t="s">
        <v>70</v>
      </c>
      <c r="G179" s="652" t="s">
        <v>775</v>
      </c>
      <c r="H179" s="652" t="s">
        <v>1907</v>
      </c>
    </row>
    <row r="180" spans="1:8" ht="14.25" customHeight="1">
      <c r="A180" s="691" t="s">
        <v>1908</v>
      </c>
      <c r="B180" s="680" t="s">
        <v>1909</v>
      </c>
      <c r="C180" s="681" t="s">
        <v>1323</v>
      </c>
      <c r="D180" s="681" t="s">
        <v>70</v>
      </c>
      <c r="G180" s="652" t="s">
        <v>1012</v>
      </c>
      <c r="H180" s="652" t="s">
        <v>1013</v>
      </c>
    </row>
    <row r="181" spans="1:8" ht="14.25" customHeight="1">
      <c r="A181" s="691" t="s">
        <v>1910</v>
      </c>
      <c r="B181" s="680" t="s">
        <v>1911</v>
      </c>
      <c r="C181" s="681" t="s">
        <v>1323</v>
      </c>
      <c r="D181" s="681" t="s">
        <v>70</v>
      </c>
      <c r="G181" s="652" t="s">
        <v>1014</v>
      </c>
      <c r="H181" s="652" t="s">
        <v>1015</v>
      </c>
    </row>
    <row r="182" spans="1:8" ht="14.25" customHeight="1">
      <c r="A182" s="691" t="s">
        <v>1912</v>
      </c>
      <c r="B182" s="680" t="s">
        <v>1913</v>
      </c>
      <c r="C182" s="681" t="s">
        <v>1323</v>
      </c>
      <c r="D182" s="681" t="s">
        <v>74</v>
      </c>
      <c r="G182" s="652" t="s">
        <v>776</v>
      </c>
      <c r="H182" s="652" t="s">
        <v>1914</v>
      </c>
    </row>
    <row r="183" spans="1:8" ht="14.25" customHeight="1">
      <c r="A183" s="691" t="s">
        <v>1915</v>
      </c>
      <c r="B183" s="680" t="s">
        <v>1916</v>
      </c>
      <c r="C183" s="681" t="s">
        <v>1323</v>
      </c>
      <c r="D183" s="681" t="s">
        <v>74</v>
      </c>
      <c r="G183" s="652" t="s">
        <v>777</v>
      </c>
      <c r="H183" s="652" t="s">
        <v>1917</v>
      </c>
    </row>
    <row r="184" spans="1:8" ht="14.25" customHeight="1">
      <c r="A184" s="691" t="s">
        <v>1918</v>
      </c>
      <c r="B184" s="680" t="s">
        <v>1919</v>
      </c>
      <c r="C184" s="681" t="s">
        <v>1323</v>
      </c>
      <c r="D184" s="681" t="s">
        <v>74</v>
      </c>
      <c r="G184" s="652" t="s">
        <v>778</v>
      </c>
      <c r="H184" s="652" t="s">
        <v>1920</v>
      </c>
    </row>
    <row r="185" spans="1:8" ht="14.25" customHeight="1">
      <c r="A185" s="691" t="s">
        <v>1921</v>
      </c>
      <c r="B185" s="680" t="s">
        <v>1922</v>
      </c>
      <c r="C185" s="681" t="s">
        <v>1323</v>
      </c>
      <c r="D185" s="681" t="s">
        <v>74</v>
      </c>
      <c r="G185" s="652" t="s">
        <v>779</v>
      </c>
      <c r="H185" s="652" t="s">
        <v>1923</v>
      </c>
    </row>
    <row r="186" spans="1:8" ht="14.25" customHeight="1">
      <c r="A186" s="691" t="s">
        <v>1924</v>
      </c>
      <c r="B186" s="680" t="s">
        <v>1925</v>
      </c>
      <c r="C186" s="681" t="s">
        <v>1323</v>
      </c>
      <c r="D186" s="681" t="s">
        <v>74</v>
      </c>
      <c r="G186" s="652" t="s">
        <v>780</v>
      </c>
      <c r="H186" s="652" t="s">
        <v>1926</v>
      </c>
    </row>
    <row r="187" spans="1:8" ht="14.25" customHeight="1">
      <c r="A187" s="691" t="s">
        <v>1927</v>
      </c>
      <c r="B187" s="680" t="s">
        <v>1928</v>
      </c>
      <c r="C187" s="681" t="s">
        <v>1323</v>
      </c>
      <c r="D187" s="681" t="s">
        <v>74</v>
      </c>
      <c r="G187" s="652" t="s">
        <v>781</v>
      </c>
      <c r="H187" s="652" t="s">
        <v>1929</v>
      </c>
    </row>
    <row r="188" spans="1:8" ht="14.25" customHeight="1">
      <c r="A188" s="691" t="s">
        <v>1930</v>
      </c>
      <c r="B188" s="680" t="s">
        <v>1931</v>
      </c>
      <c r="C188" s="681" t="s">
        <v>1323</v>
      </c>
      <c r="D188" s="681" t="s">
        <v>77</v>
      </c>
      <c r="G188" s="652" t="s">
        <v>782</v>
      </c>
      <c r="H188" s="652" t="s">
        <v>1932</v>
      </c>
    </row>
    <row r="189" spans="1:8" ht="14.25" customHeight="1">
      <c r="A189" s="691" t="s">
        <v>1933</v>
      </c>
      <c r="B189" s="680" t="s">
        <v>1934</v>
      </c>
      <c r="C189" s="681" t="s">
        <v>1323</v>
      </c>
      <c r="D189" s="681" t="s">
        <v>77</v>
      </c>
      <c r="G189" s="652" t="s">
        <v>1016</v>
      </c>
      <c r="H189" s="652" t="s">
        <v>1935</v>
      </c>
    </row>
    <row r="190" spans="1:8" ht="14.25" customHeight="1">
      <c r="A190" s="691" t="s">
        <v>1936</v>
      </c>
      <c r="B190" s="680" t="s">
        <v>1937</v>
      </c>
      <c r="C190" s="681" t="s">
        <v>1323</v>
      </c>
      <c r="D190" s="681" t="s">
        <v>1938</v>
      </c>
      <c r="G190" s="652" t="s">
        <v>1018</v>
      </c>
      <c r="H190" s="652" t="s">
        <v>1019</v>
      </c>
    </row>
    <row r="191" spans="1:8" ht="14.25" customHeight="1">
      <c r="A191" s="691" t="s">
        <v>1939</v>
      </c>
      <c r="B191" s="680" t="s">
        <v>1940</v>
      </c>
      <c r="C191" s="681" t="s">
        <v>1323</v>
      </c>
      <c r="D191" s="681" t="s">
        <v>1938</v>
      </c>
      <c r="G191" s="652" t="s">
        <v>783</v>
      </c>
      <c r="H191" s="652" t="s">
        <v>1941</v>
      </c>
    </row>
    <row r="192" spans="1:8" ht="14.25" customHeight="1">
      <c r="A192" s="691" t="s">
        <v>1942</v>
      </c>
      <c r="B192" s="680" t="s">
        <v>1943</v>
      </c>
      <c r="C192" s="681" t="s">
        <v>1323</v>
      </c>
      <c r="D192" s="681" t="s">
        <v>77</v>
      </c>
      <c r="G192" s="652" t="s">
        <v>1020</v>
      </c>
      <c r="H192" s="652" t="s">
        <v>1944</v>
      </c>
    </row>
    <row r="193" spans="1:8" ht="14.25" customHeight="1">
      <c r="A193" s="691" t="s">
        <v>1945</v>
      </c>
      <c r="B193" s="680" t="s">
        <v>1946</v>
      </c>
      <c r="C193" s="681" t="s">
        <v>1323</v>
      </c>
      <c r="D193" s="681" t="s">
        <v>77</v>
      </c>
      <c r="G193" s="652" t="s">
        <v>1022</v>
      </c>
      <c r="H193" s="652" t="s">
        <v>1023</v>
      </c>
    </row>
    <row r="194" spans="1:8" ht="14.25" customHeight="1">
      <c r="A194" s="691" t="s">
        <v>1947</v>
      </c>
      <c r="B194" s="680" t="s">
        <v>1948</v>
      </c>
      <c r="C194" s="681" t="s">
        <v>1323</v>
      </c>
      <c r="D194" s="681" t="s">
        <v>1938</v>
      </c>
      <c r="G194" s="652" t="s">
        <v>784</v>
      </c>
      <c r="H194" s="652" t="s">
        <v>1949</v>
      </c>
    </row>
    <row r="195" spans="1:8" ht="14.25" customHeight="1">
      <c r="A195" s="691" t="s">
        <v>1950</v>
      </c>
      <c r="B195" s="680" t="s">
        <v>1951</v>
      </c>
      <c r="C195" s="681" t="s">
        <v>1323</v>
      </c>
      <c r="D195" s="681" t="s">
        <v>1938</v>
      </c>
      <c r="G195" s="652" t="s">
        <v>785</v>
      </c>
      <c r="H195" s="652" t="s">
        <v>1952</v>
      </c>
    </row>
    <row r="196" spans="1:8" ht="14.25" customHeight="1">
      <c r="A196" s="691" t="s">
        <v>1953</v>
      </c>
      <c r="B196" s="680" t="s">
        <v>1954</v>
      </c>
      <c r="C196" s="681" t="s">
        <v>1323</v>
      </c>
      <c r="D196" s="681" t="s">
        <v>76</v>
      </c>
      <c r="G196" s="652" t="s">
        <v>1024</v>
      </c>
      <c r="H196" s="652" t="s">
        <v>1025</v>
      </c>
    </row>
    <row r="197" spans="1:8" ht="14.25" customHeight="1">
      <c r="A197" s="691" t="s">
        <v>1955</v>
      </c>
      <c r="B197" s="680" t="s">
        <v>1956</v>
      </c>
      <c r="C197" s="681" t="s">
        <v>1323</v>
      </c>
      <c r="D197" s="681" t="s">
        <v>76</v>
      </c>
      <c r="G197" s="652" t="s">
        <v>1024</v>
      </c>
      <c r="H197" s="652" t="s">
        <v>1026</v>
      </c>
    </row>
    <row r="198" spans="1:8" ht="14.25" customHeight="1">
      <c r="A198" s="691" t="s">
        <v>1957</v>
      </c>
      <c r="B198" s="680" t="s">
        <v>1958</v>
      </c>
      <c r="C198" s="681" t="s">
        <v>1323</v>
      </c>
      <c r="D198" s="681" t="s">
        <v>76</v>
      </c>
      <c r="G198" s="652" t="s">
        <v>1027</v>
      </c>
      <c r="H198" s="652" t="s">
        <v>1028</v>
      </c>
    </row>
    <row r="199" spans="1:8" ht="14.25" customHeight="1">
      <c r="A199" s="691" t="s">
        <v>1959</v>
      </c>
      <c r="B199" s="680" t="s">
        <v>1960</v>
      </c>
      <c r="C199" s="681" t="s">
        <v>1323</v>
      </c>
      <c r="D199" s="681" t="s">
        <v>76</v>
      </c>
      <c r="G199" s="652" t="s">
        <v>1426</v>
      </c>
      <c r="H199" s="652" t="s">
        <v>1425</v>
      </c>
    </row>
    <row r="200" spans="1:8" ht="14.25" customHeight="1">
      <c r="A200" s="691" t="s">
        <v>1961</v>
      </c>
      <c r="B200" s="680" t="s">
        <v>899</v>
      </c>
      <c r="C200" s="681" t="s">
        <v>1323</v>
      </c>
      <c r="D200" s="681" t="s">
        <v>79</v>
      </c>
      <c r="G200" s="652" t="s">
        <v>1029</v>
      </c>
      <c r="H200" s="652" t="s">
        <v>1030</v>
      </c>
    </row>
    <row r="201" spans="1:8" ht="14.25" customHeight="1">
      <c r="A201" s="691" t="s">
        <v>1962</v>
      </c>
      <c r="B201" s="680" t="s">
        <v>1963</v>
      </c>
      <c r="C201" s="681" t="s">
        <v>1323</v>
      </c>
      <c r="D201" s="681" t="s">
        <v>1964</v>
      </c>
      <c r="G201" s="652" t="s">
        <v>1029</v>
      </c>
      <c r="H201" s="652" t="s">
        <v>1031</v>
      </c>
    </row>
    <row r="202" spans="1:8" ht="14.25" customHeight="1">
      <c r="A202" s="680" t="s">
        <v>1965</v>
      </c>
      <c r="B202" s="680" t="s">
        <v>1966</v>
      </c>
      <c r="C202" s="681" t="s">
        <v>1323</v>
      </c>
      <c r="D202" s="681" t="s">
        <v>1346</v>
      </c>
      <c r="G202" s="652" t="s">
        <v>1032</v>
      </c>
      <c r="H202" s="652" t="s">
        <v>1033</v>
      </c>
    </row>
    <row r="203" spans="1:8" ht="14.25" customHeight="1">
      <c r="A203" s="691" t="s">
        <v>1967</v>
      </c>
      <c r="B203" s="680" t="s">
        <v>1968</v>
      </c>
      <c r="C203" s="681" t="s">
        <v>1323</v>
      </c>
      <c r="D203" s="681" t="s">
        <v>47</v>
      </c>
      <c r="G203" s="652" t="s">
        <v>1032</v>
      </c>
      <c r="H203" s="652" t="s">
        <v>1034</v>
      </c>
    </row>
    <row r="204" spans="1:8" ht="14.25" customHeight="1">
      <c r="A204" s="690" t="s">
        <v>1969</v>
      </c>
      <c r="B204" s="690" t="s">
        <v>1970</v>
      </c>
      <c r="C204" s="681" t="s">
        <v>1323</v>
      </c>
      <c r="D204" s="681" t="s">
        <v>35</v>
      </c>
      <c r="G204" s="652" t="s">
        <v>1381</v>
      </c>
      <c r="H204" s="652" t="s">
        <v>1971</v>
      </c>
    </row>
    <row r="205" spans="1:8" ht="14.25" customHeight="1">
      <c r="A205" s="691" t="s">
        <v>1972</v>
      </c>
      <c r="B205" s="680" t="s">
        <v>1973</v>
      </c>
      <c r="C205" s="681" t="s">
        <v>1323</v>
      </c>
      <c r="D205" s="681" t="s">
        <v>35</v>
      </c>
      <c r="G205" s="652" t="s">
        <v>1428</v>
      </c>
      <c r="H205" s="652" t="s">
        <v>1427</v>
      </c>
    </row>
    <row r="206" spans="1:8" ht="14.25" customHeight="1">
      <c r="A206" s="691" t="s">
        <v>1974</v>
      </c>
      <c r="B206" s="680" t="s">
        <v>1975</v>
      </c>
      <c r="C206" s="681" t="s">
        <v>1323</v>
      </c>
      <c r="D206" s="681" t="s">
        <v>35</v>
      </c>
      <c r="G206" s="652" t="s">
        <v>1035</v>
      </c>
      <c r="H206" s="652" t="s">
        <v>1976</v>
      </c>
    </row>
    <row r="207" spans="1:8" ht="14.25" customHeight="1">
      <c r="A207" s="691" t="s">
        <v>1977</v>
      </c>
      <c r="B207" s="680" t="s">
        <v>1978</v>
      </c>
      <c r="C207" s="681" t="s">
        <v>1323</v>
      </c>
      <c r="D207" s="681" t="s">
        <v>35</v>
      </c>
      <c r="G207" s="652" t="s">
        <v>1035</v>
      </c>
      <c r="H207" s="652" t="s">
        <v>1037</v>
      </c>
    </row>
    <row r="208" spans="1:8" ht="14.25" customHeight="1">
      <c r="A208" s="691" t="s">
        <v>1979</v>
      </c>
      <c r="B208" s="680" t="s">
        <v>1980</v>
      </c>
      <c r="C208" s="681" t="s">
        <v>1323</v>
      </c>
      <c r="D208" s="681" t="s">
        <v>35</v>
      </c>
      <c r="G208" s="652" t="s">
        <v>1038</v>
      </c>
      <c r="H208" s="652" t="s">
        <v>1039</v>
      </c>
    </row>
    <row r="209" spans="1:8" ht="14.25" customHeight="1">
      <c r="A209" s="691" t="s">
        <v>1981</v>
      </c>
      <c r="B209" s="680" t="s">
        <v>1982</v>
      </c>
      <c r="C209" s="681" t="s">
        <v>1323</v>
      </c>
      <c r="D209" s="681" t="s">
        <v>35</v>
      </c>
      <c r="G209" s="652" t="s">
        <v>1038</v>
      </c>
      <c r="H209" s="652" t="s">
        <v>1040</v>
      </c>
    </row>
    <row r="210" spans="1:8" ht="14.25" customHeight="1">
      <c r="A210" s="691" t="s">
        <v>1983</v>
      </c>
      <c r="B210" s="680" t="s">
        <v>1984</v>
      </c>
      <c r="C210" s="681" t="s">
        <v>1323</v>
      </c>
      <c r="D210" s="681" t="s">
        <v>43</v>
      </c>
      <c r="G210" s="652" t="s">
        <v>1041</v>
      </c>
      <c r="H210" s="652" t="s">
        <v>1042</v>
      </c>
    </row>
    <row r="211" spans="1:8" ht="14.25" customHeight="1">
      <c r="A211" s="691" t="s">
        <v>1985</v>
      </c>
      <c r="B211" s="680" t="s">
        <v>1986</v>
      </c>
      <c r="C211" s="681" t="s">
        <v>1323</v>
      </c>
      <c r="D211" s="681" t="s">
        <v>43</v>
      </c>
      <c r="G211" s="652" t="s">
        <v>1043</v>
      </c>
      <c r="H211" s="652" t="s">
        <v>1044</v>
      </c>
    </row>
    <row r="212" spans="1:8" ht="14.25" customHeight="1">
      <c r="A212" s="691" t="s">
        <v>1987</v>
      </c>
      <c r="B212" s="680" t="s">
        <v>1988</v>
      </c>
      <c r="C212" s="681" t="s">
        <v>1323</v>
      </c>
      <c r="D212" s="681" t="s">
        <v>43</v>
      </c>
      <c r="G212" s="652" t="s">
        <v>1045</v>
      </c>
      <c r="H212" s="652" t="s">
        <v>1046</v>
      </c>
    </row>
    <row r="213" spans="1:8" ht="14.25" customHeight="1">
      <c r="A213" s="691" t="s">
        <v>1989</v>
      </c>
      <c r="B213" s="680" t="s">
        <v>1990</v>
      </c>
      <c r="C213" s="681" t="s">
        <v>1323</v>
      </c>
      <c r="D213" s="681" t="s">
        <v>43</v>
      </c>
      <c r="G213" s="652" t="s">
        <v>1047</v>
      </c>
      <c r="H213" s="652" t="s">
        <v>1048</v>
      </c>
    </row>
    <row r="214" spans="1:8" ht="14.25" customHeight="1">
      <c r="A214" s="691" t="s">
        <v>1991</v>
      </c>
      <c r="B214" s="680" t="s">
        <v>1992</v>
      </c>
      <c r="C214" s="681" t="s">
        <v>1323</v>
      </c>
      <c r="D214" s="681" t="s">
        <v>33</v>
      </c>
      <c r="G214" s="652" t="s">
        <v>1052</v>
      </c>
      <c r="H214" s="652" t="s">
        <v>1053</v>
      </c>
    </row>
    <row r="215" spans="1:8" ht="14.25" customHeight="1">
      <c r="A215" s="691" t="s">
        <v>1993</v>
      </c>
      <c r="B215" s="680" t="s">
        <v>1994</v>
      </c>
      <c r="C215" s="681" t="s">
        <v>1323</v>
      </c>
      <c r="D215" s="681" t="s">
        <v>43</v>
      </c>
      <c r="G215" s="652" t="s">
        <v>1054</v>
      </c>
      <c r="H215" s="652" t="s">
        <v>1055</v>
      </c>
    </row>
    <row r="216" spans="1:8" ht="14.25" customHeight="1">
      <c r="A216" s="691" t="s">
        <v>1995</v>
      </c>
      <c r="B216" s="680" t="s">
        <v>1996</v>
      </c>
      <c r="C216" s="681" t="s">
        <v>1323</v>
      </c>
      <c r="D216" s="681" t="s">
        <v>57</v>
      </c>
      <c r="G216" s="652" t="s">
        <v>1056</v>
      </c>
      <c r="H216" s="652" t="s">
        <v>1057</v>
      </c>
    </row>
    <row r="217" spans="1:8" ht="14.25" customHeight="1">
      <c r="A217" s="691" t="s">
        <v>1997</v>
      </c>
      <c r="B217" s="680" t="s">
        <v>1998</v>
      </c>
      <c r="C217" s="681" t="s">
        <v>1323</v>
      </c>
      <c r="D217" s="681" t="s">
        <v>57</v>
      </c>
      <c r="G217" s="652" t="s">
        <v>1058</v>
      </c>
      <c r="H217" s="652" t="s">
        <v>1059</v>
      </c>
    </row>
    <row r="218" spans="1:8" ht="14.25" customHeight="1">
      <c r="A218" s="691" t="s">
        <v>1999</v>
      </c>
      <c r="B218" s="680" t="s">
        <v>2000</v>
      </c>
      <c r="C218" s="681" t="s">
        <v>1323</v>
      </c>
      <c r="D218" s="681" t="s">
        <v>28</v>
      </c>
      <c r="G218" s="652" t="s">
        <v>1060</v>
      </c>
      <c r="H218" s="652" t="s">
        <v>1061</v>
      </c>
    </row>
    <row r="219" spans="1:8" ht="14.25" customHeight="1">
      <c r="A219" s="680" t="s">
        <v>2001</v>
      </c>
      <c r="B219" s="680" t="s">
        <v>2002</v>
      </c>
      <c r="C219" s="681" t="s">
        <v>1323</v>
      </c>
      <c r="D219" s="681" t="s">
        <v>55</v>
      </c>
      <c r="G219" s="652" t="s">
        <v>1062</v>
      </c>
      <c r="H219" s="652" t="s">
        <v>1063</v>
      </c>
    </row>
    <row r="220" spans="1:8" ht="14.25" customHeight="1">
      <c r="A220" s="691" t="s">
        <v>2003</v>
      </c>
      <c r="B220" s="680" t="s">
        <v>2004</v>
      </c>
      <c r="C220" s="681" t="s">
        <v>1323</v>
      </c>
      <c r="D220" s="681" t="s">
        <v>55</v>
      </c>
      <c r="G220" s="652" t="s">
        <v>1064</v>
      </c>
      <c r="H220" s="652" t="s">
        <v>1065</v>
      </c>
    </row>
    <row r="221" spans="1:8" ht="14.25" customHeight="1">
      <c r="A221" s="691" t="s">
        <v>2005</v>
      </c>
      <c r="B221" s="680" t="s">
        <v>2006</v>
      </c>
      <c r="C221" s="681" t="s">
        <v>1323</v>
      </c>
      <c r="D221" s="681" t="s">
        <v>55</v>
      </c>
      <c r="G221" s="652" t="s">
        <v>1066</v>
      </c>
      <c r="H221" s="652" t="s">
        <v>1067</v>
      </c>
    </row>
    <row r="222" spans="1:8" ht="14.25" customHeight="1">
      <c r="A222" s="691" t="s">
        <v>2007</v>
      </c>
      <c r="B222" s="680" t="s">
        <v>2008</v>
      </c>
      <c r="C222" s="681" t="s">
        <v>1323</v>
      </c>
      <c r="D222" s="681" t="s">
        <v>55</v>
      </c>
      <c r="G222" s="652" t="s">
        <v>1068</v>
      </c>
      <c r="H222" s="652" t="s">
        <v>1069</v>
      </c>
    </row>
    <row r="223" spans="1:8" ht="14.25" customHeight="1">
      <c r="A223" s="691" t="s">
        <v>2009</v>
      </c>
      <c r="B223" s="680" t="s">
        <v>938</v>
      </c>
      <c r="C223" s="681" t="s">
        <v>1323</v>
      </c>
      <c r="D223" s="681" t="s">
        <v>55</v>
      </c>
      <c r="G223" s="652" t="s">
        <v>1070</v>
      </c>
      <c r="H223" s="652" t="s">
        <v>1071</v>
      </c>
    </row>
    <row r="224" spans="1:8" ht="14.25" customHeight="1">
      <c r="A224" s="691" t="s">
        <v>2010</v>
      </c>
      <c r="B224" s="680" t="s">
        <v>2011</v>
      </c>
      <c r="C224" s="681" t="s">
        <v>1323</v>
      </c>
      <c r="D224" s="681" t="s">
        <v>39</v>
      </c>
      <c r="G224" s="652" t="s">
        <v>1072</v>
      </c>
      <c r="H224" s="652" t="s">
        <v>1073</v>
      </c>
    </row>
    <row r="225" spans="1:8" ht="14.25" customHeight="1">
      <c r="A225" s="691" t="s">
        <v>2012</v>
      </c>
      <c r="B225" s="680" t="s">
        <v>2013</v>
      </c>
      <c r="C225" s="681" t="s">
        <v>1323</v>
      </c>
      <c r="D225" s="681" t="s">
        <v>53</v>
      </c>
      <c r="G225" s="652" t="s">
        <v>1074</v>
      </c>
      <c r="H225" s="652" t="s">
        <v>1075</v>
      </c>
    </row>
    <row r="226" spans="1:8" ht="14.25" customHeight="1">
      <c r="A226" s="691" t="s">
        <v>2014</v>
      </c>
      <c r="B226" s="680" t="s">
        <v>2015</v>
      </c>
      <c r="C226" s="681" t="s">
        <v>1323</v>
      </c>
      <c r="D226" s="681" t="s">
        <v>53</v>
      </c>
      <c r="G226" s="652" t="s">
        <v>1076</v>
      </c>
      <c r="H226" s="652" t="s">
        <v>1077</v>
      </c>
    </row>
    <row r="227" spans="1:8" ht="14.25" customHeight="1">
      <c r="A227" s="691" t="s">
        <v>2016</v>
      </c>
      <c r="B227" s="680" t="s">
        <v>2017</v>
      </c>
      <c r="C227" s="681" t="s">
        <v>1323</v>
      </c>
      <c r="D227" s="681" t="s">
        <v>53</v>
      </c>
      <c r="G227" s="652" t="s">
        <v>1068</v>
      </c>
      <c r="H227" s="652" t="s">
        <v>1078</v>
      </c>
    </row>
    <row r="228" spans="1:8" ht="14.25" customHeight="1">
      <c r="A228" s="691" t="s">
        <v>2018</v>
      </c>
      <c r="B228" s="680" t="s">
        <v>2019</v>
      </c>
      <c r="C228" s="681" t="s">
        <v>1323</v>
      </c>
      <c r="D228" s="681" t="s">
        <v>53</v>
      </c>
      <c r="G228" s="652" t="s">
        <v>1079</v>
      </c>
      <c r="H228" s="652" t="s">
        <v>1144</v>
      </c>
    </row>
    <row r="229" spans="1:8" ht="14.25" customHeight="1">
      <c r="A229" s="680" t="s">
        <v>2020</v>
      </c>
      <c r="B229" s="680" t="s">
        <v>2021</v>
      </c>
      <c r="C229" s="681" t="s">
        <v>1323</v>
      </c>
      <c r="D229" s="681" t="s">
        <v>53</v>
      </c>
      <c r="G229" s="652" t="s">
        <v>1081</v>
      </c>
      <c r="H229" s="652" t="s">
        <v>1082</v>
      </c>
    </row>
    <row r="230" spans="1:8" ht="14.25" customHeight="1">
      <c r="A230" s="680" t="s">
        <v>2022</v>
      </c>
      <c r="B230" s="680" t="s">
        <v>2023</v>
      </c>
      <c r="C230" s="681" t="s">
        <v>1323</v>
      </c>
      <c r="D230" s="681" t="s">
        <v>71</v>
      </c>
      <c r="G230" s="652" t="s">
        <v>1079</v>
      </c>
      <c r="H230" s="652" t="s">
        <v>2024</v>
      </c>
    </row>
    <row r="231" spans="1:8" ht="14.25" customHeight="1">
      <c r="A231" s="691" t="s">
        <v>2025</v>
      </c>
      <c r="B231" s="680" t="s">
        <v>956</v>
      </c>
      <c r="C231" s="681" t="s">
        <v>1323</v>
      </c>
      <c r="D231" s="681" t="s">
        <v>57</v>
      </c>
      <c r="G231" s="652" t="s">
        <v>1430</v>
      </c>
      <c r="H231" s="652" t="s">
        <v>1429</v>
      </c>
    </row>
    <row r="232" spans="1:8" ht="14.25" customHeight="1">
      <c r="A232" s="691" t="s">
        <v>2026</v>
      </c>
      <c r="B232" s="680" t="s">
        <v>2027</v>
      </c>
      <c r="C232" s="681" t="s">
        <v>1323</v>
      </c>
      <c r="D232" s="681" t="s">
        <v>84</v>
      </c>
      <c r="G232" s="652" t="s">
        <v>1087</v>
      </c>
      <c r="H232" s="652" t="s">
        <v>1088</v>
      </c>
    </row>
    <row r="233" spans="1:8" ht="14.25" customHeight="1">
      <c r="A233" s="691" t="s">
        <v>2028</v>
      </c>
      <c r="B233" s="680" t="s">
        <v>2029</v>
      </c>
      <c r="C233" s="681" t="s">
        <v>1323</v>
      </c>
      <c r="D233" s="681" t="s">
        <v>86</v>
      </c>
      <c r="G233" s="652" t="s">
        <v>1089</v>
      </c>
      <c r="H233" s="652" t="s">
        <v>1090</v>
      </c>
    </row>
    <row r="234" spans="1:8" ht="14.25" customHeight="1">
      <c r="A234" s="692" t="s">
        <v>2030</v>
      </c>
      <c r="B234" s="687" t="s">
        <v>2031</v>
      </c>
      <c r="C234" s="681" t="s">
        <v>92</v>
      </c>
      <c r="D234" s="681" t="s">
        <v>97</v>
      </c>
      <c r="G234" s="652" t="s">
        <v>1091</v>
      </c>
      <c r="H234" s="652" t="s">
        <v>1092</v>
      </c>
    </row>
    <row r="235" spans="1:8" ht="14.25" customHeight="1">
      <c r="A235" s="692" t="s">
        <v>2032</v>
      </c>
      <c r="B235" s="687" t="s">
        <v>2033</v>
      </c>
      <c r="C235" s="681" t="s">
        <v>92</v>
      </c>
      <c r="D235" s="681" t="s">
        <v>97</v>
      </c>
      <c r="G235" s="652" t="s">
        <v>1093</v>
      </c>
      <c r="H235" s="652" t="s">
        <v>1094</v>
      </c>
    </row>
    <row r="236" spans="1:8" ht="14.25" customHeight="1">
      <c r="A236" s="687" t="s">
        <v>2034</v>
      </c>
      <c r="B236" s="687" t="s">
        <v>2035</v>
      </c>
      <c r="C236" s="681" t="s">
        <v>92</v>
      </c>
      <c r="D236" s="681" t="s">
        <v>97</v>
      </c>
      <c r="G236" s="652" t="s">
        <v>1095</v>
      </c>
      <c r="H236" s="652" t="s">
        <v>1096</v>
      </c>
    </row>
    <row r="237" spans="1:8" ht="14.25" customHeight="1">
      <c r="A237" s="692" t="s">
        <v>2036</v>
      </c>
      <c r="B237" s="687" t="s">
        <v>2037</v>
      </c>
      <c r="C237" s="681" t="s">
        <v>92</v>
      </c>
      <c r="D237" s="681" t="s">
        <v>97</v>
      </c>
      <c r="G237" s="652" t="s">
        <v>1097</v>
      </c>
      <c r="H237" s="652" t="s">
        <v>1098</v>
      </c>
    </row>
    <row r="238" spans="1:8" ht="14.25" customHeight="1">
      <c r="A238" s="692" t="s">
        <v>2038</v>
      </c>
      <c r="B238" s="687" t="s">
        <v>2039</v>
      </c>
      <c r="C238" s="681" t="s">
        <v>92</v>
      </c>
      <c r="D238" s="681" t="s">
        <v>97</v>
      </c>
      <c r="G238" s="652" t="s">
        <v>1099</v>
      </c>
      <c r="H238" s="652" t="s">
        <v>1100</v>
      </c>
    </row>
    <row r="239" spans="1:8" ht="14.25" customHeight="1">
      <c r="A239" s="692" t="s">
        <v>2040</v>
      </c>
      <c r="B239" s="687" t="s">
        <v>2041</v>
      </c>
      <c r="C239" s="681" t="s">
        <v>92</v>
      </c>
      <c r="D239" s="681" t="s">
        <v>97</v>
      </c>
      <c r="G239" s="652" t="s">
        <v>1101</v>
      </c>
      <c r="H239" s="652" t="s">
        <v>1102</v>
      </c>
    </row>
    <row r="240" spans="1:8" ht="14.25" customHeight="1">
      <c r="A240" s="692" t="s">
        <v>2042</v>
      </c>
      <c r="B240" s="687" t="s">
        <v>2043</v>
      </c>
      <c r="C240" s="681" t="s">
        <v>92</v>
      </c>
      <c r="D240" s="681" t="s">
        <v>97</v>
      </c>
      <c r="G240" s="652" t="s">
        <v>1103</v>
      </c>
      <c r="H240" s="652" t="s">
        <v>1104</v>
      </c>
    </row>
    <row r="241" spans="1:8" ht="14.25" customHeight="1">
      <c r="A241" s="692" t="s">
        <v>2044</v>
      </c>
      <c r="B241" s="687" t="s">
        <v>2045</v>
      </c>
      <c r="C241" s="681" t="s">
        <v>92</v>
      </c>
      <c r="D241" s="681" t="s">
        <v>97</v>
      </c>
      <c r="G241" s="652" t="s">
        <v>1105</v>
      </c>
      <c r="H241" s="652" t="s">
        <v>1106</v>
      </c>
    </row>
    <row r="242" spans="1:8" ht="14.25" customHeight="1">
      <c r="A242" s="679" t="s">
        <v>2046</v>
      </c>
      <c r="B242" s="687" t="s">
        <v>2047</v>
      </c>
      <c r="C242" s="681" t="s">
        <v>92</v>
      </c>
      <c r="D242" s="681" t="s">
        <v>98</v>
      </c>
      <c r="G242" s="652" t="s">
        <v>1107</v>
      </c>
      <c r="H242" s="652" t="s">
        <v>1108</v>
      </c>
    </row>
    <row r="243" spans="1:8" ht="14.25" customHeight="1">
      <c r="A243" s="692" t="s">
        <v>2048</v>
      </c>
      <c r="B243" s="687" t="s">
        <v>2049</v>
      </c>
      <c r="C243" s="681" t="s">
        <v>92</v>
      </c>
      <c r="D243" s="681" t="s">
        <v>97</v>
      </c>
      <c r="G243" s="652" t="s">
        <v>1107</v>
      </c>
      <c r="H243" s="652" t="s">
        <v>1109</v>
      </c>
    </row>
    <row r="244" spans="1:8" ht="14.25" customHeight="1">
      <c r="A244" s="692" t="s">
        <v>2050</v>
      </c>
      <c r="B244" s="687" t="s">
        <v>2051</v>
      </c>
      <c r="C244" s="681" t="s">
        <v>92</v>
      </c>
      <c r="D244" s="681" t="s">
        <v>97</v>
      </c>
      <c r="G244" s="652" t="s">
        <v>1110</v>
      </c>
      <c r="H244" s="652" t="s">
        <v>2052</v>
      </c>
    </row>
    <row r="245" spans="1:8" ht="14.25" customHeight="1">
      <c r="A245" s="692" t="s">
        <v>2053</v>
      </c>
      <c r="B245" s="687" t="s">
        <v>2054</v>
      </c>
      <c r="C245" s="681" t="s">
        <v>92</v>
      </c>
      <c r="D245" s="681" t="s">
        <v>97</v>
      </c>
      <c r="G245" s="652" t="s">
        <v>726</v>
      </c>
      <c r="H245" s="652" t="s">
        <v>787</v>
      </c>
    </row>
    <row r="246" spans="1:8" ht="14.25" customHeight="1">
      <c r="A246" s="692" t="s">
        <v>2055</v>
      </c>
      <c r="B246" s="687" t="s">
        <v>2056</v>
      </c>
      <c r="C246" s="681" t="s">
        <v>92</v>
      </c>
      <c r="D246" s="681" t="s">
        <v>97</v>
      </c>
      <c r="G246" s="652" t="s">
        <v>786</v>
      </c>
      <c r="H246" s="652" t="s">
        <v>2057</v>
      </c>
    </row>
    <row r="247" spans="1:8" ht="14.25" customHeight="1">
      <c r="A247" s="687" t="s">
        <v>2058</v>
      </c>
      <c r="B247" s="687" t="s">
        <v>2059</v>
      </c>
      <c r="C247" s="681" t="s">
        <v>92</v>
      </c>
      <c r="D247" s="681" t="s">
        <v>97</v>
      </c>
      <c r="G247" s="652" t="s">
        <v>1111</v>
      </c>
      <c r="H247" s="652" t="s">
        <v>2060</v>
      </c>
    </row>
    <row r="248" spans="1:8" ht="14.25" customHeight="1">
      <c r="A248" s="692" t="s">
        <v>2061</v>
      </c>
      <c r="B248" s="687" t="s">
        <v>2062</v>
      </c>
      <c r="C248" s="681" t="s">
        <v>92</v>
      </c>
      <c r="D248" s="681" t="s">
        <v>97</v>
      </c>
      <c r="G248" s="652" t="s">
        <v>1382</v>
      </c>
      <c r="H248" s="652" t="s">
        <v>2063</v>
      </c>
    </row>
    <row r="249" spans="1:8" ht="14.25" customHeight="1">
      <c r="A249" s="691" t="s">
        <v>2064</v>
      </c>
      <c r="B249" s="680" t="s">
        <v>2065</v>
      </c>
      <c r="C249" s="681" t="s">
        <v>92</v>
      </c>
      <c r="D249" s="681" t="s">
        <v>97</v>
      </c>
      <c r="G249" s="652" t="s">
        <v>1383</v>
      </c>
      <c r="H249" s="652" t="s">
        <v>2066</v>
      </c>
    </row>
    <row r="250" spans="1:8" ht="14.25" customHeight="1">
      <c r="A250" s="692" t="s">
        <v>2067</v>
      </c>
      <c r="B250" s="687" t="s">
        <v>2068</v>
      </c>
      <c r="C250" s="681" t="s">
        <v>92</v>
      </c>
      <c r="D250" s="681" t="s">
        <v>98</v>
      </c>
      <c r="G250" s="652" t="s">
        <v>1384</v>
      </c>
      <c r="H250" s="652" t="s">
        <v>2069</v>
      </c>
    </row>
    <row r="251" spans="1:8" ht="14.25" customHeight="1">
      <c r="A251" s="691" t="s">
        <v>2070</v>
      </c>
      <c r="B251" s="680" t="s">
        <v>2071</v>
      </c>
      <c r="C251" s="681" t="s">
        <v>92</v>
      </c>
      <c r="D251" s="681" t="s">
        <v>98</v>
      </c>
      <c r="G251" s="652" t="s">
        <v>1113</v>
      </c>
      <c r="H251" s="652" t="s">
        <v>2072</v>
      </c>
    </row>
    <row r="252" spans="1:8" ht="14.25" customHeight="1">
      <c r="A252" s="692" t="s">
        <v>2073</v>
      </c>
      <c r="B252" s="687" t="s">
        <v>2074</v>
      </c>
      <c r="C252" s="681" t="s">
        <v>92</v>
      </c>
      <c r="D252" s="681" t="s">
        <v>98</v>
      </c>
      <c r="G252" s="652" t="s">
        <v>788</v>
      </c>
      <c r="H252" s="652" t="s">
        <v>1115</v>
      </c>
    </row>
    <row r="253" spans="1:8" ht="14.25" customHeight="1">
      <c r="A253" s="720" t="s">
        <v>2075</v>
      </c>
      <c r="B253" s="721" t="s">
        <v>2076</v>
      </c>
      <c r="C253" s="681" t="s">
        <v>92</v>
      </c>
      <c r="D253" s="681" t="s">
        <v>98</v>
      </c>
      <c r="G253" s="652" t="s">
        <v>1385</v>
      </c>
      <c r="H253" s="652" t="s">
        <v>2077</v>
      </c>
    </row>
    <row r="254" spans="1:8" ht="14.25" customHeight="1">
      <c r="A254" s="722" t="s">
        <v>2078</v>
      </c>
      <c r="B254" s="687" t="s">
        <v>2079</v>
      </c>
      <c r="C254" s="681" t="s">
        <v>92</v>
      </c>
      <c r="D254" s="681" t="s">
        <v>97</v>
      </c>
      <c r="G254" s="652" t="s">
        <v>1386</v>
      </c>
      <c r="H254" s="652" t="s">
        <v>2080</v>
      </c>
    </row>
    <row r="255" spans="1:8" ht="14.25" customHeight="1">
      <c r="A255" s="720" t="s">
        <v>2081</v>
      </c>
      <c r="B255" s="680" t="s">
        <v>2082</v>
      </c>
      <c r="C255" s="681" t="s">
        <v>92</v>
      </c>
      <c r="D255" s="681" t="s">
        <v>97</v>
      </c>
      <c r="G255" s="652" t="s">
        <v>1387</v>
      </c>
      <c r="H255" s="652" t="s">
        <v>2083</v>
      </c>
    </row>
    <row r="256" spans="1:8" ht="14.25" customHeight="1">
      <c r="A256" s="722" t="s">
        <v>2084</v>
      </c>
      <c r="B256" s="687" t="s">
        <v>2085</v>
      </c>
      <c r="C256" s="681" t="s">
        <v>92</v>
      </c>
      <c r="D256" s="681" t="s">
        <v>98</v>
      </c>
      <c r="G256" s="652" t="s">
        <v>1116</v>
      </c>
      <c r="H256" s="652" t="s">
        <v>2086</v>
      </c>
    </row>
    <row r="257" spans="1:8" ht="14.25" customHeight="1">
      <c r="A257" s="720" t="s">
        <v>2087</v>
      </c>
      <c r="B257" s="721" t="s">
        <v>2088</v>
      </c>
      <c r="C257" s="681" t="s">
        <v>92</v>
      </c>
      <c r="D257" s="681" t="s">
        <v>98</v>
      </c>
      <c r="G257" s="652" t="s">
        <v>789</v>
      </c>
      <c r="H257" s="652" t="s">
        <v>2089</v>
      </c>
    </row>
    <row r="258" spans="1:8" ht="14.25" customHeight="1">
      <c r="A258" s="723" t="s">
        <v>2090</v>
      </c>
      <c r="B258" s="680" t="s">
        <v>2091</v>
      </c>
      <c r="C258" s="681" t="s">
        <v>92</v>
      </c>
      <c r="D258" s="681" t="s">
        <v>98</v>
      </c>
      <c r="G258" s="652" t="s">
        <v>1118</v>
      </c>
      <c r="H258" s="652" t="s">
        <v>2092</v>
      </c>
    </row>
    <row r="259" spans="1:8" ht="14.25" customHeight="1">
      <c r="A259" s="691" t="s">
        <v>2093</v>
      </c>
      <c r="B259" s="680" t="s">
        <v>2094</v>
      </c>
      <c r="C259" s="681" t="s">
        <v>92</v>
      </c>
      <c r="D259" s="681" t="s">
        <v>98</v>
      </c>
      <c r="G259" s="652" t="s">
        <v>1119</v>
      </c>
      <c r="H259" s="652" t="s">
        <v>2095</v>
      </c>
    </row>
    <row r="260" spans="1:8" ht="14.25" customHeight="1">
      <c r="A260" s="692" t="s">
        <v>2096</v>
      </c>
      <c r="B260" s="687" t="s">
        <v>2097</v>
      </c>
      <c r="C260" s="681" t="s">
        <v>92</v>
      </c>
      <c r="D260" s="681" t="s">
        <v>97</v>
      </c>
      <c r="G260" s="652" t="s">
        <v>1388</v>
      </c>
      <c r="H260" s="652" t="s">
        <v>2098</v>
      </c>
    </row>
    <row r="261" spans="1:8" ht="14.25" customHeight="1">
      <c r="A261" s="691" t="s">
        <v>2099</v>
      </c>
      <c r="B261" s="680" t="s">
        <v>2100</v>
      </c>
      <c r="C261" s="681" t="s">
        <v>92</v>
      </c>
      <c r="D261" s="681" t="s">
        <v>97</v>
      </c>
      <c r="G261" s="652" t="s">
        <v>1120</v>
      </c>
      <c r="H261" s="652" t="s">
        <v>2101</v>
      </c>
    </row>
    <row r="262" spans="1:8" ht="14.25" customHeight="1">
      <c r="A262" s="692" t="s">
        <v>2102</v>
      </c>
      <c r="B262" s="687" t="s">
        <v>2103</v>
      </c>
      <c r="C262" s="681" t="s">
        <v>92</v>
      </c>
      <c r="D262" s="681" t="s">
        <v>97</v>
      </c>
      <c r="G262" s="652" t="s">
        <v>1120</v>
      </c>
      <c r="H262" s="652" t="s">
        <v>2104</v>
      </c>
    </row>
    <row r="263" spans="1:8" ht="14.25" customHeight="1">
      <c r="A263" s="691" t="s">
        <v>2105</v>
      </c>
      <c r="B263" s="680" t="s">
        <v>2106</v>
      </c>
      <c r="C263" s="681" t="s">
        <v>92</v>
      </c>
      <c r="D263" s="681" t="s">
        <v>97</v>
      </c>
      <c r="G263" s="652" t="s">
        <v>790</v>
      </c>
      <c r="H263" s="652" t="s">
        <v>1122</v>
      </c>
    </row>
    <row r="264" spans="1:8" ht="14.25" customHeight="1">
      <c r="A264" s="692" t="s">
        <v>2107</v>
      </c>
      <c r="B264" s="687" t="s">
        <v>2108</v>
      </c>
      <c r="C264" s="681" t="s">
        <v>92</v>
      </c>
      <c r="D264" s="681" t="s">
        <v>97</v>
      </c>
      <c r="G264" s="652" t="s">
        <v>1337</v>
      </c>
      <c r="H264" s="652" t="s">
        <v>2109</v>
      </c>
    </row>
    <row r="265" spans="1:8" ht="14.25" customHeight="1">
      <c r="A265" s="691" t="s">
        <v>2110</v>
      </c>
      <c r="B265" s="680" t="s">
        <v>2111</v>
      </c>
      <c r="C265" s="681" t="s">
        <v>92</v>
      </c>
      <c r="D265" s="681" t="s">
        <v>97</v>
      </c>
      <c r="G265" s="652" t="s">
        <v>791</v>
      </c>
      <c r="H265" s="652" t="s">
        <v>2112</v>
      </c>
    </row>
    <row r="266" spans="1:8" ht="14.25" customHeight="1">
      <c r="A266" s="692" t="s">
        <v>2113</v>
      </c>
      <c r="B266" s="687" t="s">
        <v>2114</v>
      </c>
      <c r="C266" s="681" t="s">
        <v>92</v>
      </c>
      <c r="D266" s="681" t="s">
        <v>97</v>
      </c>
      <c r="G266" s="652" t="s">
        <v>1123</v>
      </c>
      <c r="H266" s="652" t="s">
        <v>2115</v>
      </c>
    </row>
    <row r="267" spans="1:8" ht="14.25" customHeight="1">
      <c r="A267" s="691" t="s">
        <v>2116</v>
      </c>
      <c r="B267" s="680" t="s">
        <v>2117</v>
      </c>
      <c r="C267" s="681" t="s">
        <v>92</v>
      </c>
      <c r="D267" s="681" t="s">
        <v>97</v>
      </c>
      <c r="G267" s="652" t="s">
        <v>1124</v>
      </c>
      <c r="H267" s="652" t="s">
        <v>2118</v>
      </c>
    </row>
    <row r="268" spans="1:8" ht="14.25" customHeight="1">
      <c r="A268" s="692" t="s">
        <v>2119</v>
      </c>
      <c r="B268" s="687" t="s">
        <v>2120</v>
      </c>
      <c r="C268" s="681" t="s">
        <v>92</v>
      </c>
      <c r="D268" s="681" t="s">
        <v>97</v>
      </c>
      <c r="G268" s="652" t="s">
        <v>792</v>
      </c>
      <c r="H268" s="652" t="s">
        <v>2121</v>
      </c>
    </row>
    <row r="269" spans="1:8" ht="14.25" customHeight="1">
      <c r="A269" s="692" t="s">
        <v>2122</v>
      </c>
      <c r="B269" s="687" t="s">
        <v>2123</v>
      </c>
      <c r="C269" s="681" t="s">
        <v>92</v>
      </c>
      <c r="D269" s="681" t="s">
        <v>97</v>
      </c>
      <c r="G269" s="652" t="s">
        <v>1125</v>
      </c>
      <c r="H269" s="652" t="s">
        <v>2124</v>
      </c>
    </row>
    <row r="270" spans="1:8" ht="14.25" customHeight="1">
      <c r="A270" s="691" t="s">
        <v>2125</v>
      </c>
      <c r="B270" s="680" t="s">
        <v>2126</v>
      </c>
      <c r="C270" s="681" t="s">
        <v>92</v>
      </c>
      <c r="D270" s="681" t="s">
        <v>97</v>
      </c>
      <c r="G270" s="652" t="s">
        <v>1126</v>
      </c>
      <c r="H270" s="652" t="s">
        <v>2127</v>
      </c>
    </row>
    <row r="271" spans="1:8" ht="14.25" customHeight="1">
      <c r="A271" s="692" t="s">
        <v>2128</v>
      </c>
      <c r="B271" s="687" t="s">
        <v>2129</v>
      </c>
      <c r="C271" s="681" t="s">
        <v>92</v>
      </c>
      <c r="D271" s="681" t="s">
        <v>97</v>
      </c>
      <c r="G271" s="652" t="s">
        <v>793</v>
      </c>
      <c r="H271" s="652" t="s">
        <v>2130</v>
      </c>
    </row>
    <row r="272" spans="1:8" ht="14.25" customHeight="1">
      <c r="A272" s="692" t="s">
        <v>2131</v>
      </c>
      <c r="B272" s="687" t="s">
        <v>2132</v>
      </c>
      <c r="C272" s="681" t="s">
        <v>92</v>
      </c>
      <c r="D272" s="681" t="s">
        <v>97</v>
      </c>
      <c r="G272" s="652" t="s">
        <v>794</v>
      </c>
      <c r="H272" s="652" t="s">
        <v>2133</v>
      </c>
    </row>
    <row r="273" spans="1:8" ht="14.25" customHeight="1">
      <c r="A273" s="687" t="s">
        <v>2134</v>
      </c>
      <c r="B273" s="687" t="s">
        <v>2035</v>
      </c>
      <c r="C273" s="681" t="s">
        <v>92</v>
      </c>
      <c r="D273" s="681" t="s">
        <v>97</v>
      </c>
      <c r="G273" s="652" t="s">
        <v>795</v>
      </c>
      <c r="H273" s="652" t="s">
        <v>2135</v>
      </c>
    </row>
    <row r="274" spans="1:8" ht="14.25" customHeight="1">
      <c r="A274" s="691" t="s">
        <v>2136</v>
      </c>
      <c r="B274" s="680" t="s">
        <v>2137</v>
      </c>
      <c r="C274" s="681" t="s">
        <v>92</v>
      </c>
      <c r="D274" s="681" t="s">
        <v>97</v>
      </c>
      <c r="G274" s="652" t="s">
        <v>1016</v>
      </c>
      <c r="H274" s="652" t="s">
        <v>2138</v>
      </c>
    </row>
    <row r="275" spans="1:8" ht="14.25" customHeight="1">
      <c r="A275" s="687" t="s">
        <v>2139</v>
      </c>
      <c r="B275" s="687" t="s">
        <v>2140</v>
      </c>
      <c r="C275" s="681" t="s">
        <v>92</v>
      </c>
      <c r="D275" s="681" t="s">
        <v>97</v>
      </c>
      <c r="G275" s="652" t="s">
        <v>1127</v>
      </c>
      <c r="H275" s="652" t="s">
        <v>2141</v>
      </c>
    </row>
    <row r="276" spans="1:8" ht="14.25" customHeight="1">
      <c r="A276" s="692" t="s">
        <v>2142</v>
      </c>
      <c r="B276" s="687" t="s">
        <v>2143</v>
      </c>
      <c r="C276" s="681" t="s">
        <v>92</v>
      </c>
      <c r="D276" s="681" t="s">
        <v>97</v>
      </c>
      <c r="G276" s="652" t="s">
        <v>1020</v>
      </c>
      <c r="H276" s="652" t="s">
        <v>2144</v>
      </c>
    </row>
    <row r="277" spans="1:8" ht="14.25" customHeight="1">
      <c r="A277" s="691" t="s">
        <v>2145</v>
      </c>
      <c r="B277" s="680" t="s">
        <v>2146</v>
      </c>
      <c r="C277" s="681" t="s">
        <v>92</v>
      </c>
      <c r="D277" s="681" t="s">
        <v>97</v>
      </c>
      <c r="G277" s="652" t="s">
        <v>1128</v>
      </c>
      <c r="H277" s="652" t="s">
        <v>2147</v>
      </c>
    </row>
    <row r="278" spans="1:8" ht="14.25" customHeight="1">
      <c r="A278" s="692" t="s">
        <v>2148</v>
      </c>
      <c r="B278" s="687" t="s">
        <v>2149</v>
      </c>
      <c r="C278" s="681" t="s">
        <v>92</v>
      </c>
      <c r="D278" s="681" t="s">
        <v>97</v>
      </c>
      <c r="G278" s="652" t="s">
        <v>1129</v>
      </c>
      <c r="H278" s="652" t="s">
        <v>2150</v>
      </c>
    </row>
    <row r="279" spans="1:8" ht="14.25" customHeight="1">
      <c r="A279" s="679" t="s">
        <v>2151</v>
      </c>
      <c r="B279" s="687" t="s">
        <v>2152</v>
      </c>
      <c r="C279" s="681" t="s">
        <v>92</v>
      </c>
      <c r="D279" s="681" t="s">
        <v>98</v>
      </c>
      <c r="G279" s="652" t="s">
        <v>1130</v>
      </c>
      <c r="H279" s="652" t="s">
        <v>2153</v>
      </c>
    </row>
    <row r="280" spans="1:8" ht="14.25" customHeight="1">
      <c r="A280" s="692" t="s">
        <v>2154</v>
      </c>
      <c r="B280" s="687" t="s">
        <v>2155</v>
      </c>
      <c r="C280" s="681" t="s">
        <v>92</v>
      </c>
      <c r="D280" s="681" t="s">
        <v>97</v>
      </c>
      <c r="G280" s="652" t="s">
        <v>1131</v>
      </c>
      <c r="H280" s="652" t="s">
        <v>2156</v>
      </c>
    </row>
    <row r="281" spans="1:8" ht="14.25" customHeight="1">
      <c r="A281" s="692" t="s">
        <v>2157</v>
      </c>
      <c r="B281" s="687" t="s">
        <v>2158</v>
      </c>
      <c r="C281" s="681" t="s">
        <v>92</v>
      </c>
      <c r="D281" s="681" t="s">
        <v>97</v>
      </c>
      <c r="G281" s="652" t="s">
        <v>796</v>
      </c>
      <c r="H281" s="652" t="s">
        <v>2159</v>
      </c>
    </row>
    <row r="282" spans="1:8" ht="14.25" customHeight="1">
      <c r="A282" s="692" t="s">
        <v>2160</v>
      </c>
      <c r="B282" s="687" t="s">
        <v>2161</v>
      </c>
      <c r="C282" s="681" t="s">
        <v>92</v>
      </c>
      <c r="D282" s="681" t="s">
        <v>97</v>
      </c>
      <c r="G282" s="652" t="s">
        <v>1132</v>
      </c>
      <c r="H282" s="652" t="s">
        <v>2162</v>
      </c>
    </row>
    <row r="283" spans="1:8" ht="14.25" customHeight="1">
      <c r="A283" s="691" t="s">
        <v>2163</v>
      </c>
      <c r="B283" s="680" t="s">
        <v>2164</v>
      </c>
      <c r="C283" s="681" t="s">
        <v>92</v>
      </c>
      <c r="D283" s="681" t="s">
        <v>97</v>
      </c>
      <c r="G283" s="652" t="s">
        <v>797</v>
      </c>
      <c r="H283" s="652" t="s">
        <v>2165</v>
      </c>
    </row>
    <row r="284" spans="1:8" ht="14.25" customHeight="1">
      <c r="A284" s="692" t="s">
        <v>2166</v>
      </c>
      <c r="B284" s="687" t="s">
        <v>2167</v>
      </c>
      <c r="C284" s="681" t="s">
        <v>92</v>
      </c>
      <c r="D284" s="681" t="s">
        <v>97</v>
      </c>
      <c r="G284" s="652" t="s">
        <v>1035</v>
      </c>
      <c r="H284" s="652" t="s">
        <v>2168</v>
      </c>
    </row>
    <row r="285" spans="1:8" ht="14.25" customHeight="1">
      <c r="A285" s="692" t="s">
        <v>2169</v>
      </c>
      <c r="B285" s="687" t="s">
        <v>2170</v>
      </c>
      <c r="C285" s="681" t="s">
        <v>92</v>
      </c>
      <c r="D285" s="681" t="s">
        <v>97</v>
      </c>
      <c r="G285" s="652" t="s">
        <v>1038</v>
      </c>
      <c r="H285" s="652" t="s">
        <v>2171</v>
      </c>
    </row>
    <row r="286" spans="1:8" ht="14.25" customHeight="1">
      <c r="A286" s="691" t="s">
        <v>2172</v>
      </c>
      <c r="B286" s="680" t="s">
        <v>2173</v>
      </c>
      <c r="C286" s="681" t="s">
        <v>92</v>
      </c>
      <c r="D286" s="681" t="s">
        <v>97</v>
      </c>
      <c r="G286" s="652" t="s">
        <v>1134</v>
      </c>
      <c r="H286" s="652" t="s">
        <v>2174</v>
      </c>
    </row>
    <row r="287" spans="1:8" ht="14.25" customHeight="1">
      <c r="A287" s="692" t="s">
        <v>2175</v>
      </c>
      <c r="B287" s="687" t="s">
        <v>2176</v>
      </c>
      <c r="C287" s="681" t="s">
        <v>92</v>
      </c>
      <c r="D287" s="681" t="s">
        <v>97</v>
      </c>
      <c r="G287" s="652" t="s">
        <v>1135</v>
      </c>
      <c r="H287" s="652" t="s">
        <v>2177</v>
      </c>
    </row>
    <row r="288" spans="1:8" ht="14.25" customHeight="1">
      <c r="A288" s="692" t="s">
        <v>2178</v>
      </c>
      <c r="B288" s="687" t="s">
        <v>2179</v>
      </c>
      <c r="C288" s="681" t="s">
        <v>92</v>
      </c>
      <c r="D288" s="681" t="s">
        <v>97</v>
      </c>
      <c r="G288" s="652" t="s">
        <v>798</v>
      </c>
      <c r="H288" s="652" t="s">
        <v>2180</v>
      </c>
    </row>
    <row r="289" spans="1:8" ht="14.25" customHeight="1">
      <c r="A289" s="691" t="s">
        <v>2181</v>
      </c>
      <c r="B289" s="680" t="s">
        <v>2182</v>
      </c>
      <c r="C289" s="681" t="s">
        <v>92</v>
      </c>
      <c r="D289" s="681" t="s">
        <v>97</v>
      </c>
      <c r="G289" s="652" t="s">
        <v>799</v>
      </c>
      <c r="H289" s="652" t="s">
        <v>2183</v>
      </c>
    </row>
    <row r="290" spans="1:8" ht="14.25" customHeight="1">
      <c r="A290" s="692" t="s">
        <v>2184</v>
      </c>
      <c r="B290" s="687" t="s">
        <v>2185</v>
      </c>
      <c r="C290" s="681" t="s">
        <v>92</v>
      </c>
      <c r="D290" s="681" t="s">
        <v>97</v>
      </c>
      <c r="G290" s="652" t="s">
        <v>1136</v>
      </c>
      <c r="H290" s="652" t="s">
        <v>2186</v>
      </c>
    </row>
    <row r="291" spans="1:8" ht="14.25" customHeight="1">
      <c r="A291" s="679" t="s">
        <v>2187</v>
      </c>
      <c r="B291" s="687" t="s">
        <v>2188</v>
      </c>
      <c r="C291" s="681" t="s">
        <v>92</v>
      </c>
      <c r="D291" s="681" t="s">
        <v>98</v>
      </c>
      <c r="G291" s="652" t="s">
        <v>1137</v>
      </c>
      <c r="H291" s="652" t="s">
        <v>2189</v>
      </c>
    </row>
    <row r="292" spans="1:8" ht="14.25" customHeight="1">
      <c r="A292" s="692" t="s">
        <v>2190</v>
      </c>
      <c r="B292" s="687" t="s">
        <v>2191</v>
      </c>
      <c r="C292" s="681" t="s">
        <v>92</v>
      </c>
      <c r="D292" s="681" t="s">
        <v>97</v>
      </c>
      <c r="G292" s="652" t="s">
        <v>1138</v>
      </c>
      <c r="H292" s="652" t="s">
        <v>2192</v>
      </c>
    </row>
    <row r="293" spans="1:8" ht="14.25" customHeight="1">
      <c r="A293" s="692" t="s">
        <v>2193</v>
      </c>
      <c r="B293" s="724" t="s">
        <v>2194</v>
      </c>
      <c r="C293" s="681" t="s">
        <v>92</v>
      </c>
      <c r="D293" s="681" t="s">
        <v>97</v>
      </c>
      <c r="G293" s="652" t="s">
        <v>1139</v>
      </c>
      <c r="H293" s="652" t="s">
        <v>2195</v>
      </c>
    </row>
    <row r="294" spans="1:8" ht="14.25" customHeight="1">
      <c r="A294" s="692" t="s">
        <v>2196</v>
      </c>
      <c r="B294" s="724" t="s">
        <v>2197</v>
      </c>
      <c r="C294" s="681" t="s">
        <v>92</v>
      </c>
      <c r="D294" s="681" t="s">
        <v>97</v>
      </c>
      <c r="G294" s="652" t="s">
        <v>1140</v>
      </c>
      <c r="H294" s="652" t="s">
        <v>2198</v>
      </c>
    </row>
    <row r="295" spans="1:8" ht="14.25" customHeight="1">
      <c r="A295" s="691" t="s">
        <v>2199</v>
      </c>
      <c r="B295" s="721" t="s">
        <v>2200</v>
      </c>
      <c r="C295" s="681" t="s">
        <v>92</v>
      </c>
      <c r="D295" s="681" t="s">
        <v>97</v>
      </c>
      <c r="G295" s="652" t="s">
        <v>1141</v>
      </c>
      <c r="H295" s="652" t="s">
        <v>2201</v>
      </c>
    </row>
    <row r="296" spans="1:8" ht="14.25" customHeight="1">
      <c r="A296" s="692" t="s">
        <v>2202</v>
      </c>
      <c r="B296" s="724" t="s">
        <v>2203</v>
      </c>
      <c r="C296" s="681" t="s">
        <v>92</v>
      </c>
      <c r="D296" s="681" t="s">
        <v>97</v>
      </c>
      <c r="G296" s="652" t="s">
        <v>1142</v>
      </c>
      <c r="H296" s="652" t="s">
        <v>2204</v>
      </c>
    </row>
    <row r="297" spans="1:8" ht="14.25" customHeight="1">
      <c r="A297" s="691" t="s">
        <v>2205</v>
      </c>
      <c r="B297" s="721" t="s">
        <v>2206</v>
      </c>
      <c r="C297" s="681" t="s">
        <v>92</v>
      </c>
      <c r="D297" s="681" t="s">
        <v>97</v>
      </c>
      <c r="G297" s="652" t="s">
        <v>1140</v>
      </c>
      <c r="H297" s="652" t="s">
        <v>2207</v>
      </c>
    </row>
    <row r="298" spans="1:8" ht="14.25" customHeight="1">
      <c r="A298" s="692" t="s">
        <v>2208</v>
      </c>
      <c r="B298" s="687" t="s">
        <v>2209</v>
      </c>
      <c r="C298" s="681" t="s">
        <v>92</v>
      </c>
      <c r="D298" s="681" t="s">
        <v>98</v>
      </c>
      <c r="G298" s="652" t="s">
        <v>1143</v>
      </c>
      <c r="H298" s="652" t="s">
        <v>2210</v>
      </c>
    </row>
    <row r="299" spans="1:8" ht="14.25" customHeight="1">
      <c r="A299" s="691" t="s">
        <v>2211</v>
      </c>
      <c r="B299" s="680" t="s">
        <v>2212</v>
      </c>
      <c r="C299" s="681" t="s">
        <v>92</v>
      </c>
      <c r="D299" s="681" t="s">
        <v>98</v>
      </c>
      <c r="G299" s="652" t="s">
        <v>1143</v>
      </c>
      <c r="H299" s="652" t="s">
        <v>2213</v>
      </c>
    </row>
    <row r="300" spans="1:8" ht="14.25" customHeight="1">
      <c r="A300" s="692" t="s">
        <v>2214</v>
      </c>
      <c r="B300" s="687" t="s">
        <v>2215</v>
      </c>
      <c r="C300" s="681" t="s">
        <v>92</v>
      </c>
      <c r="D300" s="681" t="s">
        <v>98</v>
      </c>
      <c r="G300" s="652" t="s">
        <v>1146</v>
      </c>
      <c r="H300" s="652" t="s">
        <v>2216</v>
      </c>
    </row>
    <row r="301" spans="1:8" ht="14.25" customHeight="1">
      <c r="A301" s="691" t="s">
        <v>2217</v>
      </c>
      <c r="B301" s="680" t="s">
        <v>2218</v>
      </c>
      <c r="C301" s="681" t="s">
        <v>92</v>
      </c>
      <c r="D301" s="681" t="s">
        <v>98</v>
      </c>
      <c r="G301" s="652" t="s">
        <v>1147</v>
      </c>
      <c r="H301" s="652" t="s">
        <v>2219</v>
      </c>
    </row>
    <row r="302" spans="1:8" ht="14.25" customHeight="1">
      <c r="A302" s="679" t="s">
        <v>2220</v>
      </c>
      <c r="B302" s="687" t="s">
        <v>2221</v>
      </c>
      <c r="C302" s="681" t="s">
        <v>92</v>
      </c>
      <c r="D302" s="681" t="s">
        <v>98</v>
      </c>
      <c r="G302" s="652" t="s">
        <v>1148</v>
      </c>
      <c r="H302" s="652" t="s">
        <v>2222</v>
      </c>
    </row>
    <row r="303" spans="1:8" ht="14.25" customHeight="1">
      <c r="A303" s="692" t="s">
        <v>2223</v>
      </c>
      <c r="B303" s="687" t="s">
        <v>2224</v>
      </c>
      <c r="C303" s="681" t="s">
        <v>92</v>
      </c>
      <c r="D303" s="681" t="s">
        <v>97</v>
      </c>
      <c r="G303" s="652" t="s">
        <v>1149</v>
      </c>
      <c r="H303" s="652" t="s">
        <v>2225</v>
      </c>
    </row>
    <row r="304" spans="1:8" ht="14.25" customHeight="1">
      <c r="A304" s="692" t="s">
        <v>2226</v>
      </c>
      <c r="B304" s="687" t="s">
        <v>2227</v>
      </c>
      <c r="C304" s="681" t="s">
        <v>92</v>
      </c>
      <c r="D304" s="681" t="s">
        <v>97</v>
      </c>
      <c r="G304" s="652" t="s">
        <v>1150</v>
      </c>
      <c r="H304" s="652" t="s">
        <v>2228</v>
      </c>
    </row>
    <row r="305" spans="1:8" ht="14.25" customHeight="1">
      <c r="A305" s="692" t="s">
        <v>2229</v>
      </c>
      <c r="B305" s="687" t="s">
        <v>2230</v>
      </c>
      <c r="C305" s="681" t="s">
        <v>92</v>
      </c>
      <c r="D305" s="681" t="s">
        <v>97</v>
      </c>
      <c r="G305" s="652" t="s">
        <v>1151</v>
      </c>
      <c r="H305" s="652" t="s">
        <v>2231</v>
      </c>
    </row>
    <row r="306" spans="1:8" ht="14.25" customHeight="1">
      <c r="A306" s="692" t="s">
        <v>2232</v>
      </c>
      <c r="B306" s="687" t="s">
        <v>2233</v>
      </c>
      <c r="C306" s="681" t="s">
        <v>92</v>
      </c>
      <c r="D306" s="681" t="s">
        <v>97</v>
      </c>
      <c r="G306" s="652" t="s">
        <v>1152</v>
      </c>
      <c r="H306" s="652" t="s">
        <v>2234</v>
      </c>
    </row>
    <row r="307" spans="1:8" ht="14.25" customHeight="1">
      <c r="A307" s="691" t="s">
        <v>2235</v>
      </c>
      <c r="B307" s="680" t="s">
        <v>2236</v>
      </c>
      <c r="C307" s="681" t="s">
        <v>92</v>
      </c>
      <c r="D307" s="681" t="s">
        <v>97</v>
      </c>
      <c r="G307" s="652" t="s">
        <v>1389</v>
      </c>
      <c r="H307" s="652" t="s">
        <v>1154</v>
      </c>
    </row>
    <row r="308" spans="1:8" ht="14.25" customHeight="1">
      <c r="A308" s="692" t="s">
        <v>2237</v>
      </c>
      <c r="B308" s="687" t="s">
        <v>2238</v>
      </c>
      <c r="C308" s="681" t="s">
        <v>92</v>
      </c>
      <c r="D308" s="681" t="s">
        <v>97</v>
      </c>
      <c r="G308" s="652" t="s">
        <v>1153</v>
      </c>
      <c r="H308" s="652" t="s">
        <v>2239</v>
      </c>
    </row>
    <row r="309" spans="1:8" ht="14.25" customHeight="1">
      <c r="A309" s="680" t="s">
        <v>2240</v>
      </c>
      <c r="B309" s="680" t="s">
        <v>2241</v>
      </c>
      <c r="C309" s="681" t="s">
        <v>92</v>
      </c>
      <c r="D309" s="681" t="s">
        <v>97</v>
      </c>
      <c r="G309" s="652" t="s">
        <v>727</v>
      </c>
      <c r="H309" s="652" t="s">
        <v>2242</v>
      </c>
    </row>
    <row r="310" spans="1:8" ht="14.25" customHeight="1">
      <c r="A310" s="692" t="s">
        <v>2243</v>
      </c>
      <c r="B310" s="687" t="s">
        <v>2244</v>
      </c>
      <c r="C310" s="681" t="s">
        <v>92</v>
      </c>
      <c r="D310" s="681" t="s">
        <v>97</v>
      </c>
      <c r="G310" s="652" t="s">
        <v>1155</v>
      </c>
      <c r="H310" s="652" t="s">
        <v>1157</v>
      </c>
    </row>
    <row r="311" spans="1:8" ht="14.25" customHeight="1">
      <c r="A311" s="692" t="s">
        <v>2245</v>
      </c>
      <c r="B311" s="687" t="s">
        <v>2246</v>
      </c>
      <c r="C311" s="681" t="s">
        <v>92</v>
      </c>
      <c r="D311" s="681" t="s">
        <v>97</v>
      </c>
      <c r="G311" s="652" t="s">
        <v>1158</v>
      </c>
      <c r="H311" s="652" t="s">
        <v>1159</v>
      </c>
    </row>
    <row r="312" spans="1:8" ht="14.25" customHeight="1">
      <c r="A312" s="692" t="s">
        <v>2247</v>
      </c>
      <c r="B312" s="687" t="s">
        <v>2248</v>
      </c>
      <c r="C312" s="681" t="s">
        <v>92</v>
      </c>
      <c r="D312" s="681" t="s">
        <v>97</v>
      </c>
      <c r="G312" s="652" t="s">
        <v>1160</v>
      </c>
      <c r="H312" s="652" t="s">
        <v>1161</v>
      </c>
    </row>
    <row r="313" spans="1:8" ht="14.25" customHeight="1">
      <c r="A313" s="692" t="s">
        <v>2249</v>
      </c>
      <c r="B313" s="687" t="s">
        <v>2250</v>
      </c>
      <c r="C313" s="681" t="s">
        <v>92</v>
      </c>
      <c r="D313" s="681" t="s">
        <v>97</v>
      </c>
      <c r="G313" s="652" t="s">
        <v>1162</v>
      </c>
      <c r="H313" s="652" t="s">
        <v>1163</v>
      </c>
    </row>
    <row r="314" spans="1:8" ht="14.25" customHeight="1">
      <c r="A314" s="680" t="s">
        <v>2251</v>
      </c>
      <c r="B314" s="680" t="s">
        <v>2252</v>
      </c>
      <c r="C314" s="681" t="s">
        <v>92</v>
      </c>
      <c r="D314" s="681" t="s">
        <v>97</v>
      </c>
      <c r="G314" s="652" t="s">
        <v>1164</v>
      </c>
      <c r="H314" s="652" t="s">
        <v>1165</v>
      </c>
    </row>
    <row r="315" spans="1:8" ht="14.25" customHeight="1">
      <c r="A315" s="692" t="s">
        <v>2253</v>
      </c>
      <c r="B315" s="687" t="s">
        <v>2254</v>
      </c>
      <c r="C315" s="681" t="s">
        <v>92</v>
      </c>
      <c r="D315" s="681" t="s">
        <v>97</v>
      </c>
      <c r="G315" s="652" t="s">
        <v>1166</v>
      </c>
      <c r="H315" s="652" t="s">
        <v>1167</v>
      </c>
    </row>
    <row r="316" spans="1:8" ht="14.25" customHeight="1">
      <c r="A316" s="680" t="s">
        <v>2255</v>
      </c>
      <c r="B316" s="680" t="s">
        <v>2256</v>
      </c>
      <c r="C316" s="681" t="s">
        <v>92</v>
      </c>
      <c r="D316" s="681" t="s">
        <v>97</v>
      </c>
      <c r="G316" s="652" t="s">
        <v>1168</v>
      </c>
      <c r="H316" s="652" t="s">
        <v>1169</v>
      </c>
    </row>
    <row r="317" spans="1:8" ht="14.25" customHeight="1">
      <c r="A317" s="692" t="s">
        <v>2257</v>
      </c>
      <c r="B317" s="687" t="s">
        <v>2258</v>
      </c>
      <c r="C317" s="681" t="s">
        <v>92</v>
      </c>
      <c r="D317" s="681" t="s">
        <v>97</v>
      </c>
      <c r="G317" s="652" t="s">
        <v>1170</v>
      </c>
      <c r="H317" s="652" t="s">
        <v>2259</v>
      </c>
    </row>
    <row r="318" spans="1:8" ht="14.25" customHeight="1">
      <c r="A318" s="692" t="s">
        <v>2260</v>
      </c>
      <c r="B318" s="687" t="s">
        <v>2261</v>
      </c>
      <c r="C318" s="681" t="s">
        <v>92</v>
      </c>
      <c r="D318" s="681" t="s">
        <v>97</v>
      </c>
      <c r="G318" s="652" t="s">
        <v>1171</v>
      </c>
      <c r="H318" s="652" t="s">
        <v>1172</v>
      </c>
    </row>
    <row r="319" spans="1:8" ht="14.25" customHeight="1">
      <c r="A319" s="680" t="s">
        <v>2262</v>
      </c>
      <c r="B319" s="680" t="s">
        <v>2263</v>
      </c>
      <c r="C319" s="681" t="s">
        <v>92</v>
      </c>
      <c r="D319" s="681" t="s">
        <v>97</v>
      </c>
      <c r="G319" s="652" t="s">
        <v>1173</v>
      </c>
      <c r="H319" s="652" t="s">
        <v>1174</v>
      </c>
    </row>
    <row r="320" spans="1:8" ht="14.25" customHeight="1">
      <c r="A320" s="692" t="s">
        <v>2264</v>
      </c>
      <c r="B320" s="687" t="s">
        <v>2265</v>
      </c>
      <c r="C320" s="681" t="s">
        <v>92</v>
      </c>
      <c r="D320" s="681" t="s">
        <v>98</v>
      </c>
      <c r="G320" s="652" t="s">
        <v>1175</v>
      </c>
      <c r="H320" s="652" t="s">
        <v>1176</v>
      </c>
    </row>
    <row r="321" spans="1:8" ht="14.25" customHeight="1">
      <c r="A321" s="680" t="s">
        <v>2266</v>
      </c>
      <c r="B321" s="680" t="s">
        <v>2267</v>
      </c>
      <c r="C321" s="681" t="s">
        <v>92</v>
      </c>
      <c r="D321" s="681" t="s">
        <v>98</v>
      </c>
      <c r="G321" s="652" t="s">
        <v>1177</v>
      </c>
      <c r="H321" s="652" t="s">
        <v>1178</v>
      </c>
    </row>
    <row r="322" spans="1:8" ht="14.25" customHeight="1">
      <c r="A322" s="679" t="s">
        <v>2268</v>
      </c>
      <c r="B322" s="687" t="s">
        <v>2269</v>
      </c>
      <c r="C322" s="681" t="s">
        <v>92</v>
      </c>
      <c r="D322" s="681" t="s">
        <v>98</v>
      </c>
      <c r="G322" s="652" t="s">
        <v>1179</v>
      </c>
      <c r="H322" s="652" t="s">
        <v>1180</v>
      </c>
    </row>
    <row r="323" spans="1:8" ht="14.25" customHeight="1">
      <c r="A323" s="692" t="s">
        <v>2270</v>
      </c>
      <c r="B323" s="687" t="s">
        <v>2271</v>
      </c>
      <c r="C323" s="681" t="s">
        <v>92</v>
      </c>
      <c r="D323" s="681" t="s">
        <v>97</v>
      </c>
      <c r="G323" s="652" t="s">
        <v>1181</v>
      </c>
      <c r="H323" s="652" t="s">
        <v>1182</v>
      </c>
    </row>
    <row r="324" spans="1:8" ht="14.25" customHeight="1">
      <c r="A324" s="692" t="s">
        <v>2272</v>
      </c>
      <c r="B324" s="687" t="s">
        <v>2273</v>
      </c>
      <c r="C324" s="681" t="s">
        <v>92</v>
      </c>
      <c r="D324" s="681" t="s">
        <v>97</v>
      </c>
      <c r="G324" s="652" t="s">
        <v>1183</v>
      </c>
      <c r="H324" s="652" t="s">
        <v>1184</v>
      </c>
    </row>
    <row r="325" spans="1:8" ht="14.25" customHeight="1">
      <c r="A325" s="680" t="s">
        <v>2274</v>
      </c>
      <c r="B325" s="680" t="s">
        <v>2275</v>
      </c>
      <c r="C325" s="681" t="s">
        <v>92</v>
      </c>
      <c r="D325" s="681" t="s">
        <v>97</v>
      </c>
      <c r="G325" s="652" t="s">
        <v>1187</v>
      </c>
      <c r="H325" s="652" t="s">
        <v>1188</v>
      </c>
    </row>
    <row r="326" spans="1:8" ht="14.25" customHeight="1">
      <c r="A326" s="679" t="s">
        <v>2276</v>
      </c>
      <c r="B326" s="690" t="s">
        <v>2277</v>
      </c>
      <c r="C326" s="681" t="s">
        <v>92</v>
      </c>
      <c r="D326" s="681" t="s">
        <v>106</v>
      </c>
      <c r="G326" s="652" t="s">
        <v>801</v>
      </c>
      <c r="H326" s="652" t="s">
        <v>2278</v>
      </c>
    </row>
    <row r="327" spans="1:8" ht="14.25" customHeight="1">
      <c r="A327" s="680" t="s">
        <v>2279</v>
      </c>
      <c r="B327" s="680" t="s">
        <v>2280</v>
      </c>
      <c r="C327" s="681" t="s">
        <v>92</v>
      </c>
      <c r="D327" s="681">
        <v>0</v>
      </c>
      <c r="G327" s="652" t="s">
        <v>1189</v>
      </c>
      <c r="H327" s="652" t="s">
        <v>1190</v>
      </c>
    </row>
    <row r="328" spans="1:8" ht="14.25" customHeight="1">
      <c r="A328" s="687" t="s">
        <v>2281</v>
      </c>
      <c r="B328" s="687" t="s">
        <v>2282</v>
      </c>
      <c r="C328" s="681" t="s">
        <v>92</v>
      </c>
      <c r="D328" s="681" t="s">
        <v>97</v>
      </c>
      <c r="G328" s="652" t="s">
        <v>1191</v>
      </c>
      <c r="H328" s="652" t="s">
        <v>1192</v>
      </c>
    </row>
    <row r="329" spans="1:8" ht="14.25" customHeight="1">
      <c r="A329" s="687" t="s">
        <v>2283</v>
      </c>
      <c r="B329" s="687" t="s">
        <v>2284</v>
      </c>
      <c r="C329" s="681" t="s">
        <v>92</v>
      </c>
      <c r="D329" s="681" t="s">
        <v>97</v>
      </c>
      <c r="G329" s="652" t="s">
        <v>1193</v>
      </c>
      <c r="H329" s="652" t="s">
        <v>1194</v>
      </c>
    </row>
    <row r="330" spans="1:8" ht="14.25" customHeight="1">
      <c r="A330" s="692" t="s">
        <v>2285</v>
      </c>
      <c r="B330" s="687" t="s">
        <v>2286</v>
      </c>
      <c r="C330" s="681" t="s">
        <v>92</v>
      </c>
      <c r="D330" s="681" t="s">
        <v>97</v>
      </c>
      <c r="G330" s="652" t="s">
        <v>1195</v>
      </c>
      <c r="H330" s="652" t="s">
        <v>1196</v>
      </c>
    </row>
    <row r="331" spans="1:8" ht="14.25" customHeight="1">
      <c r="A331" s="680" t="s">
        <v>2287</v>
      </c>
      <c r="B331" s="680" t="s">
        <v>2288</v>
      </c>
      <c r="C331" s="681" t="s">
        <v>92</v>
      </c>
      <c r="D331" s="681" t="s">
        <v>97</v>
      </c>
      <c r="G331" s="652" t="s">
        <v>1197</v>
      </c>
      <c r="H331" s="652" t="s">
        <v>1198</v>
      </c>
    </row>
    <row r="332" spans="1:8" ht="14.25" customHeight="1">
      <c r="A332" s="679" t="s">
        <v>2289</v>
      </c>
      <c r="B332" s="690" t="s">
        <v>2290</v>
      </c>
      <c r="C332" s="681" t="s">
        <v>92</v>
      </c>
      <c r="D332" s="681" t="s">
        <v>103</v>
      </c>
      <c r="G332" s="652" t="s">
        <v>802</v>
      </c>
      <c r="H332" s="652" t="s">
        <v>1210</v>
      </c>
    </row>
    <row r="333" spans="1:8" ht="14.25" customHeight="1">
      <c r="A333" s="680" t="s">
        <v>2291</v>
      </c>
      <c r="B333" s="680" t="s">
        <v>2292</v>
      </c>
      <c r="C333" s="681" t="s">
        <v>92</v>
      </c>
      <c r="D333" s="681" t="s">
        <v>103</v>
      </c>
      <c r="G333" s="652" t="s">
        <v>1199</v>
      </c>
      <c r="H333" s="652" t="s">
        <v>1200</v>
      </c>
    </row>
    <row r="334" spans="1:8" ht="14.25" customHeight="1">
      <c r="A334" s="691" t="s">
        <v>2293</v>
      </c>
      <c r="B334" s="680" t="s">
        <v>2294</v>
      </c>
      <c r="C334" s="681" t="s">
        <v>92</v>
      </c>
      <c r="D334" s="681" t="s">
        <v>102</v>
      </c>
      <c r="G334" s="652" t="s">
        <v>1201</v>
      </c>
      <c r="H334" s="652" t="s">
        <v>1202</v>
      </c>
    </row>
    <row r="335" spans="1:8" ht="14.25" customHeight="1">
      <c r="A335" s="680" t="s">
        <v>2295</v>
      </c>
      <c r="B335" s="680" t="s">
        <v>2296</v>
      </c>
      <c r="C335" s="681" t="s">
        <v>92</v>
      </c>
      <c r="D335" s="681" t="s">
        <v>102</v>
      </c>
      <c r="G335" s="652" t="s">
        <v>1203</v>
      </c>
      <c r="H335" s="652" t="s">
        <v>1204</v>
      </c>
    </row>
    <row r="336" spans="1:8" ht="14.25" customHeight="1">
      <c r="A336" s="691" t="s">
        <v>2297</v>
      </c>
      <c r="B336" s="680" t="s">
        <v>2298</v>
      </c>
      <c r="C336" s="681" t="s">
        <v>92</v>
      </c>
      <c r="D336" s="681" t="s">
        <v>102</v>
      </c>
      <c r="G336" s="652" t="s">
        <v>1205</v>
      </c>
      <c r="H336" s="652" t="s">
        <v>1206</v>
      </c>
    </row>
    <row r="337" spans="1:8" ht="14.25" customHeight="1">
      <c r="A337" s="680" t="s">
        <v>2299</v>
      </c>
      <c r="B337" s="680" t="s">
        <v>2300</v>
      </c>
      <c r="C337" s="681" t="s">
        <v>92</v>
      </c>
      <c r="D337" s="681" t="s">
        <v>102</v>
      </c>
      <c r="G337" s="652" t="s">
        <v>1207</v>
      </c>
      <c r="H337" s="652" t="s">
        <v>1208</v>
      </c>
    </row>
    <row r="338" spans="1:8" ht="14.25" customHeight="1">
      <c r="A338" s="679" t="s">
        <v>2301</v>
      </c>
      <c r="B338" s="687" t="s">
        <v>2054</v>
      </c>
      <c r="C338" s="681" t="s">
        <v>92</v>
      </c>
      <c r="D338" s="681" t="s">
        <v>98</v>
      </c>
      <c r="G338" s="652" t="s">
        <v>1211</v>
      </c>
      <c r="H338" s="652" t="s">
        <v>1212</v>
      </c>
    </row>
    <row r="339" spans="1:8" ht="14.25" customHeight="1">
      <c r="A339" s="692" t="s">
        <v>2302</v>
      </c>
      <c r="B339" s="687" t="s">
        <v>2303</v>
      </c>
      <c r="C339" s="681" t="s">
        <v>92</v>
      </c>
      <c r="D339" s="681" t="s">
        <v>97</v>
      </c>
      <c r="G339" s="652" t="s">
        <v>1213</v>
      </c>
      <c r="H339" s="652" t="s">
        <v>1214</v>
      </c>
    </row>
    <row r="340" spans="1:8" ht="14.25" customHeight="1">
      <c r="A340" s="692" t="s">
        <v>2304</v>
      </c>
      <c r="B340" s="687" t="s">
        <v>2305</v>
      </c>
      <c r="C340" s="681" t="s">
        <v>92</v>
      </c>
      <c r="D340" s="681" t="s">
        <v>97</v>
      </c>
      <c r="G340" s="652" t="s">
        <v>1391</v>
      </c>
      <c r="H340" s="652" t="s">
        <v>2306</v>
      </c>
    </row>
    <row r="341" spans="1:8" ht="14.25" customHeight="1">
      <c r="A341" s="692" t="s">
        <v>2307</v>
      </c>
      <c r="B341" s="687" t="s">
        <v>2308</v>
      </c>
      <c r="C341" s="681" t="s">
        <v>92</v>
      </c>
      <c r="D341" s="681" t="s">
        <v>97</v>
      </c>
      <c r="G341" s="652" t="s">
        <v>1215</v>
      </c>
      <c r="H341" s="652" t="s">
        <v>1216</v>
      </c>
    </row>
    <row r="342" spans="1:8" ht="14.25" customHeight="1">
      <c r="A342" s="680" t="s">
        <v>2309</v>
      </c>
      <c r="B342" s="680" t="s">
        <v>2310</v>
      </c>
      <c r="C342" s="681" t="s">
        <v>92</v>
      </c>
      <c r="D342" s="681" t="s">
        <v>97</v>
      </c>
      <c r="G342" s="652" t="s">
        <v>1217</v>
      </c>
      <c r="H342" s="652" t="s">
        <v>1218</v>
      </c>
    </row>
    <row r="343" spans="1:8" ht="14.25" customHeight="1">
      <c r="A343" s="692" t="s">
        <v>2311</v>
      </c>
      <c r="B343" s="687" t="s">
        <v>2312</v>
      </c>
      <c r="C343" s="681" t="s">
        <v>92</v>
      </c>
      <c r="D343" s="681" t="s">
        <v>98</v>
      </c>
      <c r="G343" s="652" t="s">
        <v>1219</v>
      </c>
      <c r="H343" s="652" t="s">
        <v>1220</v>
      </c>
    </row>
    <row r="344" spans="1:8" ht="14.25" customHeight="1">
      <c r="A344" s="680" t="s">
        <v>2313</v>
      </c>
      <c r="B344" s="680" t="s">
        <v>2314</v>
      </c>
      <c r="C344" s="681" t="s">
        <v>92</v>
      </c>
      <c r="D344" s="681" t="s">
        <v>98</v>
      </c>
      <c r="G344" s="652" t="s">
        <v>1221</v>
      </c>
      <c r="H344" s="652" t="s">
        <v>1222</v>
      </c>
    </row>
    <row r="345" spans="1:8" ht="14.25" customHeight="1">
      <c r="A345" s="691" t="s">
        <v>2315</v>
      </c>
      <c r="B345" s="680" t="s">
        <v>2316</v>
      </c>
      <c r="C345" s="681" t="s">
        <v>92</v>
      </c>
      <c r="D345" s="681" t="s">
        <v>104</v>
      </c>
      <c r="G345" s="652" t="s">
        <v>1223</v>
      </c>
      <c r="H345" s="652" t="s">
        <v>1224</v>
      </c>
    </row>
    <row r="346" spans="1:8" ht="14.25" customHeight="1">
      <c r="A346" s="680" t="s">
        <v>2317</v>
      </c>
      <c r="B346" s="680" t="s">
        <v>2318</v>
      </c>
      <c r="C346" s="681" t="s">
        <v>92</v>
      </c>
      <c r="D346" s="681" t="s">
        <v>97</v>
      </c>
      <c r="G346" s="652" t="s">
        <v>1225</v>
      </c>
      <c r="H346" s="652" t="s">
        <v>1226</v>
      </c>
    </row>
    <row r="347" spans="1:8" ht="14.25" customHeight="1">
      <c r="A347" s="679" t="s">
        <v>2319</v>
      </c>
      <c r="B347" s="690" t="s">
        <v>2320</v>
      </c>
      <c r="C347" s="681" t="s">
        <v>152</v>
      </c>
      <c r="D347" s="681" t="s">
        <v>153</v>
      </c>
      <c r="G347" s="652" t="s">
        <v>1227</v>
      </c>
      <c r="H347" s="652" t="s">
        <v>2321</v>
      </c>
    </row>
    <row r="348" spans="1:8" ht="14.25" customHeight="1">
      <c r="A348" s="679" t="s">
        <v>2322</v>
      </c>
      <c r="B348" s="690" t="s">
        <v>2323</v>
      </c>
      <c r="C348" s="681" t="s">
        <v>152</v>
      </c>
      <c r="D348" s="681" t="s">
        <v>186</v>
      </c>
      <c r="G348" s="652" t="s">
        <v>1158</v>
      </c>
      <c r="H348" s="652" t="s">
        <v>2324</v>
      </c>
    </row>
    <row r="349" spans="1:8" ht="14.25" customHeight="1">
      <c r="A349" s="680" t="s">
        <v>2325</v>
      </c>
      <c r="B349" s="680" t="s">
        <v>2326</v>
      </c>
      <c r="C349" s="681" t="s">
        <v>152</v>
      </c>
      <c r="D349" s="681" t="s">
        <v>153</v>
      </c>
      <c r="G349" s="652" t="s">
        <v>1228</v>
      </c>
      <c r="H349" s="652" t="s">
        <v>2327</v>
      </c>
    </row>
    <row r="350" spans="1:8" ht="14.25" customHeight="1">
      <c r="A350" s="679" t="s">
        <v>2328</v>
      </c>
      <c r="B350" s="690" t="s">
        <v>2329</v>
      </c>
      <c r="C350" s="681" t="s">
        <v>152</v>
      </c>
      <c r="D350" s="681" t="s">
        <v>106</v>
      </c>
      <c r="G350" s="652" t="s">
        <v>1162</v>
      </c>
      <c r="H350" s="652" t="s">
        <v>2330</v>
      </c>
    </row>
    <row r="351" spans="1:8" ht="14.25" customHeight="1">
      <c r="A351" s="680" t="s">
        <v>2331</v>
      </c>
      <c r="B351" s="680" t="s">
        <v>2332</v>
      </c>
      <c r="C351" s="681" t="s">
        <v>152</v>
      </c>
      <c r="D351" s="681" t="s">
        <v>106</v>
      </c>
      <c r="G351" s="652" t="s">
        <v>1164</v>
      </c>
      <c r="H351" s="652" t="s">
        <v>2333</v>
      </c>
    </row>
    <row r="352" spans="1:8" ht="14.25" customHeight="1">
      <c r="A352" s="679" t="s">
        <v>2334</v>
      </c>
      <c r="B352" s="690" t="s">
        <v>2335</v>
      </c>
      <c r="C352" s="681" t="s">
        <v>152</v>
      </c>
      <c r="D352" s="681" t="s">
        <v>156</v>
      </c>
      <c r="G352" s="652" t="s">
        <v>1166</v>
      </c>
      <c r="H352" s="652" t="s">
        <v>2336</v>
      </c>
    </row>
    <row r="353" spans="1:8" ht="14.25" customHeight="1">
      <c r="A353" s="680" t="s">
        <v>2337</v>
      </c>
      <c r="B353" s="680" t="s">
        <v>2338</v>
      </c>
      <c r="C353" s="681" t="s">
        <v>152</v>
      </c>
      <c r="D353" s="681" t="s">
        <v>156</v>
      </c>
      <c r="G353" s="652" t="s">
        <v>803</v>
      </c>
      <c r="H353" s="652" t="s">
        <v>2339</v>
      </c>
    </row>
    <row r="354" spans="1:8" ht="14.25" customHeight="1">
      <c r="A354" s="679" t="s">
        <v>2340</v>
      </c>
      <c r="B354" s="690" t="s">
        <v>2341</v>
      </c>
      <c r="C354" s="681" t="s">
        <v>152</v>
      </c>
      <c r="D354" s="681" t="s">
        <v>156</v>
      </c>
      <c r="G354" s="652" t="s">
        <v>1168</v>
      </c>
      <c r="H354" s="652" t="s">
        <v>2342</v>
      </c>
    </row>
    <row r="355" spans="1:8" ht="14.25" customHeight="1">
      <c r="A355" s="680" t="s">
        <v>2343</v>
      </c>
      <c r="B355" s="680" t="s">
        <v>2344</v>
      </c>
      <c r="C355" s="681" t="s">
        <v>152</v>
      </c>
      <c r="D355" s="681" t="s">
        <v>156</v>
      </c>
      <c r="G355" s="652" t="s">
        <v>1229</v>
      </c>
      <c r="H355" s="652" t="s">
        <v>2345</v>
      </c>
    </row>
    <row r="356" spans="1:8" ht="14.25" customHeight="1">
      <c r="A356" s="679" t="s">
        <v>2346</v>
      </c>
      <c r="B356" s="690" t="s">
        <v>2347</v>
      </c>
      <c r="C356" s="681" t="s">
        <v>152</v>
      </c>
      <c r="D356" s="681" t="s">
        <v>153</v>
      </c>
      <c r="G356" s="652" t="s">
        <v>804</v>
      </c>
      <c r="H356" s="652" t="s">
        <v>2348</v>
      </c>
    </row>
    <row r="357" spans="1:8" ht="14.25" customHeight="1">
      <c r="A357" s="690" t="s">
        <v>2349</v>
      </c>
      <c r="B357" s="690" t="s">
        <v>2350</v>
      </c>
      <c r="C357" s="681" t="s">
        <v>152</v>
      </c>
      <c r="D357" s="681" t="s">
        <v>153</v>
      </c>
      <c r="G357" s="652" t="s">
        <v>1171</v>
      </c>
      <c r="H357" s="652" t="s">
        <v>2351</v>
      </c>
    </row>
    <row r="358" spans="1:8" ht="14.25" customHeight="1">
      <c r="A358" s="679" t="s">
        <v>2352</v>
      </c>
      <c r="B358" s="690" t="s">
        <v>2353</v>
      </c>
      <c r="C358" s="681" t="s">
        <v>152</v>
      </c>
      <c r="D358" s="681" t="s">
        <v>153</v>
      </c>
      <c r="G358" s="652" t="s">
        <v>1173</v>
      </c>
      <c r="H358" s="652" t="s">
        <v>2354</v>
      </c>
    </row>
    <row r="359" spans="1:8" ht="14.25" customHeight="1">
      <c r="A359" s="679" t="s">
        <v>2355</v>
      </c>
      <c r="B359" s="690" t="s">
        <v>2356</v>
      </c>
      <c r="C359" s="681" t="s">
        <v>152</v>
      </c>
      <c r="D359" s="681" t="s">
        <v>153</v>
      </c>
      <c r="G359" s="652" t="s">
        <v>1175</v>
      </c>
      <c r="H359" s="652" t="s">
        <v>2357</v>
      </c>
    </row>
    <row r="360" spans="1:8" ht="14.25" customHeight="1">
      <c r="A360" s="679" t="s">
        <v>2358</v>
      </c>
      <c r="B360" s="690" t="s">
        <v>2359</v>
      </c>
      <c r="C360" s="681" t="s">
        <v>152</v>
      </c>
      <c r="D360" s="681" t="s">
        <v>153</v>
      </c>
      <c r="G360" s="652" t="s">
        <v>1230</v>
      </c>
      <c r="H360" s="652" t="s">
        <v>2360</v>
      </c>
    </row>
    <row r="361" spans="1:8" ht="14.25" customHeight="1">
      <c r="A361" s="679" t="s">
        <v>2358</v>
      </c>
      <c r="B361" s="690" t="s">
        <v>2359</v>
      </c>
      <c r="C361" s="681" t="s">
        <v>152</v>
      </c>
      <c r="D361" s="681" t="s">
        <v>153</v>
      </c>
      <c r="G361" s="652" t="s">
        <v>1231</v>
      </c>
      <c r="H361" s="652" t="s">
        <v>2361</v>
      </c>
    </row>
    <row r="362" spans="1:8" ht="14.25" customHeight="1">
      <c r="A362" s="679" t="s">
        <v>2362</v>
      </c>
      <c r="B362" s="690" t="s">
        <v>2363</v>
      </c>
      <c r="C362" s="681" t="s">
        <v>152</v>
      </c>
      <c r="D362" s="681" t="s">
        <v>186</v>
      </c>
      <c r="G362" s="652" t="s">
        <v>1181</v>
      </c>
      <c r="H362" s="652" t="s">
        <v>2364</v>
      </c>
    </row>
    <row r="363" spans="1:8" ht="14.25" customHeight="1">
      <c r="A363" s="679" t="s">
        <v>2365</v>
      </c>
      <c r="B363" s="690" t="s">
        <v>2366</v>
      </c>
      <c r="C363" s="681" t="s">
        <v>152</v>
      </c>
      <c r="D363" s="681" t="s">
        <v>186</v>
      </c>
      <c r="G363" s="652" t="s">
        <v>1183</v>
      </c>
      <c r="H363" s="652" t="s">
        <v>2367</v>
      </c>
    </row>
    <row r="364" spans="1:8" ht="14.25" customHeight="1">
      <c r="A364" s="679" t="s">
        <v>2368</v>
      </c>
      <c r="B364" s="690" t="s">
        <v>2369</v>
      </c>
      <c r="C364" s="681" t="s">
        <v>152</v>
      </c>
      <c r="D364" s="681" t="s">
        <v>186</v>
      </c>
      <c r="G364" s="652" t="s">
        <v>1233</v>
      </c>
      <c r="H364" s="652" t="s">
        <v>2370</v>
      </c>
    </row>
    <row r="365" spans="1:8" ht="14.25" customHeight="1">
      <c r="A365" s="679" t="s">
        <v>2371</v>
      </c>
      <c r="B365" s="690" t="s">
        <v>2372</v>
      </c>
      <c r="C365" s="681" t="s">
        <v>152</v>
      </c>
      <c r="D365" s="681" t="s">
        <v>153</v>
      </c>
      <c r="G365" s="652" t="s">
        <v>805</v>
      </c>
      <c r="H365" s="652" t="s">
        <v>2373</v>
      </c>
    </row>
    <row r="366" spans="1:8" ht="14.25" customHeight="1">
      <c r="A366" s="679" t="s">
        <v>2374</v>
      </c>
      <c r="B366" s="690" t="s">
        <v>2375</v>
      </c>
      <c r="C366" s="681" t="s">
        <v>152</v>
      </c>
      <c r="D366" s="681" t="s">
        <v>186</v>
      </c>
      <c r="G366" s="652" t="s">
        <v>1189</v>
      </c>
      <c r="H366" s="652" t="s">
        <v>2376</v>
      </c>
    </row>
    <row r="367" spans="1:8" ht="14.25" customHeight="1">
      <c r="A367" s="679" t="s">
        <v>1436</v>
      </c>
      <c r="B367" s="690" t="s">
        <v>2377</v>
      </c>
      <c r="C367" s="681" t="s">
        <v>161</v>
      </c>
      <c r="D367" s="681" t="s">
        <v>164</v>
      </c>
      <c r="G367" s="652" t="s">
        <v>1191</v>
      </c>
      <c r="H367" s="652" t="s">
        <v>2378</v>
      </c>
    </row>
    <row r="368" spans="1:8" ht="14.25" customHeight="1">
      <c r="A368" s="680" t="s">
        <v>2379</v>
      </c>
      <c r="B368" s="680" t="s">
        <v>2380</v>
      </c>
      <c r="C368" s="681" t="s">
        <v>161</v>
      </c>
      <c r="D368" s="681" t="s">
        <v>164</v>
      </c>
      <c r="G368" s="652" t="s">
        <v>1193</v>
      </c>
      <c r="H368" s="652" t="s">
        <v>2381</v>
      </c>
    </row>
    <row r="369" spans="1:8" ht="14.25" customHeight="1">
      <c r="A369" s="679" t="s">
        <v>2382</v>
      </c>
      <c r="B369" s="690" t="s">
        <v>2383</v>
      </c>
      <c r="C369" s="681" t="s">
        <v>161</v>
      </c>
      <c r="D369" s="681" t="s">
        <v>168</v>
      </c>
      <c r="G369" s="652" t="s">
        <v>1195</v>
      </c>
      <c r="H369" s="652" t="s">
        <v>2384</v>
      </c>
    </row>
    <row r="370" spans="1:8" ht="14.25" customHeight="1">
      <c r="A370" s="680" t="s">
        <v>2385</v>
      </c>
      <c r="B370" s="680" t="s">
        <v>2386</v>
      </c>
      <c r="C370" s="681" t="s">
        <v>161</v>
      </c>
      <c r="D370" s="681" t="s">
        <v>168</v>
      </c>
      <c r="G370" s="652" t="s">
        <v>1197</v>
      </c>
      <c r="H370" s="652" t="s">
        <v>2387</v>
      </c>
    </row>
    <row r="371" spans="1:8" ht="14.25" customHeight="1">
      <c r="A371" s="679" t="s">
        <v>2388</v>
      </c>
      <c r="B371" s="690" t="s">
        <v>2389</v>
      </c>
      <c r="C371" s="681" t="s">
        <v>161</v>
      </c>
      <c r="D371" s="681" t="s">
        <v>166</v>
      </c>
      <c r="G371" s="652" t="s">
        <v>1199</v>
      </c>
      <c r="H371" s="652" t="s">
        <v>2390</v>
      </c>
    </row>
    <row r="372" spans="1:8" ht="14.25" customHeight="1">
      <c r="A372" s="680" t="s">
        <v>2391</v>
      </c>
      <c r="B372" s="680" t="s">
        <v>2392</v>
      </c>
      <c r="C372" s="681" t="s">
        <v>161</v>
      </c>
      <c r="D372" s="681" t="s">
        <v>166</v>
      </c>
      <c r="G372" s="652" t="s">
        <v>1201</v>
      </c>
      <c r="H372" s="652" t="s">
        <v>2393</v>
      </c>
    </row>
    <row r="373" spans="1:8" ht="14.25" customHeight="1">
      <c r="A373" s="679" t="s">
        <v>2394</v>
      </c>
      <c r="B373" s="690" t="s">
        <v>2395</v>
      </c>
      <c r="C373" s="681" t="s">
        <v>161</v>
      </c>
      <c r="D373" s="681" t="s">
        <v>167</v>
      </c>
      <c r="G373" s="652" t="s">
        <v>1203</v>
      </c>
      <c r="H373" s="652" t="s">
        <v>2396</v>
      </c>
    </row>
    <row r="374" spans="1:8" ht="14.25" customHeight="1">
      <c r="A374" s="691" t="s">
        <v>2397</v>
      </c>
      <c r="B374" s="680" t="s">
        <v>2398</v>
      </c>
      <c r="C374" s="681" t="s">
        <v>161</v>
      </c>
      <c r="D374" s="681" t="s">
        <v>167</v>
      </c>
      <c r="G374" s="652" t="s">
        <v>1205</v>
      </c>
      <c r="H374" s="652" t="s">
        <v>2399</v>
      </c>
    </row>
    <row r="375" spans="1:8" ht="14.25" customHeight="1">
      <c r="A375" s="679" t="s">
        <v>2400</v>
      </c>
      <c r="B375" s="690" t="s">
        <v>2401</v>
      </c>
      <c r="C375" s="681" t="s">
        <v>161</v>
      </c>
      <c r="D375" s="681" t="s">
        <v>166</v>
      </c>
      <c r="G375" s="652" t="s">
        <v>1234</v>
      </c>
      <c r="H375" s="652" t="s">
        <v>2402</v>
      </c>
    </row>
    <row r="376" spans="1:8" ht="14.25" customHeight="1">
      <c r="A376" s="691" t="s">
        <v>2403</v>
      </c>
      <c r="B376" s="680" t="s">
        <v>2404</v>
      </c>
      <c r="C376" s="681" t="s">
        <v>161</v>
      </c>
      <c r="D376" s="681" t="s">
        <v>166</v>
      </c>
      <c r="G376" s="652" t="s">
        <v>1211</v>
      </c>
      <c r="H376" s="652" t="s">
        <v>2405</v>
      </c>
    </row>
    <row r="377" spans="1:8" ht="14.25" customHeight="1">
      <c r="A377" s="679" t="s">
        <v>2406</v>
      </c>
      <c r="B377" s="690" t="s">
        <v>2407</v>
      </c>
      <c r="C377" s="681" t="s">
        <v>1327</v>
      </c>
      <c r="D377" s="681" t="s">
        <v>172</v>
      </c>
      <c r="G377" s="652" t="s">
        <v>1213</v>
      </c>
      <c r="H377" s="652" t="s">
        <v>2408</v>
      </c>
    </row>
    <row r="378" spans="1:8" ht="14.25" customHeight="1">
      <c r="A378" s="679" t="s">
        <v>2409</v>
      </c>
      <c r="B378" s="690" t="s">
        <v>2410</v>
      </c>
      <c r="C378" s="681" t="s">
        <v>180</v>
      </c>
      <c r="D378" s="681" t="s">
        <v>192</v>
      </c>
      <c r="G378" s="652" t="s">
        <v>1391</v>
      </c>
      <c r="H378" s="652" t="s">
        <v>2411</v>
      </c>
    </row>
    <row r="379" spans="1:8" ht="14.25" customHeight="1">
      <c r="A379" s="691" t="s">
        <v>2412</v>
      </c>
      <c r="B379" s="680" t="s">
        <v>2413</v>
      </c>
      <c r="C379" s="681" t="s">
        <v>161</v>
      </c>
      <c r="D379" s="681" t="s">
        <v>97</v>
      </c>
      <c r="G379" s="652" t="s">
        <v>1237</v>
      </c>
      <c r="H379" s="652" t="s">
        <v>2414</v>
      </c>
    </row>
    <row r="380" spans="1:8" ht="14.25" customHeight="1">
      <c r="A380" s="679" t="s">
        <v>2415</v>
      </c>
      <c r="B380" s="690" t="s">
        <v>2416</v>
      </c>
      <c r="C380" s="681" t="s">
        <v>161</v>
      </c>
      <c r="D380" s="681" t="s">
        <v>1341</v>
      </c>
      <c r="G380" s="652" t="s">
        <v>1238</v>
      </c>
      <c r="H380" s="652" t="s">
        <v>2417</v>
      </c>
    </row>
    <row r="381" spans="1:8" ht="14.25" customHeight="1">
      <c r="A381" s="679" t="s">
        <v>2418</v>
      </c>
      <c r="B381" s="690" t="s">
        <v>2419</v>
      </c>
      <c r="C381" s="681" t="s">
        <v>161</v>
      </c>
      <c r="D381" s="681" t="s">
        <v>172</v>
      </c>
      <c r="G381" s="652" t="s">
        <v>1239</v>
      </c>
      <c r="H381" s="652" t="s">
        <v>2420</v>
      </c>
    </row>
    <row r="382" spans="1:8" ht="14.25" customHeight="1">
      <c r="A382" s="691" t="s">
        <v>2421</v>
      </c>
      <c r="B382" s="680" t="s">
        <v>2422</v>
      </c>
      <c r="C382" s="681" t="s">
        <v>161</v>
      </c>
      <c r="D382" s="681" t="s">
        <v>172</v>
      </c>
      <c r="G382" s="652" t="s">
        <v>1240</v>
      </c>
      <c r="H382" s="652" t="s">
        <v>2423</v>
      </c>
    </row>
    <row r="383" spans="1:8" ht="14.25" customHeight="1">
      <c r="A383" s="679" t="s">
        <v>2424</v>
      </c>
      <c r="B383" s="690" t="s">
        <v>2425</v>
      </c>
      <c r="C383" s="681" t="s">
        <v>161</v>
      </c>
      <c r="D383" s="681" t="s">
        <v>172</v>
      </c>
      <c r="G383" s="652" t="s">
        <v>1241</v>
      </c>
      <c r="H383" s="652" t="s">
        <v>2426</v>
      </c>
    </row>
    <row r="384" spans="1:8" ht="14.25" customHeight="1">
      <c r="A384" s="691" t="s">
        <v>2427</v>
      </c>
      <c r="B384" s="680" t="s">
        <v>2428</v>
      </c>
      <c r="C384" s="681" t="s">
        <v>161</v>
      </c>
      <c r="D384" s="681" t="s">
        <v>172</v>
      </c>
      <c r="G384" s="652" t="s">
        <v>1242</v>
      </c>
      <c r="H384" s="652" t="s">
        <v>2429</v>
      </c>
    </row>
    <row r="385" spans="1:8" ht="14.25" customHeight="1">
      <c r="A385" s="679" t="s">
        <v>2430</v>
      </c>
      <c r="B385" s="690" t="s">
        <v>2431</v>
      </c>
      <c r="C385" s="681" t="s">
        <v>161</v>
      </c>
      <c r="D385" s="681" t="s">
        <v>172</v>
      </c>
      <c r="G385" s="652" t="s">
        <v>1243</v>
      </c>
      <c r="H385" s="652" t="s">
        <v>2432</v>
      </c>
    </row>
    <row r="386" spans="1:8" ht="14.25" customHeight="1">
      <c r="A386" s="680" t="s">
        <v>2433</v>
      </c>
      <c r="B386" s="680" t="s">
        <v>2434</v>
      </c>
      <c r="C386" s="681" t="s">
        <v>161</v>
      </c>
      <c r="D386" s="681" t="s">
        <v>172</v>
      </c>
      <c r="G386" s="652" t="s">
        <v>1245</v>
      </c>
      <c r="H386" s="652" t="s">
        <v>2435</v>
      </c>
    </row>
    <row r="387" spans="1:8" ht="14.25" customHeight="1">
      <c r="A387" s="679" t="s">
        <v>2436</v>
      </c>
      <c r="B387" s="690" t="s">
        <v>2437</v>
      </c>
      <c r="C387" s="681" t="s">
        <v>176</v>
      </c>
      <c r="D387" s="681" t="s">
        <v>177</v>
      </c>
      <c r="G387" s="652" t="s">
        <v>1168</v>
      </c>
      <c r="H387" s="652" t="s">
        <v>2438</v>
      </c>
    </row>
    <row r="388" spans="1:8" ht="14.25" customHeight="1">
      <c r="A388" s="680" t="s">
        <v>2439</v>
      </c>
      <c r="B388" s="680" t="s">
        <v>2440</v>
      </c>
      <c r="C388" s="681" t="s">
        <v>176</v>
      </c>
      <c r="D388" s="681" t="s">
        <v>177</v>
      </c>
      <c r="G388" s="652" t="s">
        <v>1171</v>
      </c>
      <c r="H388" s="652" t="s">
        <v>2441</v>
      </c>
    </row>
    <row r="389" spans="1:8" ht="14.25" customHeight="1">
      <c r="A389" s="679" t="s">
        <v>2442</v>
      </c>
      <c r="B389" s="690" t="s">
        <v>2443</v>
      </c>
      <c r="C389" s="681" t="s">
        <v>176</v>
      </c>
      <c r="D389" s="681" t="s">
        <v>177</v>
      </c>
      <c r="G389" s="652" t="s">
        <v>1173</v>
      </c>
      <c r="H389" s="652" t="s">
        <v>2444</v>
      </c>
    </row>
    <row r="390" spans="1:8" ht="14.25" customHeight="1">
      <c r="A390" s="680" t="s">
        <v>2445</v>
      </c>
      <c r="B390" s="680" t="s">
        <v>2446</v>
      </c>
      <c r="C390" s="681" t="s">
        <v>176</v>
      </c>
      <c r="D390" s="681" t="s">
        <v>177</v>
      </c>
      <c r="G390" s="652" t="s">
        <v>1246</v>
      </c>
      <c r="H390" s="652" t="s">
        <v>2447</v>
      </c>
    </row>
    <row r="391" spans="1:8" ht="14.25" customHeight="1">
      <c r="A391" s="679" t="s">
        <v>2448</v>
      </c>
      <c r="B391" s="690" t="s">
        <v>2449</v>
      </c>
      <c r="C391" s="681" t="s">
        <v>176</v>
      </c>
      <c r="D391" s="681" t="s">
        <v>177</v>
      </c>
      <c r="G391" s="652" t="s">
        <v>1177</v>
      </c>
      <c r="H391" s="652" t="s">
        <v>2450</v>
      </c>
    </row>
    <row r="392" spans="1:8" ht="14.25" customHeight="1">
      <c r="A392" s="680" t="s">
        <v>2451</v>
      </c>
      <c r="B392" s="680" t="s">
        <v>2452</v>
      </c>
      <c r="C392" s="681" t="s">
        <v>176</v>
      </c>
      <c r="D392" s="681" t="s">
        <v>177</v>
      </c>
      <c r="G392" s="652" t="s">
        <v>1247</v>
      </c>
      <c r="H392" s="652" t="s">
        <v>2453</v>
      </c>
    </row>
    <row r="393" spans="1:8" ht="14.25" customHeight="1">
      <c r="A393" s="679" t="s">
        <v>2454</v>
      </c>
      <c r="B393" s="690" t="s">
        <v>2455</v>
      </c>
      <c r="C393" s="681" t="s">
        <v>152</v>
      </c>
      <c r="D393" s="681" t="s">
        <v>153</v>
      </c>
      <c r="G393" s="652" t="s">
        <v>1249</v>
      </c>
      <c r="H393" s="652" t="s">
        <v>2456</v>
      </c>
    </row>
    <row r="394" spans="1:8" ht="14.25" customHeight="1">
      <c r="A394" s="680" t="s">
        <v>2457</v>
      </c>
      <c r="B394" s="680" t="s">
        <v>2458</v>
      </c>
      <c r="C394" s="681" t="s">
        <v>152</v>
      </c>
      <c r="D394" s="681" t="s">
        <v>153</v>
      </c>
      <c r="G394" s="652" t="s">
        <v>1181</v>
      </c>
      <c r="H394" s="652" t="s">
        <v>2459</v>
      </c>
    </row>
    <row r="395" spans="1:8" ht="14.25" customHeight="1">
      <c r="A395" s="679" t="s">
        <v>2460</v>
      </c>
      <c r="B395" s="690" t="s">
        <v>2461</v>
      </c>
      <c r="C395" s="681" t="s">
        <v>152</v>
      </c>
      <c r="D395" s="681" t="s">
        <v>153</v>
      </c>
      <c r="G395" s="652" t="s">
        <v>1183</v>
      </c>
      <c r="H395" s="652" t="s">
        <v>2462</v>
      </c>
    </row>
    <row r="396" spans="1:8" ht="14.25" customHeight="1">
      <c r="A396" s="680" t="s">
        <v>2463</v>
      </c>
      <c r="B396" s="680" t="s">
        <v>2464</v>
      </c>
      <c r="C396" s="681" t="s">
        <v>152</v>
      </c>
      <c r="D396" s="681" t="s">
        <v>153</v>
      </c>
      <c r="G396" s="652" t="s">
        <v>1250</v>
      </c>
      <c r="H396" s="652" t="s">
        <v>2465</v>
      </c>
    </row>
    <row r="397" spans="1:8" ht="14.25" customHeight="1">
      <c r="A397" s="679" t="s">
        <v>2466</v>
      </c>
      <c r="B397" s="690" t="s">
        <v>2467</v>
      </c>
      <c r="C397" s="681" t="s">
        <v>152</v>
      </c>
      <c r="D397" s="681" t="s">
        <v>153</v>
      </c>
      <c r="G397" s="652" t="s">
        <v>1233</v>
      </c>
      <c r="H397" s="652" t="s">
        <v>2468</v>
      </c>
    </row>
    <row r="398" spans="1:8" ht="14.25" customHeight="1">
      <c r="A398" s="680" t="s">
        <v>2469</v>
      </c>
      <c r="B398" s="680" t="s">
        <v>2470</v>
      </c>
      <c r="C398" s="681" t="s">
        <v>152</v>
      </c>
      <c r="D398" s="681" t="s">
        <v>153</v>
      </c>
      <c r="G398" s="652" t="s">
        <v>806</v>
      </c>
      <c r="H398" s="652" t="s">
        <v>2471</v>
      </c>
    </row>
    <row r="399" spans="1:8" ht="14.25" customHeight="1">
      <c r="A399" s="679" t="s">
        <v>2472</v>
      </c>
      <c r="B399" s="690" t="s">
        <v>2473</v>
      </c>
      <c r="C399" s="681" t="s">
        <v>152</v>
      </c>
      <c r="D399" s="681" t="s">
        <v>153</v>
      </c>
      <c r="G399" s="652" t="s">
        <v>1251</v>
      </c>
      <c r="H399" s="652" t="s">
        <v>2474</v>
      </c>
    </row>
    <row r="400" spans="1:8" ht="14.25" customHeight="1">
      <c r="A400" s="679" t="s">
        <v>2475</v>
      </c>
      <c r="B400" s="690" t="s">
        <v>2476</v>
      </c>
      <c r="C400" s="681" t="s">
        <v>152</v>
      </c>
      <c r="D400" s="681" t="s">
        <v>153</v>
      </c>
      <c r="G400" s="652" t="s">
        <v>1189</v>
      </c>
      <c r="H400" s="652" t="s">
        <v>2477</v>
      </c>
    </row>
    <row r="401" spans="1:8" ht="14.25" customHeight="1">
      <c r="A401" s="680" t="s">
        <v>2478</v>
      </c>
      <c r="B401" s="680" t="s">
        <v>2479</v>
      </c>
      <c r="C401" s="681" t="s">
        <v>152</v>
      </c>
      <c r="D401" s="681" t="s">
        <v>153</v>
      </c>
      <c r="G401" s="652" t="s">
        <v>1191</v>
      </c>
      <c r="H401" s="652" t="s">
        <v>2480</v>
      </c>
    </row>
    <row r="402" spans="1:8" ht="14.25" customHeight="1">
      <c r="A402" s="679" t="s">
        <v>2481</v>
      </c>
      <c r="B402" s="690" t="s">
        <v>2482</v>
      </c>
      <c r="C402" s="681" t="s">
        <v>152</v>
      </c>
      <c r="D402" s="681" t="s">
        <v>153</v>
      </c>
      <c r="G402" s="652" t="s">
        <v>1193</v>
      </c>
      <c r="H402" s="652" t="s">
        <v>2483</v>
      </c>
    </row>
    <row r="403" spans="1:8" ht="14.25" customHeight="1">
      <c r="A403" s="680" t="s">
        <v>2484</v>
      </c>
      <c r="B403" s="680" t="s">
        <v>2485</v>
      </c>
      <c r="C403" s="681" t="s">
        <v>152</v>
      </c>
      <c r="D403" s="681" t="s">
        <v>153</v>
      </c>
      <c r="G403" s="652" t="s">
        <v>1252</v>
      </c>
      <c r="H403" s="652" t="s">
        <v>2486</v>
      </c>
    </row>
    <row r="404" spans="1:8" ht="14.25" customHeight="1">
      <c r="A404" s="679" t="s">
        <v>2487</v>
      </c>
      <c r="B404" s="690" t="s">
        <v>2488</v>
      </c>
      <c r="C404" s="681" t="s">
        <v>152</v>
      </c>
      <c r="D404" s="681" t="s">
        <v>153</v>
      </c>
      <c r="G404" s="652" t="s">
        <v>1197</v>
      </c>
      <c r="H404" s="652" t="s">
        <v>2489</v>
      </c>
    </row>
    <row r="405" spans="1:8" ht="14.25" customHeight="1">
      <c r="A405" s="680" t="s">
        <v>2490</v>
      </c>
      <c r="B405" s="680" t="s">
        <v>2491</v>
      </c>
      <c r="C405" s="681" t="s">
        <v>152</v>
      </c>
      <c r="D405" s="681" t="s">
        <v>153</v>
      </c>
      <c r="G405" s="652" t="s">
        <v>1199</v>
      </c>
      <c r="H405" s="652" t="s">
        <v>2492</v>
      </c>
    </row>
    <row r="406" spans="1:8" ht="14.25" customHeight="1">
      <c r="A406" s="679" t="s">
        <v>2493</v>
      </c>
      <c r="B406" s="690" t="s">
        <v>2494</v>
      </c>
      <c r="C406" s="681" t="s">
        <v>152</v>
      </c>
      <c r="D406" s="681" t="s">
        <v>153</v>
      </c>
      <c r="G406" s="652" t="s">
        <v>1201</v>
      </c>
      <c r="H406" s="652" t="s">
        <v>2495</v>
      </c>
    </row>
    <row r="407" spans="1:8" ht="14.25" customHeight="1">
      <c r="A407" s="680" t="s">
        <v>2496</v>
      </c>
      <c r="B407" s="680" t="s">
        <v>2497</v>
      </c>
      <c r="C407" s="681" t="s">
        <v>152</v>
      </c>
      <c r="D407" s="681" t="s">
        <v>153</v>
      </c>
      <c r="G407" s="652" t="s">
        <v>1203</v>
      </c>
      <c r="H407" s="652" t="s">
        <v>2498</v>
      </c>
    </row>
    <row r="408" spans="1:8" ht="14.25" customHeight="1">
      <c r="A408" s="679" t="s">
        <v>2499</v>
      </c>
      <c r="B408" s="690" t="s">
        <v>2500</v>
      </c>
      <c r="C408" s="681" t="s">
        <v>152</v>
      </c>
      <c r="D408" s="681" t="s">
        <v>153</v>
      </c>
      <c r="G408" s="652" t="s">
        <v>1205</v>
      </c>
      <c r="H408" s="652" t="s">
        <v>2501</v>
      </c>
    </row>
    <row r="409" spans="1:8" ht="14.25" customHeight="1">
      <c r="A409" s="679" t="s">
        <v>2502</v>
      </c>
      <c r="B409" s="690" t="s">
        <v>2503</v>
      </c>
      <c r="C409" s="681" t="s">
        <v>152</v>
      </c>
      <c r="D409" s="681" t="s">
        <v>153</v>
      </c>
      <c r="G409" s="652" t="s">
        <v>1253</v>
      </c>
      <c r="H409" s="652" t="s">
        <v>2504</v>
      </c>
    </row>
    <row r="410" spans="1:8" ht="14.25" customHeight="1">
      <c r="A410" s="680" t="s">
        <v>2505</v>
      </c>
      <c r="B410" s="680" t="s">
        <v>2506</v>
      </c>
      <c r="C410" s="681" t="s">
        <v>152</v>
      </c>
      <c r="D410" s="681" t="s">
        <v>153</v>
      </c>
      <c r="G410" s="652" t="s">
        <v>1211</v>
      </c>
      <c r="H410" s="652" t="s">
        <v>2507</v>
      </c>
    </row>
    <row r="411" spans="1:8" ht="14.25" customHeight="1">
      <c r="A411" s="679" t="s">
        <v>2508</v>
      </c>
      <c r="B411" s="690" t="s">
        <v>2509</v>
      </c>
      <c r="C411" s="681" t="s">
        <v>152</v>
      </c>
      <c r="D411" s="681" t="s">
        <v>153</v>
      </c>
      <c r="G411" s="652" t="s">
        <v>1213</v>
      </c>
      <c r="H411" s="652" t="s">
        <v>2510</v>
      </c>
    </row>
    <row r="412" spans="1:8" ht="14.25" customHeight="1">
      <c r="A412" s="680" t="s">
        <v>2511</v>
      </c>
      <c r="B412" s="680" t="s">
        <v>2512</v>
      </c>
      <c r="C412" s="681" t="s">
        <v>152</v>
      </c>
      <c r="D412" s="681" t="s">
        <v>153</v>
      </c>
      <c r="G412" s="652" t="s">
        <v>1391</v>
      </c>
      <c r="H412" s="652" t="s">
        <v>2513</v>
      </c>
    </row>
    <row r="413" spans="1:8" ht="14.25" customHeight="1">
      <c r="A413" s="679" t="s">
        <v>2514</v>
      </c>
      <c r="B413" s="690" t="s">
        <v>2515</v>
      </c>
      <c r="C413" s="681" t="s">
        <v>152</v>
      </c>
      <c r="D413" s="681" t="s">
        <v>153</v>
      </c>
      <c r="G413" s="652" t="s">
        <v>1256</v>
      </c>
      <c r="H413" s="652" t="s">
        <v>2516</v>
      </c>
    </row>
    <row r="414" spans="1:8" ht="14.25" customHeight="1">
      <c r="A414" s="679" t="s">
        <v>2517</v>
      </c>
      <c r="B414" s="690" t="s">
        <v>2518</v>
      </c>
      <c r="C414" s="681" t="s">
        <v>152</v>
      </c>
      <c r="D414" s="681" t="s">
        <v>153</v>
      </c>
      <c r="G414" s="652" t="s">
        <v>1258</v>
      </c>
      <c r="H414" s="652" t="s">
        <v>2519</v>
      </c>
    </row>
    <row r="415" spans="1:8" ht="14.25" customHeight="1">
      <c r="A415" s="679" t="s">
        <v>2520</v>
      </c>
      <c r="B415" s="690" t="s">
        <v>2521</v>
      </c>
      <c r="C415" s="681" t="s">
        <v>152</v>
      </c>
      <c r="D415" s="681" t="s">
        <v>153</v>
      </c>
      <c r="G415" s="652" t="s">
        <v>1259</v>
      </c>
      <c r="H415" s="652" t="s">
        <v>2522</v>
      </c>
    </row>
    <row r="416" spans="1:8" ht="14.25" customHeight="1">
      <c r="A416" s="680" t="s">
        <v>2523</v>
      </c>
      <c r="B416" s="680" t="s">
        <v>2524</v>
      </c>
      <c r="C416" s="681" t="s">
        <v>152</v>
      </c>
      <c r="D416" s="681" t="s">
        <v>153</v>
      </c>
      <c r="G416" s="652" t="s">
        <v>1260</v>
      </c>
      <c r="H416" s="652" t="s">
        <v>2525</v>
      </c>
    </row>
    <row r="417" spans="1:8" ht="14.25" customHeight="1">
      <c r="A417" s="679" t="s">
        <v>2526</v>
      </c>
      <c r="B417" s="690" t="s">
        <v>2527</v>
      </c>
      <c r="C417" s="681" t="s">
        <v>152</v>
      </c>
      <c r="D417" s="681" t="s">
        <v>153</v>
      </c>
      <c r="G417" s="652" t="s">
        <v>1261</v>
      </c>
      <c r="H417" s="652" t="s">
        <v>2528</v>
      </c>
    </row>
    <row r="418" spans="1:8" ht="14.25" customHeight="1">
      <c r="A418" s="679" t="s">
        <v>2529</v>
      </c>
      <c r="B418" s="690" t="s">
        <v>2530</v>
      </c>
      <c r="C418" s="681" t="s">
        <v>152</v>
      </c>
      <c r="D418" s="681" t="s">
        <v>153</v>
      </c>
      <c r="G418" s="652" t="s">
        <v>1262</v>
      </c>
      <c r="H418" s="652" t="s">
        <v>2531</v>
      </c>
    </row>
    <row r="419" spans="1:8" ht="14.25" customHeight="1">
      <c r="A419" s="679" t="s">
        <v>2532</v>
      </c>
      <c r="B419" s="690" t="s">
        <v>2533</v>
      </c>
      <c r="C419" s="681" t="s">
        <v>152</v>
      </c>
      <c r="D419" s="681" t="s">
        <v>154</v>
      </c>
      <c r="G419" s="652" t="s">
        <v>1263</v>
      </c>
      <c r="H419" s="652" t="s">
        <v>2534</v>
      </c>
    </row>
    <row r="420" spans="1:8" ht="14.25" customHeight="1">
      <c r="A420" s="680" t="s">
        <v>2535</v>
      </c>
      <c r="B420" s="680" t="s">
        <v>2536</v>
      </c>
      <c r="C420" s="681" t="s">
        <v>152</v>
      </c>
      <c r="D420" s="681" t="s">
        <v>154</v>
      </c>
      <c r="G420" s="652" t="s">
        <v>1160</v>
      </c>
      <c r="H420" s="652" t="s">
        <v>2537</v>
      </c>
    </row>
    <row r="421" spans="1:8" ht="14.25" customHeight="1">
      <c r="A421" s="679" t="s">
        <v>2538</v>
      </c>
      <c r="B421" s="690" t="s">
        <v>2539</v>
      </c>
      <c r="C421" s="681" t="s">
        <v>152</v>
      </c>
      <c r="D421" s="681" t="s">
        <v>154</v>
      </c>
      <c r="G421" s="652" t="s">
        <v>807</v>
      </c>
      <c r="H421" s="652" t="s">
        <v>2540</v>
      </c>
    </row>
    <row r="422" spans="1:8" ht="14.25" customHeight="1">
      <c r="A422" s="679" t="s">
        <v>2541</v>
      </c>
      <c r="B422" s="690" t="s">
        <v>2542</v>
      </c>
      <c r="C422" s="681" t="s">
        <v>152</v>
      </c>
      <c r="D422" s="681" t="s">
        <v>154</v>
      </c>
      <c r="G422" s="652" t="s">
        <v>1168</v>
      </c>
      <c r="H422" s="652" t="s">
        <v>2543</v>
      </c>
    </row>
    <row r="423" spans="1:8" ht="14.25" customHeight="1">
      <c r="A423" s="691" t="s">
        <v>2544</v>
      </c>
      <c r="B423" s="680" t="s">
        <v>2545</v>
      </c>
      <c r="C423" s="681" t="s">
        <v>152</v>
      </c>
      <c r="D423" s="681" t="s">
        <v>154</v>
      </c>
      <c r="G423" s="652" t="s">
        <v>808</v>
      </c>
      <c r="H423" s="652" t="s">
        <v>2546</v>
      </c>
    </row>
    <row r="424" spans="1:8" ht="14.25" customHeight="1">
      <c r="A424" s="679" t="s">
        <v>2547</v>
      </c>
      <c r="B424" s="690" t="s">
        <v>2548</v>
      </c>
      <c r="C424" s="681" t="s">
        <v>152</v>
      </c>
      <c r="D424" s="681" t="s">
        <v>154</v>
      </c>
      <c r="G424" s="652" t="s">
        <v>1171</v>
      </c>
      <c r="H424" s="652" t="s">
        <v>2549</v>
      </c>
    </row>
    <row r="425" spans="1:8" ht="14.25" customHeight="1">
      <c r="A425" s="679" t="s">
        <v>2550</v>
      </c>
      <c r="B425" s="690" t="s">
        <v>2551</v>
      </c>
      <c r="C425" s="681" t="s">
        <v>152</v>
      </c>
      <c r="D425" s="681" t="s">
        <v>154</v>
      </c>
      <c r="G425" s="652" t="s">
        <v>1173</v>
      </c>
      <c r="H425" s="652" t="s">
        <v>2552</v>
      </c>
    </row>
    <row r="426" spans="1:8" ht="14.25" customHeight="1">
      <c r="A426" s="679" t="s">
        <v>2553</v>
      </c>
      <c r="B426" s="690" t="s">
        <v>2554</v>
      </c>
      <c r="C426" s="681" t="s">
        <v>152</v>
      </c>
      <c r="D426" s="681" t="s">
        <v>154</v>
      </c>
      <c r="G426" s="652" t="s">
        <v>1246</v>
      </c>
      <c r="H426" s="652" t="s">
        <v>2555</v>
      </c>
    </row>
    <row r="427" spans="1:8" ht="14.25" customHeight="1">
      <c r="A427" s="679" t="s">
        <v>2556</v>
      </c>
      <c r="B427" s="690" t="s">
        <v>2557</v>
      </c>
      <c r="C427" s="681" t="s">
        <v>152</v>
      </c>
      <c r="D427" s="681" t="s">
        <v>154</v>
      </c>
      <c r="G427" s="652" t="s">
        <v>1177</v>
      </c>
      <c r="H427" s="652" t="s">
        <v>2558</v>
      </c>
    </row>
    <row r="428" spans="1:8" ht="14.25" customHeight="1">
      <c r="A428" s="679" t="s">
        <v>2559</v>
      </c>
      <c r="B428" s="690" t="s">
        <v>2560</v>
      </c>
      <c r="C428" s="681" t="s">
        <v>152</v>
      </c>
      <c r="D428" s="681" t="s">
        <v>154</v>
      </c>
      <c r="G428" s="652" t="s">
        <v>1247</v>
      </c>
      <c r="H428" s="652" t="s">
        <v>2561</v>
      </c>
    </row>
    <row r="429" spans="1:8" ht="14.25" customHeight="1">
      <c r="A429" s="691" t="s">
        <v>2562</v>
      </c>
      <c r="B429" s="680" t="s">
        <v>2563</v>
      </c>
      <c r="C429" s="681" t="s">
        <v>152</v>
      </c>
      <c r="D429" s="681" t="s">
        <v>154</v>
      </c>
      <c r="G429" s="652" t="s">
        <v>1231</v>
      </c>
      <c r="H429" s="652" t="s">
        <v>2564</v>
      </c>
    </row>
    <row r="430" spans="1:8" ht="14.25" customHeight="1">
      <c r="A430" s="679" t="s">
        <v>2565</v>
      </c>
      <c r="B430" s="690" t="s">
        <v>2566</v>
      </c>
      <c r="C430" s="681" t="s">
        <v>152</v>
      </c>
      <c r="D430" s="681" t="s">
        <v>154</v>
      </c>
      <c r="G430" s="652" t="s">
        <v>1181</v>
      </c>
      <c r="H430" s="652" t="s">
        <v>2567</v>
      </c>
    </row>
    <row r="431" spans="1:8" ht="14.25" customHeight="1">
      <c r="A431" s="679" t="s">
        <v>2568</v>
      </c>
      <c r="B431" s="690" t="s">
        <v>2569</v>
      </c>
      <c r="C431" s="681" t="s">
        <v>152</v>
      </c>
      <c r="D431" s="681" t="s">
        <v>154</v>
      </c>
      <c r="G431" s="652" t="s">
        <v>1183</v>
      </c>
      <c r="H431" s="652" t="s">
        <v>2570</v>
      </c>
    </row>
    <row r="432" spans="1:8" ht="14.25" customHeight="1">
      <c r="A432" s="679" t="s">
        <v>2571</v>
      </c>
      <c r="B432" s="690" t="s">
        <v>2572</v>
      </c>
      <c r="C432" s="681" t="s">
        <v>152</v>
      </c>
      <c r="D432" s="681" t="s">
        <v>154</v>
      </c>
      <c r="G432" s="652" t="s">
        <v>1233</v>
      </c>
      <c r="H432" s="652" t="s">
        <v>2573</v>
      </c>
    </row>
    <row r="433" spans="1:8" ht="14.25" customHeight="1">
      <c r="A433" s="679" t="s">
        <v>2574</v>
      </c>
      <c r="B433" s="690" t="s">
        <v>2575</v>
      </c>
      <c r="C433" s="681" t="s">
        <v>152</v>
      </c>
      <c r="D433" s="681" t="s">
        <v>154</v>
      </c>
      <c r="G433" s="652" t="s">
        <v>809</v>
      </c>
      <c r="H433" s="652" t="s">
        <v>2576</v>
      </c>
    </row>
    <row r="434" spans="1:8" ht="14.25" customHeight="1">
      <c r="A434" s="679" t="s">
        <v>2577</v>
      </c>
      <c r="B434" s="690" t="s">
        <v>2578</v>
      </c>
      <c r="C434" s="681" t="s">
        <v>152</v>
      </c>
      <c r="D434" s="681" t="s">
        <v>154</v>
      </c>
      <c r="G434" s="652" t="s">
        <v>1189</v>
      </c>
      <c r="H434" s="652" t="s">
        <v>2579</v>
      </c>
    </row>
    <row r="435" spans="1:8" ht="14.25" customHeight="1">
      <c r="A435" s="691" t="s">
        <v>2580</v>
      </c>
      <c r="B435" s="680" t="s">
        <v>2581</v>
      </c>
      <c r="C435" s="681" t="s">
        <v>152</v>
      </c>
      <c r="D435" s="681" t="s">
        <v>154</v>
      </c>
      <c r="G435" s="652" t="s">
        <v>1397</v>
      </c>
      <c r="H435" s="652" t="s">
        <v>2582</v>
      </c>
    </row>
    <row r="436" spans="1:8" ht="14.25" customHeight="1">
      <c r="A436" s="679" t="s">
        <v>2583</v>
      </c>
      <c r="B436" s="690" t="s">
        <v>2584</v>
      </c>
      <c r="C436" s="681" t="s">
        <v>152</v>
      </c>
      <c r="D436" s="681" t="s">
        <v>154</v>
      </c>
      <c r="G436" s="652" t="s">
        <v>1193</v>
      </c>
      <c r="H436" s="652" t="s">
        <v>2585</v>
      </c>
    </row>
    <row r="437" spans="1:8" ht="14.25" customHeight="1">
      <c r="A437" s="679" t="s">
        <v>2586</v>
      </c>
      <c r="B437" s="690" t="s">
        <v>2587</v>
      </c>
      <c r="C437" s="681" t="s">
        <v>152</v>
      </c>
      <c r="D437" s="681" t="s">
        <v>154</v>
      </c>
      <c r="G437" s="652" t="s">
        <v>1195</v>
      </c>
      <c r="H437" s="652" t="s">
        <v>2588</v>
      </c>
    </row>
    <row r="438" spans="1:8" ht="14.25" customHeight="1">
      <c r="A438" s="691" t="s">
        <v>2589</v>
      </c>
      <c r="B438" s="680" t="s">
        <v>2590</v>
      </c>
      <c r="C438" s="681" t="s">
        <v>152</v>
      </c>
      <c r="D438" s="681" t="s">
        <v>153</v>
      </c>
      <c r="G438" s="652" t="s">
        <v>1197</v>
      </c>
      <c r="H438" s="652" t="s">
        <v>2591</v>
      </c>
    </row>
    <row r="439" spans="1:8" ht="14.25" customHeight="1">
      <c r="A439" s="691" t="s">
        <v>2592</v>
      </c>
      <c r="B439" s="680" t="s">
        <v>2593</v>
      </c>
      <c r="C439" s="681" t="s">
        <v>152</v>
      </c>
      <c r="D439" s="681" t="s">
        <v>153</v>
      </c>
      <c r="G439" s="652" t="s">
        <v>810</v>
      </c>
      <c r="H439" s="652" t="s">
        <v>1269</v>
      </c>
    </row>
    <row r="440" spans="1:8" ht="14.25" customHeight="1">
      <c r="A440" s="679" t="s">
        <v>2594</v>
      </c>
      <c r="B440" s="690" t="s">
        <v>2595</v>
      </c>
      <c r="C440" s="681" t="s">
        <v>152</v>
      </c>
      <c r="D440" s="681" t="s">
        <v>153</v>
      </c>
      <c r="G440" s="652" t="s">
        <v>1199</v>
      </c>
      <c r="H440" s="652" t="s">
        <v>2596</v>
      </c>
    </row>
    <row r="441" spans="1:8" ht="14.25" customHeight="1">
      <c r="A441" s="691" t="s">
        <v>2597</v>
      </c>
      <c r="B441" s="680" t="s">
        <v>2598</v>
      </c>
      <c r="C441" s="681" t="s">
        <v>152</v>
      </c>
      <c r="D441" s="681" t="s">
        <v>153</v>
      </c>
      <c r="G441" s="652" t="s">
        <v>1201</v>
      </c>
      <c r="H441" s="652" t="s">
        <v>2599</v>
      </c>
    </row>
    <row r="442" spans="1:8" ht="14.25" customHeight="1">
      <c r="A442" s="679" t="s">
        <v>2600</v>
      </c>
      <c r="B442" s="690" t="s">
        <v>2601</v>
      </c>
      <c r="C442" s="681" t="s">
        <v>152</v>
      </c>
      <c r="D442" s="681" t="s">
        <v>154</v>
      </c>
      <c r="G442" s="652" t="s">
        <v>1203</v>
      </c>
      <c r="H442" s="652" t="s">
        <v>2602</v>
      </c>
    </row>
    <row r="443" spans="1:8" ht="14.25" customHeight="1">
      <c r="A443" s="691" t="s">
        <v>2603</v>
      </c>
      <c r="B443" s="680" t="s">
        <v>2604</v>
      </c>
      <c r="C443" s="681" t="s">
        <v>152</v>
      </c>
      <c r="D443" s="681" t="s">
        <v>154</v>
      </c>
      <c r="G443" s="652" t="s">
        <v>1205</v>
      </c>
      <c r="H443" s="652" t="s">
        <v>2605</v>
      </c>
    </row>
    <row r="444" spans="1:8" ht="14.25" customHeight="1">
      <c r="A444" s="691" t="s">
        <v>2606</v>
      </c>
      <c r="B444" s="680" t="s">
        <v>2607</v>
      </c>
      <c r="C444" s="681" t="s">
        <v>152</v>
      </c>
      <c r="D444" s="681" t="s">
        <v>154</v>
      </c>
      <c r="G444" s="652" t="s">
        <v>1267</v>
      </c>
      <c r="H444" s="652" t="s">
        <v>2608</v>
      </c>
    </row>
    <row r="445" spans="1:8" ht="14.25" customHeight="1">
      <c r="A445" s="691" t="s">
        <v>2609</v>
      </c>
      <c r="B445" s="680" t="s">
        <v>2610</v>
      </c>
      <c r="C445" s="681" t="s">
        <v>152</v>
      </c>
      <c r="D445" s="681" t="s">
        <v>154</v>
      </c>
      <c r="G445" s="652" t="s">
        <v>1211</v>
      </c>
      <c r="H445" s="652" t="s">
        <v>2611</v>
      </c>
    </row>
    <row r="446" spans="1:8" ht="14.25" customHeight="1">
      <c r="A446" s="679" t="s">
        <v>1080</v>
      </c>
      <c r="B446" s="690" t="s">
        <v>2612</v>
      </c>
      <c r="C446" s="681" t="s">
        <v>180</v>
      </c>
      <c r="D446" s="681" t="s">
        <v>182</v>
      </c>
      <c r="G446" s="652" t="s">
        <v>1213</v>
      </c>
      <c r="H446" s="652" t="s">
        <v>2613</v>
      </c>
    </row>
    <row r="447" spans="1:8" ht="14.25" customHeight="1">
      <c r="A447" s="691" t="s">
        <v>2614</v>
      </c>
      <c r="B447" s="680" t="s">
        <v>2615</v>
      </c>
      <c r="C447" s="681" t="s">
        <v>180</v>
      </c>
      <c r="D447" s="681" t="s">
        <v>97</v>
      </c>
      <c r="G447" s="652" t="s">
        <v>1391</v>
      </c>
      <c r="H447" s="652" t="s">
        <v>2616</v>
      </c>
    </row>
    <row r="448" spans="1:8" ht="14.25" customHeight="1">
      <c r="A448" s="680" t="s">
        <v>2617</v>
      </c>
      <c r="B448" s="680" t="s">
        <v>2618</v>
      </c>
      <c r="C448" s="681"/>
      <c r="D448" s="681"/>
      <c r="G448" s="652" t="s">
        <v>811</v>
      </c>
      <c r="H448" s="652" t="s">
        <v>2619</v>
      </c>
    </row>
    <row r="449" spans="1:8" ht="14.25" customHeight="1">
      <c r="A449" s="679" t="s">
        <v>2620</v>
      </c>
      <c r="B449" s="690" t="s">
        <v>2621</v>
      </c>
      <c r="C449" s="681" t="s">
        <v>180</v>
      </c>
      <c r="D449" s="681" t="s">
        <v>184</v>
      </c>
      <c r="G449" s="652" t="s">
        <v>1270</v>
      </c>
      <c r="H449" s="652" t="s">
        <v>2622</v>
      </c>
    </row>
    <row r="450" spans="1:8" ht="14.25" customHeight="1">
      <c r="A450" s="691" t="s">
        <v>2623</v>
      </c>
      <c r="B450" s="680" t="s">
        <v>2624</v>
      </c>
      <c r="C450" s="681" t="s">
        <v>180</v>
      </c>
      <c r="D450" s="681" t="s">
        <v>184</v>
      </c>
      <c r="G450" s="652" t="s">
        <v>1271</v>
      </c>
      <c r="H450" s="652" t="s">
        <v>2625</v>
      </c>
    </row>
    <row r="451" spans="1:8" ht="14.25" customHeight="1">
      <c r="A451" s="690" t="s">
        <v>2626</v>
      </c>
      <c r="B451" s="690" t="s">
        <v>2618</v>
      </c>
      <c r="C451" s="681"/>
      <c r="D451" s="681"/>
      <c r="G451" s="652" t="s">
        <v>1272</v>
      </c>
      <c r="H451" s="652" t="s">
        <v>2627</v>
      </c>
    </row>
    <row r="452" spans="1:8" ht="14.25" customHeight="1">
      <c r="A452" s="690" t="s">
        <v>1086</v>
      </c>
      <c r="B452" s="690" t="s">
        <v>2628</v>
      </c>
      <c r="C452" s="681" t="s">
        <v>180</v>
      </c>
      <c r="D452" s="681" t="s">
        <v>185</v>
      </c>
      <c r="G452" s="652" t="s">
        <v>1273</v>
      </c>
      <c r="H452" s="652" t="s">
        <v>2629</v>
      </c>
    </row>
    <row r="453" spans="1:8" ht="14.25" customHeight="1">
      <c r="A453" s="691" t="s">
        <v>2630</v>
      </c>
      <c r="B453" s="680" t="s">
        <v>2631</v>
      </c>
      <c r="C453" s="681" t="s">
        <v>180</v>
      </c>
      <c r="D453" s="681" t="s">
        <v>185</v>
      </c>
      <c r="G453" s="652" t="s">
        <v>1274</v>
      </c>
      <c r="H453" s="652" t="s">
        <v>2632</v>
      </c>
    </row>
    <row r="454" spans="1:8" ht="14.25" customHeight="1">
      <c r="A454" s="691" t="s">
        <v>2633</v>
      </c>
      <c r="B454" s="680" t="s">
        <v>2618</v>
      </c>
      <c r="C454" s="681"/>
      <c r="D454" s="681"/>
      <c r="G454" s="652" t="s">
        <v>1275</v>
      </c>
      <c r="H454" s="652" t="s">
        <v>2634</v>
      </c>
    </row>
    <row r="455" spans="1:8" ht="14.25" customHeight="1">
      <c r="A455" s="690" t="s">
        <v>2635</v>
      </c>
      <c r="B455" s="690" t="s">
        <v>2636</v>
      </c>
      <c r="C455" s="681" t="s">
        <v>180</v>
      </c>
      <c r="D455" s="681" t="s">
        <v>184</v>
      </c>
      <c r="G455" s="652" t="s">
        <v>812</v>
      </c>
      <c r="H455" s="652" t="s">
        <v>2637</v>
      </c>
    </row>
    <row r="456" spans="1:8" ht="14.25" customHeight="1">
      <c r="A456" s="691" t="s">
        <v>2638</v>
      </c>
      <c r="B456" s="680" t="s">
        <v>2639</v>
      </c>
      <c r="C456" s="681" t="s">
        <v>180</v>
      </c>
      <c r="D456" s="681" t="s">
        <v>184</v>
      </c>
      <c r="G456" s="652" t="s">
        <v>813</v>
      </c>
      <c r="H456" s="652" t="s">
        <v>2640</v>
      </c>
    </row>
    <row r="457" spans="1:8" ht="14.25" customHeight="1">
      <c r="A457" s="679" t="s">
        <v>2641</v>
      </c>
      <c r="B457" s="690" t="s">
        <v>2642</v>
      </c>
      <c r="C457" s="681" t="s">
        <v>180</v>
      </c>
      <c r="D457" s="681" t="s">
        <v>182</v>
      </c>
      <c r="G457" s="652" t="s">
        <v>814</v>
      </c>
      <c r="H457" s="652" t="s">
        <v>2643</v>
      </c>
    </row>
    <row r="458" spans="1:8" ht="14.25" customHeight="1">
      <c r="A458" s="679" t="s">
        <v>2644</v>
      </c>
      <c r="B458" s="690" t="s">
        <v>2645</v>
      </c>
      <c r="C458" s="681" t="s">
        <v>180</v>
      </c>
      <c r="D458" s="681" t="s">
        <v>194</v>
      </c>
      <c r="G458" s="652" t="s">
        <v>815</v>
      </c>
      <c r="H458" s="652" t="s">
        <v>2646</v>
      </c>
    </row>
    <row r="459" spans="1:8" ht="14.25" customHeight="1">
      <c r="A459" s="691" t="s">
        <v>2647</v>
      </c>
      <c r="B459" s="680" t="s">
        <v>2648</v>
      </c>
      <c r="C459" s="681" t="s">
        <v>1327</v>
      </c>
      <c r="D459" s="681" t="s">
        <v>97</v>
      </c>
      <c r="G459" s="652" t="s">
        <v>1160</v>
      </c>
      <c r="H459" s="652" t="s">
        <v>2649</v>
      </c>
    </row>
    <row r="460" spans="1:8" ht="14.25" customHeight="1">
      <c r="A460" s="679" t="s">
        <v>2650</v>
      </c>
      <c r="B460" s="690" t="s">
        <v>2651</v>
      </c>
      <c r="C460" s="681" t="s">
        <v>1327</v>
      </c>
      <c r="D460" s="681" t="s">
        <v>183</v>
      </c>
      <c r="G460" s="652" t="s">
        <v>1399</v>
      </c>
      <c r="H460" s="652" t="s">
        <v>2652</v>
      </c>
    </row>
    <row r="461" spans="1:8" ht="14.25" customHeight="1">
      <c r="A461" s="690" t="s">
        <v>2653</v>
      </c>
      <c r="B461" s="690" t="s">
        <v>2654</v>
      </c>
      <c r="C461" s="681" t="s">
        <v>180</v>
      </c>
      <c r="D461" s="681" t="s">
        <v>183</v>
      </c>
      <c r="G461" s="652" t="s">
        <v>1168</v>
      </c>
      <c r="H461" s="652" t="s">
        <v>2655</v>
      </c>
    </row>
    <row r="462" spans="1:8" ht="14.25" customHeight="1">
      <c r="A462" s="691" t="s">
        <v>2656</v>
      </c>
      <c r="B462" s="680" t="s">
        <v>2657</v>
      </c>
      <c r="C462" s="681" t="s">
        <v>180</v>
      </c>
      <c r="D462" s="681" t="s">
        <v>97</v>
      </c>
      <c r="G462" s="652" t="s">
        <v>1276</v>
      </c>
      <c r="H462" s="652" t="s">
        <v>2658</v>
      </c>
    </row>
    <row r="463" spans="1:8" ht="14.25" customHeight="1">
      <c r="A463" s="690" t="s">
        <v>2659</v>
      </c>
      <c r="B463" s="690" t="s">
        <v>2660</v>
      </c>
      <c r="C463" s="681" t="s">
        <v>180</v>
      </c>
      <c r="D463" s="681" t="s">
        <v>183</v>
      </c>
      <c r="G463" s="652" t="s">
        <v>1173</v>
      </c>
      <c r="H463" s="652" t="s">
        <v>2661</v>
      </c>
    </row>
    <row r="464" spans="1:8" ht="14.25" customHeight="1">
      <c r="A464" s="691" t="s">
        <v>2662</v>
      </c>
      <c r="B464" s="680" t="s">
        <v>2663</v>
      </c>
      <c r="C464" s="681" t="s">
        <v>180</v>
      </c>
      <c r="D464" s="681" t="s">
        <v>97</v>
      </c>
      <c r="G464" s="652" t="s">
        <v>1175</v>
      </c>
      <c r="H464" s="652" t="s">
        <v>2664</v>
      </c>
    </row>
    <row r="465" spans="1:8" ht="14.25" customHeight="1">
      <c r="A465" s="679" t="s">
        <v>2665</v>
      </c>
      <c r="B465" s="690" t="s">
        <v>2666</v>
      </c>
      <c r="C465" s="681" t="s">
        <v>180</v>
      </c>
      <c r="D465" s="681" t="s">
        <v>183</v>
      </c>
      <c r="G465" s="652" t="s">
        <v>1177</v>
      </c>
      <c r="H465" s="652" t="s">
        <v>2667</v>
      </c>
    </row>
    <row r="466" spans="1:8" ht="14.25" customHeight="1">
      <c r="A466" s="691" t="s">
        <v>2668</v>
      </c>
      <c r="B466" s="680" t="s">
        <v>2669</v>
      </c>
      <c r="C466" s="681" t="s">
        <v>1327</v>
      </c>
      <c r="D466" s="681" t="s">
        <v>183</v>
      </c>
      <c r="G466" s="652" t="s">
        <v>1277</v>
      </c>
      <c r="H466" s="652" t="s">
        <v>2670</v>
      </c>
    </row>
    <row r="467" spans="1:8" ht="14.25" customHeight="1">
      <c r="A467" s="679" t="s">
        <v>2671</v>
      </c>
      <c r="B467" s="690" t="s">
        <v>2672</v>
      </c>
      <c r="C467" s="681" t="s">
        <v>180</v>
      </c>
      <c r="D467" s="681" t="s">
        <v>186</v>
      </c>
      <c r="G467" s="652" t="s">
        <v>1181</v>
      </c>
      <c r="H467" s="652" t="s">
        <v>2673</v>
      </c>
    </row>
    <row r="468" spans="1:8" ht="14.25" customHeight="1">
      <c r="A468" s="691" t="s">
        <v>2674</v>
      </c>
      <c r="B468" s="680" t="s">
        <v>2675</v>
      </c>
      <c r="C468" s="681" t="s">
        <v>180</v>
      </c>
      <c r="D468" s="681" t="s">
        <v>97</v>
      </c>
      <c r="G468" s="652" t="s">
        <v>1183</v>
      </c>
      <c r="H468" s="652" t="s">
        <v>2676</v>
      </c>
    </row>
    <row r="469" spans="1:8" ht="14.25" customHeight="1">
      <c r="A469" s="679" t="s">
        <v>2677</v>
      </c>
      <c r="B469" s="690" t="s">
        <v>2678</v>
      </c>
      <c r="C469" s="681" t="s">
        <v>180</v>
      </c>
      <c r="D469" s="681" t="s">
        <v>186</v>
      </c>
      <c r="G469" s="652" t="s">
        <v>1278</v>
      </c>
      <c r="H469" s="652" t="s">
        <v>2679</v>
      </c>
    </row>
    <row r="470" spans="1:8" ht="14.25" customHeight="1">
      <c r="A470" s="691" t="s">
        <v>2680</v>
      </c>
      <c r="B470" s="680" t="s">
        <v>2681</v>
      </c>
      <c r="C470" s="681" t="s">
        <v>1327</v>
      </c>
      <c r="D470" s="681" t="s">
        <v>97</v>
      </c>
      <c r="G470" s="652" t="s">
        <v>1233</v>
      </c>
      <c r="H470" s="652" t="s">
        <v>2682</v>
      </c>
    </row>
    <row r="471" spans="1:8" ht="14.25" customHeight="1">
      <c r="A471" s="679" t="s">
        <v>2683</v>
      </c>
      <c r="B471" s="690" t="s">
        <v>2684</v>
      </c>
      <c r="C471" s="681" t="s">
        <v>180</v>
      </c>
      <c r="D471" s="681" t="s">
        <v>2685</v>
      </c>
      <c r="G471" s="652" t="s">
        <v>1189</v>
      </c>
      <c r="H471" s="652" t="s">
        <v>2686</v>
      </c>
    </row>
    <row r="472" spans="1:8" ht="14.25" customHeight="1">
      <c r="A472" s="691" t="s">
        <v>2687</v>
      </c>
      <c r="B472" s="680" t="s">
        <v>2688</v>
      </c>
      <c r="C472" s="681" t="s">
        <v>180</v>
      </c>
      <c r="D472" s="681" t="s">
        <v>97</v>
      </c>
      <c r="G472" s="652" t="s">
        <v>1191</v>
      </c>
      <c r="H472" s="652" t="s">
        <v>2689</v>
      </c>
    </row>
    <row r="473" spans="1:8" ht="14.25" customHeight="1">
      <c r="A473" s="679" t="s">
        <v>2690</v>
      </c>
      <c r="B473" s="690" t="s">
        <v>2691</v>
      </c>
      <c r="C473" s="681" t="s">
        <v>180</v>
      </c>
      <c r="D473" s="681" t="s">
        <v>191</v>
      </c>
      <c r="G473" s="652" t="s">
        <v>1193</v>
      </c>
      <c r="H473" s="652" t="s">
        <v>2692</v>
      </c>
    </row>
    <row r="474" spans="1:8" ht="14.25" customHeight="1">
      <c r="A474" s="691" t="s">
        <v>2693</v>
      </c>
      <c r="B474" s="680" t="s">
        <v>2694</v>
      </c>
      <c r="C474" s="681" t="s">
        <v>1327</v>
      </c>
      <c r="D474" s="681" t="s">
        <v>97</v>
      </c>
      <c r="G474" s="652" t="s">
        <v>1195</v>
      </c>
      <c r="H474" s="652" t="s">
        <v>2695</v>
      </c>
    </row>
    <row r="475" spans="1:8" ht="14.25" customHeight="1">
      <c r="A475" s="687" t="s">
        <v>2696</v>
      </c>
      <c r="B475" s="687" t="s">
        <v>2697</v>
      </c>
      <c r="C475" s="681" t="s">
        <v>92</v>
      </c>
      <c r="D475" s="681" t="s">
        <v>97</v>
      </c>
      <c r="G475" s="652" t="s">
        <v>1197</v>
      </c>
      <c r="H475" s="652" t="s">
        <v>2698</v>
      </c>
    </row>
    <row r="476" spans="1:8" ht="14.25" customHeight="1">
      <c r="A476" s="692" t="s">
        <v>2699</v>
      </c>
      <c r="B476" s="687" t="s">
        <v>2059</v>
      </c>
      <c r="C476" s="681" t="s">
        <v>92</v>
      </c>
      <c r="D476" s="681" t="s">
        <v>97</v>
      </c>
      <c r="G476" s="652" t="s">
        <v>1199</v>
      </c>
      <c r="H476" s="652" t="s">
        <v>2700</v>
      </c>
    </row>
    <row r="477" spans="1:8" ht="14.25" customHeight="1">
      <c r="A477" s="692" t="s">
        <v>2701</v>
      </c>
      <c r="B477" s="687" t="s">
        <v>2702</v>
      </c>
      <c r="C477" s="681" t="s">
        <v>92</v>
      </c>
      <c r="D477" s="681" t="s">
        <v>97</v>
      </c>
      <c r="G477" s="652" t="s">
        <v>1201</v>
      </c>
      <c r="H477" s="652" t="s">
        <v>2703</v>
      </c>
    </row>
    <row r="478" spans="1:8" ht="14.25" customHeight="1">
      <c r="A478" s="692" t="s">
        <v>2704</v>
      </c>
      <c r="B478" s="687" t="s">
        <v>2705</v>
      </c>
      <c r="C478" s="681" t="s">
        <v>92</v>
      </c>
      <c r="D478" s="681" t="s">
        <v>98</v>
      </c>
      <c r="G478" s="652" t="s">
        <v>1203</v>
      </c>
      <c r="H478" s="652" t="s">
        <v>2706</v>
      </c>
    </row>
    <row r="479" spans="1:8" ht="14.25" customHeight="1">
      <c r="A479" s="722" t="s">
        <v>2707</v>
      </c>
      <c r="B479" s="724" t="s">
        <v>2708</v>
      </c>
      <c r="C479" s="681" t="s">
        <v>92</v>
      </c>
      <c r="D479" s="681" t="s">
        <v>98</v>
      </c>
      <c r="G479" s="652" t="s">
        <v>1205</v>
      </c>
      <c r="H479" s="652" t="s">
        <v>2709</v>
      </c>
    </row>
    <row r="480" spans="1:8" ht="14.25" customHeight="1">
      <c r="A480" s="692" t="s">
        <v>2710</v>
      </c>
      <c r="B480" s="687" t="s">
        <v>2711</v>
      </c>
      <c r="C480" s="681" t="s">
        <v>92</v>
      </c>
      <c r="D480" s="681" t="s">
        <v>97</v>
      </c>
      <c r="G480" s="652" t="s">
        <v>1279</v>
      </c>
      <c r="H480" s="652" t="s">
        <v>2712</v>
      </c>
    </row>
    <row r="481" spans="1:8" ht="14.25" customHeight="1">
      <c r="A481" s="692" t="s">
        <v>2713</v>
      </c>
      <c r="B481" s="687" t="s">
        <v>2714</v>
      </c>
      <c r="C481" s="681" t="s">
        <v>92</v>
      </c>
      <c r="D481" s="681" t="s">
        <v>98</v>
      </c>
      <c r="G481" s="652" t="s">
        <v>1211</v>
      </c>
      <c r="H481" s="652" t="s">
        <v>2715</v>
      </c>
    </row>
    <row r="482" spans="1:8" ht="14.25" customHeight="1">
      <c r="A482" s="679" t="s">
        <v>2716</v>
      </c>
      <c r="B482" s="690" t="s">
        <v>2717</v>
      </c>
      <c r="C482" s="681" t="s">
        <v>92</v>
      </c>
      <c r="D482" s="681" t="s">
        <v>98</v>
      </c>
      <c r="G482" s="652" t="s">
        <v>1213</v>
      </c>
      <c r="H482" s="652" t="s">
        <v>2718</v>
      </c>
    </row>
    <row r="483" spans="1:8" ht="14.25" customHeight="1">
      <c r="A483" s="692" t="s">
        <v>2719</v>
      </c>
      <c r="B483" s="687" t="s">
        <v>2720</v>
      </c>
      <c r="C483" s="681" t="s">
        <v>92</v>
      </c>
      <c r="D483" s="681" t="s">
        <v>97</v>
      </c>
      <c r="G483" s="652" t="s">
        <v>1391</v>
      </c>
      <c r="H483" s="652" t="s">
        <v>2721</v>
      </c>
    </row>
    <row r="484" spans="1:8" ht="14.25" customHeight="1">
      <c r="A484" s="692" t="s">
        <v>2722</v>
      </c>
      <c r="B484" s="687" t="s">
        <v>2723</v>
      </c>
      <c r="C484" s="681" t="s">
        <v>92</v>
      </c>
      <c r="D484" s="681" t="s">
        <v>97</v>
      </c>
      <c r="G484" s="652" t="s">
        <v>816</v>
      </c>
      <c r="H484" s="652" t="s">
        <v>2724</v>
      </c>
    </row>
    <row r="485" spans="1:8" ht="14.25" customHeight="1">
      <c r="A485" s="692" t="s">
        <v>2725</v>
      </c>
      <c r="B485" s="687" t="s">
        <v>2726</v>
      </c>
      <c r="C485" s="681" t="s">
        <v>92</v>
      </c>
      <c r="D485" s="681" t="s">
        <v>97</v>
      </c>
      <c r="G485" s="652" t="s">
        <v>1281</v>
      </c>
      <c r="H485" s="652" t="s">
        <v>2727</v>
      </c>
    </row>
    <row r="486" spans="1:8" ht="14.25" customHeight="1">
      <c r="A486" s="692" t="s">
        <v>2728</v>
      </c>
      <c r="B486" s="687" t="s">
        <v>2729</v>
      </c>
      <c r="C486" s="681" t="s">
        <v>92</v>
      </c>
      <c r="D486" s="681" t="s">
        <v>97</v>
      </c>
      <c r="G486" s="652" t="s">
        <v>1282</v>
      </c>
      <c r="H486" s="652" t="s">
        <v>2730</v>
      </c>
    </row>
    <row r="487" spans="1:8" ht="14.25" customHeight="1">
      <c r="A487" s="692" t="s">
        <v>2731</v>
      </c>
      <c r="B487" s="687" t="s">
        <v>2732</v>
      </c>
      <c r="C487" s="681" t="s">
        <v>92</v>
      </c>
      <c r="D487" s="681" t="s">
        <v>97</v>
      </c>
      <c r="G487" s="652" t="s">
        <v>1283</v>
      </c>
      <c r="H487" s="652" t="s">
        <v>2733</v>
      </c>
    </row>
    <row r="488" spans="1:8" ht="14.25" customHeight="1">
      <c r="A488" s="692" t="s">
        <v>2734</v>
      </c>
      <c r="B488" s="687" t="s">
        <v>2735</v>
      </c>
      <c r="C488" s="681" t="s">
        <v>92</v>
      </c>
      <c r="D488" s="681" t="s">
        <v>97</v>
      </c>
      <c r="G488" s="652" t="s">
        <v>1284</v>
      </c>
      <c r="H488" s="652" t="s">
        <v>2736</v>
      </c>
    </row>
    <row r="489" spans="1:8" ht="14.25" customHeight="1">
      <c r="A489" s="692" t="s">
        <v>2737</v>
      </c>
      <c r="B489" s="687" t="s">
        <v>2738</v>
      </c>
      <c r="C489" s="681" t="s">
        <v>92</v>
      </c>
      <c r="D489" s="681" t="s">
        <v>97</v>
      </c>
      <c r="G489" s="652" t="s">
        <v>1285</v>
      </c>
      <c r="H489" s="652" t="s">
        <v>2739</v>
      </c>
    </row>
    <row r="490" spans="1:8" ht="14.25" customHeight="1">
      <c r="A490" s="692" t="s">
        <v>2740</v>
      </c>
      <c r="B490" s="687" t="s">
        <v>2741</v>
      </c>
      <c r="C490" s="681" t="s">
        <v>92</v>
      </c>
      <c r="D490" s="681" t="s">
        <v>97</v>
      </c>
      <c r="G490" s="652" t="s">
        <v>1286</v>
      </c>
      <c r="H490" s="652" t="s">
        <v>2742</v>
      </c>
    </row>
    <row r="491" spans="1:8" ht="14.25" customHeight="1">
      <c r="A491" s="687" t="s">
        <v>2743</v>
      </c>
      <c r="B491" s="687" t="s">
        <v>2741</v>
      </c>
      <c r="C491" s="681" t="s">
        <v>92</v>
      </c>
      <c r="D491" s="681" t="s">
        <v>97</v>
      </c>
      <c r="G491" s="652" t="s">
        <v>728</v>
      </c>
      <c r="H491" s="652" t="s">
        <v>2744</v>
      </c>
    </row>
    <row r="492" spans="1:8" ht="14.25" customHeight="1">
      <c r="A492" s="692" t="s">
        <v>2745</v>
      </c>
      <c r="B492" s="687" t="s">
        <v>2746</v>
      </c>
      <c r="C492" s="681" t="s">
        <v>92</v>
      </c>
      <c r="D492" s="681" t="s">
        <v>97</v>
      </c>
      <c r="G492" s="652" t="s">
        <v>729</v>
      </c>
      <c r="H492" s="652" t="s">
        <v>2747</v>
      </c>
    </row>
    <row r="493" spans="1:8" ht="14.25" customHeight="1">
      <c r="A493" s="692" t="s">
        <v>2748</v>
      </c>
      <c r="B493" s="687" t="s">
        <v>2749</v>
      </c>
      <c r="C493" s="681" t="s">
        <v>92</v>
      </c>
      <c r="D493" s="681" t="s">
        <v>97</v>
      </c>
      <c r="G493" s="652" t="s">
        <v>730</v>
      </c>
      <c r="H493" s="652" t="s">
        <v>2750</v>
      </c>
    </row>
    <row r="494" spans="1:8" ht="14.25" customHeight="1">
      <c r="A494" s="692" t="s">
        <v>2751</v>
      </c>
      <c r="B494" s="687" t="s">
        <v>2752</v>
      </c>
      <c r="C494" s="681" t="s">
        <v>92</v>
      </c>
      <c r="D494" s="681" t="s">
        <v>97</v>
      </c>
      <c r="G494" s="652" t="s">
        <v>1289</v>
      </c>
      <c r="H494" s="652" t="s">
        <v>2753</v>
      </c>
    </row>
    <row r="495" spans="1:8" ht="14.25" customHeight="1">
      <c r="A495" s="679" t="s">
        <v>2754</v>
      </c>
      <c r="B495" s="687" t="s">
        <v>2755</v>
      </c>
      <c r="C495" s="681" t="s">
        <v>92</v>
      </c>
      <c r="D495" s="681" t="s">
        <v>98</v>
      </c>
      <c r="G495" s="652" t="s">
        <v>1290</v>
      </c>
      <c r="H495" s="652" t="s">
        <v>1291</v>
      </c>
    </row>
    <row r="496" spans="1:8" ht="14.25" customHeight="1">
      <c r="A496" s="692" t="s">
        <v>2756</v>
      </c>
      <c r="B496" s="687" t="s">
        <v>2757</v>
      </c>
      <c r="C496" s="681" t="s">
        <v>92</v>
      </c>
      <c r="D496" s="681" t="s">
        <v>97</v>
      </c>
      <c r="G496" s="652" t="s">
        <v>1402</v>
      </c>
      <c r="H496" s="652" t="s">
        <v>2758</v>
      </c>
    </row>
    <row r="497" spans="1:8" ht="14.25" customHeight="1">
      <c r="A497" s="700" t="s">
        <v>2759</v>
      </c>
      <c r="B497" s="681" t="s">
        <v>2760</v>
      </c>
      <c r="C497" s="681" t="s">
        <v>92</v>
      </c>
      <c r="D497" s="681" t="s">
        <v>97</v>
      </c>
      <c r="G497" s="652" t="s">
        <v>1292</v>
      </c>
      <c r="H497" s="652" t="s">
        <v>1293</v>
      </c>
    </row>
    <row r="498" spans="1:8" ht="14.25" customHeight="1">
      <c r="A498" s="692" t="s">
        <v>2761</v>
      </c>
      <c r="B498" s="687" t="s">
        <v>2762</v>
      </c>
      <c r="C498" s="681" t="s">
        <v>92</v>
      </c>
      <c r="D498" s="681" t="s">
        <v>97</v>
      </c>
      <c r="G498" s="652" t="s">
        <v>1296</v>
      </c>
      <c r="H498" s="652" t="s">
        <v>1297</v>
      </c>
    </row>
    <row r="499" spans="1:8" ht="14.25" customHeight="1">
      <c r="A499" s="692" t="s">
        <v>2763</v>
      </c>
      <c r="B499" s="687" t="s">
        <v>2764</v>
      </c>
      <c r="C499" s="681" t="s">
        <v>92</v>
      </c>
      <c r="D499" s="681" t="s">
        <v>97</v>
      </c>
      <c r="G499" s="652" t="s">
        <v>1299</v>
      </c>
      <c r="H499" s="652" t="s">
        <v>2765</v>
      </c>
    </row>
    <row r="500" spans="1:8" ht="14.25" customHeight="1">
      <c r="A500" s="692" t="s">
        <v>2766</v>
      </c>
      <c r="B500" s="687" t="s">
        <v>2767</v>
      </c>
      <c r="C500" s="681" t="s">
        <v>92</v>
      </c>
      <c r="D500" s="681" t="s">
        <v>97</v>
      </c>
      <c r="G500" s="652" t="s">
        <v>1300</v>
      </c>
      <c r="H500" s="652" t="s">
        <v>2768</v>
      </c>
    </row>
    <row r="501" spans="1:8" ht="14.25" customHeight="1">
      <c r="A501" s="692" t="s">
        <v>2769</v>
      </c>
      <c r="B501" s="687" t="s">
        <v>2770</v>
      </c>
      <c r="C501" s="681" t="s">
        <v>92</v>
      </c>
      <c r="D501" s="681" t="s">
        <v>97</v>
      </c>
      <c r="G501" s="652" t="s">
        <v>1303</v>
      </c>
      <c r="H501" s="652" t="s">
        <v>2771</v>
      </c>
    </row>
    <row r="502" spans="1:8" ht="14.25" customHeight="1">
      <c r="A502" s="700" t="s">
        <v>2772</v>
      </c>
      <c r="B502" s="724" t="s">
        <v>2773</v>
      </c>
      <c r="C502" s="681" t="s">
        <v>92</v>
      </c>
      <c r="D502" s="681" t="s">
        <v>97</v>
      </c>
      <c r="G502" s="652" t="s">
        <v>1304</v>
      </c>
      <c r="H502" s="652" t="s">
        <v>2774</v>
      </c>
    </row>
    <row r="503" spans="1:8" ht="14.25" customHeight="1">
      <c r="A503" s="692" t="s">
        <v>2775</v>
      </c>
      <c r="B503" s="725" t="s">
        <v>2776</v>
      </c>
      <c r="C503" s="681" t="s">
        <v>92</v>
      </c>
      <c r="D503" s="681" t="s">
        <v>97</v>
      </c>
      <c r="G503" s="652" t="s">
        <v>1305</v>
      </c>
      <c r="H503" s="652" t="s">
        <v>2777</v>
      </c>
    </row>
    <row r="504" spans="1:8" ht="14.25" customHeight="1">
      <c r="A504" s="704" t="s">
        <v>2778</v>
      </c>
      <c r="B504" s="726" t="s">
        <v>2779</v>
      </c>
      <c r="C504" s="681" t="s">
        <v>92</v>
      </c>
      <c r="D504" s="681" t="s">
        <v>98</v>
      </c>
      <c r="G504" s="652" t="s">
        <v>1308</v>
      </c>
      <c r="H504" s="652" t="s">
        <v>2780</v>
      </c>
    </row>
    <row r="505" spans="1:8" ht="14.25" customHeight="1">
      <c r="A505" s="700" t="s">
        <v>2781</v>
      </c>
      <c r="B505" s="724" t="s">
        <v>2782</v>
      </c>
      <c r="C505" s="681" t="s">
        <v>92</v>
      </c>
      <c r="D505" s="681" t="s">
        <v>97</v>
      </c>
      <c r="G505" s="652" t="s">
        <v>1311</v>
      </c>
      <c r="H505" s="652" t="s">
        <v>2783</v>
      </c>
    </row>
    <row r="506" spans="1:8" ht="14.25" customHeight="1">
      <c r="A506" s="692" t="s">
        <v>2784</v>
      </c>
      <c r="B506" s="724" t="s">
        <v>2785</v>
      </c>
      <c r="C506" s="681" t="s">
        <v>92</v>
      </c>
      <c r="D506" s="681" t="s">
        <v>97</v>
      </c>
      <c r="G506" s="652" t="s">
        <v>1314</v>
      </c>
      <c r="H506" s="652" t="s">
        <v>1312</v>
      </c>
    </row>
    <row r="507" spans="1:8" ht="14.25" customHeight="1">
      <c r="A507" s="692" t="s">
        <v>2786</v>
      </c>
      <c r="B507" s="687" t="s">
        <v>2787</v>
      </c>
      <c r="C507" s="681" t="s">
        <v>92</v>
      </c>
      <c r="D507" s="681" t="s">
        <v>97</v>
      </c>
      <c r="G507" s="652" t="s">
        <v>1315</v>
      </c>
      <c r="H507" s="652" t="s">
        <v>1317</v>
      </c>
    </row>
    <row r="508" spans="1:8" ht="14.25" customHeight="1">
      <c r="A508" s="692" t="s">
        <v>2788</v>
      </c>
      <c r="B508" s="687" t="s">
        <v>2789</v>
      </c>
      <c r="C508" s="681" t="s">
        <v>92</v>
      </c>
      <c r="D508" s="681" t="s">
        <v>97</v>
      </c>
      <c r="G508" s="652" t="s">
        <v>1406</v>
      </c>
      <c r="H508" s="652" t="s">
        <v>2790</v>
      </c>
    </row>
    <row r="509" spans="1:8" ht="14.25" customHeight="1">
      <c r="A509" s="692" t="s">
        <v>2791</v>
      </c>
      <c r="B509" s="687" t="s">
        <v>2792</v>
      </c>
      <c r="C509" s="681" t="s">
        <v>92</v>
      </c>
      <c r="D509" s="681" t="s">
        <v>98</v>
      </c>
      <c r="G509" s="652" t="s">
        <v>1318</v>
      </c>
      <c r="H509" s="652" t="s">
        <v>2793</v>
      </c>
    </row>
    <row r="510" spans="1:8" ht="14.25" customHeight="1">
      <c r="A510" s="692" t="s">
        <v>2794</v>
      </c>
      <c r="B510" s="687" t="s">
        <v>2795</v>
      </c>
      <c r="C510" s="681" t="s">
        <v>92</v>
      </c>
      <c r="D510" s="681" t="s">
        <v>98</v>
      </c>
      <c r="G510" s="652" t="s">
        <v>1407</v>
      </c>
      <c r="H510" s="652" t="s">
        <v>2796</v>
      </c>
    </row>
    <row r="511" spans="1:8" ht="14.25" customHeight="1">
      <c r="A511" s="679" t="s">
        <v>2797</v>
      </c>
      <c r="B511" s="687" t="s">
        <v>2798</v>
      </c>
      <c r="C511" s="681" t="s">
        <v>92</v>
      </c>
      <c r="D511" s="681" t="s">
        <v>98</v>
      </c>
    </row>
    <row r="512" spans="1:8" ht="14.25" customHeight="1">
      <c r="A512" s="692" t="s">
        <v>2799</v>
      </c>
      <c r="B512" s="687" t="s">
        <v>2800</v>
      </c>
      <c r="C512" s="681" t="s">
        <v>92</v>
      </c>
      <c r="D512" s="681" t="s">
        <v>97</v>
      </c>
    </row>
    <row r="513" spans="1:4" ht="14.25" customHeight="1">
      <c r="A513" s="692" t="s">
        <v>2801</v>
      </c>
      <c r="B513" s="687" t="s">
        <v>2802</v>
      </c>
      <c r="C513" s="681" t="s">
        <v>92</v>
      </c>
      <c r="D513" s="681" t="s">
        <v>97</v>
      </c>
    </row>
    <row r="514" spans="1:4" ht="14.25" customHeight="1">
      <c r="A514" s="692" t="s">
        <v>2803</v>
      </c>
      <c r="B514" s="687" t="s">
        <v>2804</v>
      </c>
      <c r="C514" s="681" t="s">
        <v>92</v>
      </c>
      <c r="D514" s="681" t="s">
        <v>97</v>
      </c>
    </row>
    <row r="515" spans="1:4" ht="14.25" customHeight="1">
      <c r="A515" s="692" t="s">
        <v>2805</v>
      </c>
      <c r="B515" s="687" t="s">
        <v>2806</v>
      </c>
      <c r="C515" s="681" t="s">
        <v>92</v>
      </c>
      <c r="D515" s="681" t="s">
        <v>97</v>
      </c>
    </row>
    <row r="516" spans="1:4" ht="14.25" customHeight="1">
      <c r="A516" s="692" t="s">
        <v>2807</v>
      </c>
      <c r="B516" s="687" t="s">
        <v>2808</v>
      </c>
      <c r="C516" s="681" t="s">
        <v>92</v>
      </c>
      <c r="D516" s="681" t="s">
        <v>97</v>
      </c>
    </row>
    <row r="517" spans="1:4" ht="14.25" customHeight="1">
      <c r="A517" s="692" t="s">
        <v>2809</v>
      </c>
      <c r="B517" s="687" t="s">
        <v>2810</v>
      </c>
      <c r="C517" s="681" t="s">
        <v>92</v>
      </c>
      <c r="D517" s="681" t="s">
        <v>97</v>
      </c>
    </row>
    <row r="518" spans="1:4" ht="14.25" customHeight="1">
      <c r="A518" s="692" t="s">
        <v>2811</v>
      </c>
      <c r="B518" s="687" t="s">
        <v>2812</v>
      </c>
      <c r="C518" s="681" t="s">
        <v>92</v>
      </c>
      <c r="D518" s="681" t="s">
        <v>97</v>
      </c>
    </row>
    <row r="519" spans="1:4" ht="14.25" customHeight="1">
      <c r="A519" s="692" t="s">
        <v>2813</v>
      </c>
      <c r="B519" s="687" t="s">
        <v>2814</v>
      </c>
      <c r="C519" s="681" t="s">
        <v>92</v>
      </c>
      <c r="D519" s="681" t="s">
        <v>97</v>
      </c>
    </row>
    <row r="520" spans="1:4" ht="14.25" customHeight="1">
      <c r="A520" s="692" t="s">
        <v>2815</v>
      </c>
      <c r="B520" s="687" t="s">
        <v>2816</v>
      </c>
      <c r="C520" s="681" t="s">
        <v>92</v>
      </c>
      <c r="D520" s="681" t="s">
        <v>97</v>
      </c>
    </row>
    <row r="521" spans="1:4" ht="14.25" customHeight="1">
      <c r="A521" s="692" t="s">
        <v>2817</v>
      </c>
      <c r="B521" s="687" t="s">
        <v>2818</v>
      </c>
      <c r="C521" s="681" t="s">
        <v>92</v>
      </c>
      <c r="D521" s="681" t="s">
        <v>97</v>
      </c>
    </row>
    <row r="522" spans="1:4" ht="14.25" customHeight="1">
      <c r="A522" s="692" t="s">
        <v>2819</v>
      </c>
      <c r="B522" s="687" t="s">
        <v>2820</v>
      </c>
      <c r="C522" s="681" t="s">
        <v>92</v>
      </c>
      <c r="D522" s="681" t="s">
        <v>97</v>
      </c>
    </row>
    <row r="523" spans="1:4" ht="14.25" customHeight="1">
      <c r="A523" s="692" t="s">
        <v>2821</v>
      </c>
      <c r="B523" s="687" t="s">
        <v>2822</v>
      </c>
      <c r="C523" s="681" t="s">
        <v>92</v>
      </c>
      <c r="D523" s="681" t="s">
        <v>97</v>
      </c>
    </row>
    <row r="524" spans="1:4" ht="14.25" customHeight="1">
      <c r="A524" s="692" t="s">
        <v>2823</v>
      </c>
      <c r="B524" s="687" t="s">
        <v>2824</v>
      </c>
      <c r="C524" s="681" t="s">
        <v>92</v>
      </c>
      <c r="D524" s="681" t="s">
        <v>98</v>
      </c>
    </row>
    <row r="525" spans="1:4" ht="14.25" customHeight="1">
      <c r="A525" s="679" t="s">
        <v>2825</v>
      </c>
      <c r="B525" s="687" t="s">
        <v>2826</v>
      </c>
      <c r="C525" s="681" t="s">
        <v>92</v>
      </c>
      <c r="D525" s="681" t="s">
        <v>98</v>
      </c>
    </row>
    <row r="526" spans="1:4" ht="14.25" customHeight="1">
      <c r="A526" s="692" t="s">
        <v>2827</v>
      </c>
      <c r="B526" s="687" t="s">
        <v>2828</v>
      </c>
      <c r="C526" s="681" t="s">
        <v>92</v>
      </c>
      <c r="D526" s="681" t="s">
        <v>97</v>
      </c>
    </row>
    <row r="527" spans="1:4" ht="14.25" customHeight="1">
      <c r="A527" s="687" t="s">
        <v>2829</v>
      </c>
      <c r="B527" s="687" t="s">
        <v>2830</v>
      </c>
      <c r="C527" s="681" t="s">
        <v>92</v>
      </c>
      <c r="D527" s="681" t="s">
        <v>97</v>
      </c>
    </row>
    <row r="528" spans="1:4" ht="14.25" customHeight="1">
      <c r="A528" s="679" t="s">
        <v>2831</v>
      </c>
      <c r="B528" s="690" t="s">
        <v>2832</v>
      </c>
      <c r="C528" s="681" t="s">
        <v>92</v>
      </c>
      <c r="D528" s="681" t="s">
        <v>106</v>
      </c>
    </row>
    <row r="529" spans="1:4" ht="14.25" customHeight="1">
      <c r="A529" s="687" t="s">
        <v>2833</v>
      </c>
      <c r="B529" s="687" t="s">
        <v>2834</v>
      </c>
      <c r="C529" s="681" t="s">
        <v>92</v>
      </c>
      <c r="D529" s="681" t="s">
        <v>97</v>
      </c>
    </row>
    <row r="530" spans="1:4" ht="14.25" customHeight="1">
      <c r="A530" s="687" t="s">
        <v>2835</v>
      </c>
      <c r="B530" s="687" t="s">
        <v>2836</v>
      </c>
      <c r="C530" s="681" t="s">
        <v>92</v>
      </c>
      <c r="D530" s="681" t="s">
        <v>97</v>
      </c>
    </row>
    <row r="531" spans="1:4" ht="14.25" customHeight="1">
      <c r="A531" s="692" t="s">
        <v>2837</v>
      </c>
      <c r="B531" s="687" t="s">
        <v>2838</v>
      </c>
      <c r="C531" s="681" t="s">
        <v>92</v>
      </c>
      <c r="D531" s="681" t="s">
        <v>97</v>
      </c>
    </row>
    <row r="532" spans="1:4" ht="14.25" customHeight="1">
      <c r="A532" s="679" t="s">
        <v>2839</v>
      </c>
      <c r="B532" s="690" t="s">
        <v>2840</v>
      </c>
      <c r="C532" s="681" t="s">
        <v>92</v>
      </c>
      <c r="D532" s="681" t="s">
        <v>103</v>
      </c>
    </row>
    <row r="533" spans="1:4" ht="14.25" customHeight="1">
      <c r="A533" s="691" t="s">
        <v>2841</v>
      </c>
      <c r="B533" s="680" t="s">
        <v>2842</v>
      </c>
      <c r="C533" s="681" t="s">
        <v>92</v>
      </c>
      <c r="D533" s="681" t="s">
        <v>102</v>
      </c>
    </row>
    <row r="534" spans="1:4" ht="14.25" customHeight="1">
      <c r="A534" s="691" t="s">
        <v>2843</v>
      </c>
      <c r="B534" s="680" t="s">
        <v>2844</v>
      </c>
      <c r="C534" s="681" t="s">
        <v>92</v>
      </c>
      <c r="D534" s="681" t="s">
        <v>102</v>
      </c>
    </row>
    <row r="535" spans="1:4" ht="14.25" customHeight="1">
      <c r="A535" s="679" t="s">
        <v>2845</v>
      </c>
      <c r="B535" s="687" t="s">
        <v>2846</v>
      </c>
      <c r="C535" s="681" t="s">
        <v>92</v>
      </c>
      <c r="D535" s="681" t="s">
        <v>98</v>
      </c>
    </row>
    <row r="536" spans="1:4" ht="14.25" customHeight="1">
      <c r="A536" s="692" t="s">
        <v>2847</v>
      </c>
      <c r="B536" s="687" t="s">
        <v>2848</v>
      </c>
      <c r="C536" s="681" t="s">
        <v>92</v>
      </c>
      <c r="D536" s="681" t="s">
        <v>97</v>
      </c>
    </row>
    <row r="537" spans="1:4" ht="14.25" customHeight="1">
      <c r="A537" s="692" t="s">
        <v>2849</v>
      </c>
      <c r="B537" s="687" t="s">
        <v>2850</v>
      </c>
      <c r="C537" s="681" t="s">
        <v>92</v>
      </c>
      <c r="D537" s="681" t="s">
        <v>97</v>
      </c>
    </row>
    <row r="538" spans="1:4" ht="14.25" customHeight="1">
      <c r="A538" s="692" t="s">
        <v>2851</v>
      </c>
      <c r="B538" s="687" t="s">
        <v>2852</v>
      </c>
      <c r="C538" s="681" t="s">
        <v>92</v>
      </c>
      <c r="D538" s="681" t="s">
        <v>97</v>
      </c>
    </row>
    <row r="539" spans="1:4" ht="14.25" customHeight="1">
      <c r="A539" s="692" t="s">
        <v>2853</v>
      </c>
      <c r="B539" s="687" t="s">
        <v>2854</v>
      </c>
      <c r="C539" s="681" t="s">
        <v>92</v>
      </c>
      <c r="D539" s="681" t="s">
        <v>98</v>
      </c>
    </row>
    <row r="540" spans="1:4" ht="14.25" customHeight="1">
      <c r="A540" s="679" t="s">
        <v>2855</v>
      </c>
      <c r="B540" s="690" t="s">
        <v>2856</v>
      </c>
      <c r="C540" s="681" t="s">
        <v>152</v>
      </c>
      <c r="D540" s="681" t="s">
        <v>153</v>
      </c>
    </row>
    <row r="541" spans="1:4" ht="14.25" customHeight="1">
      <c r="A541" s="679" t="s">
        <v>2857</v>
      </c>
      <c r="B541" s="690" t="s">
        <v>2858</v>
      </c>
      <c r="C541" s="681" t="s">
        <v>152</v>
      </c>
      <c r="D541" s="681" t="s">
        <v>186</v>
      </c>
    </row>
    <row r="542" spans="1:4" ht="14.25" customHeight="1">
      <c r="A542" s="679" t="s">
        <v>2859</v>
      </c>
      <c r="B542" s="690" t="s">
        <v>2860</v>
      </c>
      <c r="C542" s="681" t="s">
        <v>152</v>
      </c>
      <c r="D542" s="681" t="s">
        <v>186</v>
      </c>
    </row>
    <row r="543" spans="1:4" ht="14.25" customHeight="1">
      <c r="A543" s="727" t="s">
        <v>2861</v>
      </c>
      <c r="B543" s="728" t="s">
        <v>2862</v>
      </c>
      <c r="C543" s="681" t="s">
        <v>152</v>
      </c>
      <c r="D543" s="681" t="s">
        <v>106</v>
      </c>
    </row>
    <row r="544" spans="1:4" ht="14.25" customHeight="1">
      <c r="A544" s="679" t="s">
        <v>2863</v>
      </c>
      <c r="B544" s="690" t="s">
        <v>2864</v>
      </c>
      <c r="C544" s="681" t="s">
        <v>152</v>
      </c>
      <c r="D544" s="681" t="s">
        <v>156</v>
      </c>
    </row>
    <row r="545" spans="1:4" ht="14.25" customHeight="1">
      <c r="A545" s="679" t="s">
        <v>2865</v>
      </c>
      <c r="B545" s="690" t="s">
        <v>2866</v>
      </c>
      <c r="C545" s="681" t="s">
        <v>152</v>
      </c>
      <c r="D545" s="681" t="s">
        <v>156</v>
      </c>
    </row>
    <row r="546" spans="1:4" ht="14.25" customHeight="1">
      <c r="A546" s="679" t="s">
        <v>2867</v>
      </c>
      <c r="B546" s="690" t="s">
        <v>2868</v>
      </c>
      <c r="C546" s="681" t="s">
        <v>152</v>
      </c>
      <c r="D546" s="681" t="s">
        <v>153</v>
      </c>
    </row>
    <row r="547" spans="1:4" ht="14.25" customHeight="1">
      <c r="A547" s="679" t="s">
        <v>2869</v>
      </c>
      <c r="B547" s="690" t="s">
        <v>2870</v>
      </c>
      <c r="C547" s="681" t="s">
        <v>152</v>
      </c>
      <c r="D547" s="681" t="s">
        <v>153</v>
      </c>
    </row>
    <row r="548" spans="1:4" ht="14.25" customHeight="1">
      <c r="A548" s="690" t="s">
        <v>2871</v>
      </c>
      <c r="B548" s="690" t="s">
        <v>2872</v>
      </c>
      <c r="C548" s="681" t="s">
        <v>152</v>
      </c>
      <c r="D548" s="681" t="s">
        <v>153</v>
      </c>
    </row>
    <row r="549" spans="1:4" ht="14.25" customHeight="1">
      <c r="A549" s="690" t="s">
        <v>2873</v>
      </c>
      <c r="B549" s="690" t="s">
        <v>2874</v>
      </c>
      <c r="C549" s="681" t="s">
        <v>152</v>
      </c>
      <c r="D549" s="681" t="s">
        <v>153</v>
      </c>
    </row>
    <row r="550" spans="1:4" ht="14.25" customHeight="1">
      <c r="A550" s="679" t="s">
        <v>2875</v>
      </c>
      <c r="B550" s="690" t="s">
        <v>2876</v>
      </c>
      <c r="C550" s="681" t="s">
        <v>152</v>
      </c>
      <c r="D550" s="681" t="s">
        <v>153</v>
      </c>
    </row>
    <row r="551" spans="1:4" ht="14.25" customHeight="1">
      <c r="A551" s="679" t="s">
        <v>2877</v>
      </c>
      <c r="B551" s="690" t="s">
        <v>2878</v>
      </c>
      <c r="C551" s="681" t="s">
        <v>152</v>
      </c>
      <c r="D551" s="681" t="s">
        <v>153</v>
      </c>
    </row>
    <row r="552" spans="1:4" ht="14.25" customHeight="1">
      <c r="A552" s="679" t="s">
        <v>2879</v>
      </c>
      <c r="B552" s="690" t="s">
        <v>2880</v>
      </c>
      <c r="C552" s="681" t="s">
        <v>152</v>
      </c>
      <c r="D552" s="681" t="s">
        <v>153</v>
      </c>
    </row>
    <row r="553" spans="1:4" ht="14.25" customHeight="1">
      <c r="A553" s="679" t="s">
        <v>2881</v>
      </c>
      <c r="B553" s="690" t="s">
        <v>2882</v>
      </c>
      <c r="C553" s="681" t="s">
        <v>152</v>
      </c>
      <c r="D553" s="681" t="s">
        <v>153</v>
      </c>
    </row>
    <row r="554" spans="1:4" ht="14.25" customHeight="1">
      <c r="A554" s="679" t="s">
        <v>2883</v>
      </c>
      <c r="B554" s="690" t="s">
        <v>2884</v>
      </c>
      <c r="C554" s="681" t="s">
        <v>152</v>
      </c>
      <c r="D554" s="681" t="s">
        <v>153</v>
      </c>
    </row>
    <row r="555" spans="1:4" ht="14.25" customHeight="1">
      <c r="A555" s="679" t="s">
        <v>2883</v>
      </c>
      <c r="B555" s="690" t="s">
        <v>2884</v>
      </c>
      <c r="C555" s="681" t="s">
        <v>152</v>
      </c>
      <c r="D555" s="681" t="s">
        <v>153</v>
      </c>
    </row>
    <row r="556" spans="1:4" ht="14.25" customHeight="1">
      <c r="A556" s="679" t="s">
        <v>2885</v>
      </c>
      <c r="B556" s="690" t="s">
        <v>2886</v>
      </c>
      <c r="C556" s="681" t="s">
        <v>152</v>
      </c>
      <c r="D556" s="681" t="s">
        <v>153</v>
      </c>
    </row>
    <row r="557" spans="1:4" ht="14.25" customHeight="1">
      <c r="A557" s="679" t="s">
        <v>2885</v>
      </c>
      <c r="B557" s="690" t="s">
        <v>2886</v>
      </c>
      <c r="C557" s="681" t="s">
        <v>152</v>
      </c>
      <c r="D557" s="681" t="s">
        <v>153</v>
      </c>
    </row>
    <row r="558" spans="1:4" ht="14.25" customHeight="1">
      <c r="A558" s="679" t="s">
        <v>2887</v>
      </c>
      <c r="B558" s="690" t="s">
        <v>2888</v>
      </c>
      <c r="C558" s="681" t="s">
        <v>152</v>
      </c>
      <c r="D558" s="681" t="s">
        <v>153</v>
      </c>
    </row>
    <row r="559" spans="1:4" ht="14.25" customHeight="1">
      <c r="A559" s="679" t="s">
        <v>2889</v>
      </c>
      <c r="B559" s="690" t="s">
        <v>2890</v>
      </c>
      <c r="C559" s="681" t="s">
        <v>152</v>
      </c>
      <c r="D559" s="681" t="s">
        <v>186</v>
      </c>
    </row>
    <row r="560" spans="1:4" ht="14.25" customHeight="1">
      <c r="A560" s="679" t="s">
        <v>2891</v>
      </c>
      <c r="B560" s="690" t="s">
        <v>2892</v>
      </c>
      <c r="C560" s="681" t="s">
        <v>152</v>
      </c>
      <c r="D560" s="681" t="s">
        <v>153</v>
      </c>
    </row>
    <row r="561" spans="1:4" ht="14.25" customHeight="1">
      <c r="A561" s="679" t="s">
        <v>2893</v>
      </c>
      <c r="B561" s="690" t="s">
        <v>2894</v>
      </c>
      <c r="C561" s="681" t="s">
        <v>152</v>
      </c>
      <c r="D561" s="681" t="s">
        <v>186</v>
      </c>
    </row>
    <row r="562" spans="1:4" ht="14.25" customHeight="1">
      <c r="A562" s="679" t="s">
        <v>2895</v>
      </c>
      <c r="B562" s="690" t="s">
        <v>2896</v>
      </c>
      <c r="C562" s="681" t="s">
        <v>152</v>
      </c>
      <c r="D562" s="681" t="s">
        <v>153</v>
      </c>
    </row>
    <row r="563" spans="1:4" ht="14.25" customHeight="1">
      <c r="A563" s="679" t="s">
        <v>2897</v>
      </c>
      <c r="B563" s="690" t="s">
        <v>2898</v>
      </c>
      <c r="C563" s="681" t="s">
        <v>152</v>
      </c>
      <c r="D563" s="681" t="s">
        <v>186</v>
      </c>
    </row>
    <row r="564" spans="1:4" ht="14.25" customHeight="1">
      <c r="A564" s="679" t="s">
        <v>2899</v>
      </c>
      <c r="B564" s="690" t="s">
        <v>2900</v>
      </c>
      <c r="C564" s="681" t="s">
        <v>152</v>
      </c>
      <c r="D564" s="681" t="s">
        <v>153</v>
      </c>
    </row>
    <row r="565" spans="1:4" ht="14.25" customHeight="1">
      <c r="A565" s="679" t="s">
        <v>2901</v>
      </c>
      <c r="B565" s="690" t="s">
        <v>2902</v>
      </c>
      <c r="C565" s="681" t="s">
        <v>152</v>
      </c>
      <c r="D565" s="681" t="s">
        <v>153</v>
      </c>
    </row>
    <row r="566" spans="1:4" ht="14.25" customHeight="1">
      <c r="A566" s="679" t="s">
        <v>2903</v>
      </c>
      <c r="B566" s="690" t="s">
        <v>2904</v>
      </c>
      <c r="C566" s="681" t="s">
        <v>152</v>
      </c>
      <c r="D566" s="681" t="s">
        <v>153</v>
      </c>
    </row>
    <row r="567" spans="1:4" ht="14.25" customHeight="1">
      <c r="A567" s="679" t="s">
        <v>2905</v>
      </c>
      <c r="B567" s="690" t="s">
        <v>2906</v>
      </c>
      <c r="C567" s="681" t="s">
        <v>152</v>
      </c>
      <c r="D567" s="681" t="s">
        <v>186</v>
      </c>
    </row>
    <row r="568" spans="1:4" ht="14.25" customHeight="1">
      <c r="A568" s="690" t="s">
        <v>2905</v>
      </c>
      <c r="B568" s="690" t="s">
        <v>2906</v>
      </c>
      <c r="C568" s="681" t="s">
        <v>152</v>
      </c>
      <c r="D568" s="681" t="s">
        <v>186</v>
      </c>
    </row>
    <row r="569" spans="1:4" ht="14.25" customHeight="1">
      <c r="A569" s="690" t="s">
        <v>2907</v>
      </c>
      <c r="B569" s="690" t="s">
        <v>2908</v>
      </c>
      <c r="C569" s="681" t="s">
        <v>152</v>
      </c>
      <c r="D569" s="681" t="s">
        <v>153</v>
      </c>
    </row>
    <row r="570" spans="1:4" ht="14.25" customHeight="1">
      <c r="A570" s="679" t="s">
        <v>2909</v>
      </c>
      <c r="B570" s="690" t="s">
        <v>2910</v>
      </c>
      <c r="C570" s="681" t="s">
        <v>161</v>
      </c>
      <c r="D570" s="681" t="s">
        <v>164</v>
      </c>
    </row>
    <row r="571" spans="1:4" ht="14.25" customHeight="1">
      <c r="A571" s="679" t="s">
        <v>2911</v>
      </c>
      <c r="B571" s="690" t="s">
        <v>2912</v>
      </c>
      <c r="C571" s="681" t="s">
        <v>161</v>
      </c>
      <c r="D571" s="681" t="s">
        <v>168</v>
      </c>
    </row>
    <row r="572" spans="1:4" ht="14.25" customHeight="1">
      <c r="A572" s="679" t="s">
        <v>2913</v>
      </c>
      <c r="B572" s="690" t="s">
        <v>2914</v>
      </c>
      <c r="C572" s="681" t="s">
        <v>161</v>
      </c>
      <c r="D572" s="681" t="s">
        <v>166</v>
      </c>
    </row>
    <row r="573" spans="1:4" ht="14.25" customHeight="1">
      <c r="A573" s="679" t="s">
        <v>2915</v>
      </c>
      <c r="B573" s="729" t="s">
        <v>2916</v>
      </c>
      <c r="C573" s="681" t="s">
        <v>161</v>
      </c>
      <c r="D573" s="681" t="s">
        <v>167</v>
      </c>
    </row>
    <row r="574" spans="1:4" ht="14.25" customHeight="1">
      <c r="A574" s="679" t="s">
        <v>2917</v>
      </c>
      <c r="B574" s="690" t="s">
        <v>2918</v>
      </c>
      <c r="C574" s="681" t="s">
        <v>161</v>
      </c>
      <c r="D574" s="681" t="s">
        <v>169</v>
      </c>
    </row>
    <row r="575" spans="1:4" ht="14.25" customHeight="1">
      <c r="A575" s="679" t="s">
        <v>2919</v>
      </c>
      <c r="B575" s="690" t="s">
        <v>2920</v>
      </c>
      <c r="C575" s="681" t="s">
        <v>161</v>
      </c>
      <c r="D575" s="681" t="s">
        <v>166</v>
      </c>
    </row>
    <row r="576" spans="1:4" ht="14.25" customHeight="1">
      <c r="A576" s="679" t="s">
        <v>2921</v>
      </c>
      <c r="B576" s="690" t="s">
        <v>2922</v>
      </c>
      <c r="C576" s="681" t="s">
        <v>1327</v>
      </c>
      <c r="D576" s="681" t="s">
        <v>172</v>
      </c>
    </row>
    <row r="577" spans="1:4" ht="14.25" customHeight="1">
      <c r="A577" s="679" t="s">
        <v>2923</v>
      </c>
      <c r="B577" s="690" t="s">
        <v>2924</v>
      </c>
      <c r="C577" s="681" t="s">
        <v>180</v>
      </c>
      <c r="D577" s="681" t="s">
        <v>192</v>
      </c>
    </row>
    <row r="578" spans="1:4" ht="14.25" customHeight="1">
      <c r="A578" s="679" t="s">
        <v>2925</v>
      </c>
      <c r="B578" s="690" t="s">
        <v>2926</v>
      </c>
      <c r="C578" s="681" t="s">
        <v>161</v>
      </c>
      <c r="D578" s="681" t="s">
        <v>1341</v>
      </c>
    </row>
    <row r="579" spans="1:4" ht="14.25" customHeight="1">
      <c r="A579" s="679" t="s">
        <v>2927</v>
      </c>
      <c r="B579" s="690" t="s">
        <v>2928</v>
      </c>
      <c r="C579" s="681" t="s">
        <v>161</v>
      </c>
      <c r="D579" s="681" t="s">
        <v>172</v>
      </c>
    </row>
    <row r="580" spans="1:4" ht="14.25" customHeight="1">
      <c r="A580" s="679" t="s">
        <v>2929</v>
      </c>
      <c r="B580" s="690" t="s">
        <v>2930</v>
      </c>
      <c r="C580" s="681" t="s">
        <v>161</v>
      </c>
      <c r="D580" s="681" t="s">
        <v>172</v>
      </c>
    </row>
    <row r="581" spans="1:4" ht="14.25" customHeight="1">
      <c r="A581" s="679" t="s">
        <v>2931</v>
      </c>
      <c r="B581" s="690" t="s">
        <v>2932</v>
      </c>
      <c r="C581" s="681" t="s">
        <v>161</v>
      </c>
      <c r="D581" s="681" t="s">
        <v>172</v>
      </c>
    </row>
    <row r="582" spans="1:4" ht="14.25" customHeight="1">
      <c r="A582" s="679" t="s">
        <v>2933</v>
      </c>
      <c r="B582" s="690" t="s">
        <v>2934</v>
      </c>
      <c r="C582" s="681" t="s">
        <v>176</v>
      </c>
      <c r="D582" s="681" t="s">
        <v>177</v>
      </c>
    </row>
    <row r="583" spans="1:4" ht="14.25" customHeight="1">
      <c r="A583" s="679" t="s">
        <v>2935</v>
      </c>
      <c r="B583" s="690" t="s">
        <v>2936</v>
      </c>
      <c r="C583" s="681" t="s">
        <v>176</v>
      </c>
      <c r="D583" s="681" t="s">
        <v>177</v>
      </c>
    </row>
    <row r="584" spans="1:4" ht="14.25" customHeight="1">
      <c r="A584" s="679" t="s">
        <v>2937</v>
      </c>
      <c r="B584" s="690" t="s">
        <v>2938</v>
      </c>
      <c r="C584" s="681" t="s">
        <v>176</v>
      </c>
      <c r="D584" s="681" t="s">
        <v>177</v>
      </c>
    </row>
    <row r="585" spans="1:4" ht="14.25" customHeight="1">
      <c r="A585" s="679" t="s">
        <v>2939</v>
      </c>
      <c r="B585" s="690" t="s">
        <v>2940</v>
      </c>
      <c r="C585" s="681" t="s">
        <v>152</v>
      </c>
      <c r="D585" s="681" t="s">
        <v>153</v>
      </c>
    </row>
    <row r="586" spans="1:4" ht="14.25" customHeight="1">
      <c r="A586" s="679" t="s">
        <v>2941</v>
      </c>
      <c r="B586" s="690" t="s">
        <v>2942</v>
      </c>
      <c r="C586" s="681" t="s">
        <v>152</v>
      </c>
      <c r="D586" s="681" t="s">
        <v>153</v>
      </c>
    </row>
    <row r="587" spans="1:4" ht="14.25" customHeight="1">
      <c r="A587" s="679" t="s">
        <v>2943</v>
      </c>
      <c r="B587" s="690" t="s">
        <v>2944</v>
      </c>
      <c r="C587" s="681" t="s">
        <v>152</v>
      </c>
      <c r="D587" s="681" t="s">
        <v>153</v>
      </c>
    </row>
    <row r="588" spans="1:4" ht="14.25" customHeight="1">
      <c r="A588" s="679" t="s">
        <v>2945</v>
      </c>
      <c r="B588" s="690" t="s">
        <v>2946</v>
      </c>
      <c r="C588" s="681" t="s">
        <v>152</v>
      </c>
      <c r="D588" s="681" t="s">
        <v>153</v>
      </c>
    </row>
    <row r="589" spans="1:4" ht="14.25" customHeight="1">
      <c r="A589" s="679" t="s">
        <v>2947</v>
      </c>
      <c r="B589" s="690" t="s">
        <v>2948</v>
      </c>
      <c r="C589" s="681" t="s">
        <v>152</v>
      </c>
      <c r="D589" s="681" t="s">
        <v>153</v>
      </c>
    </row>
    <row r="590" spans="1:4" ht="14.25" customHeight="1">
      <c r="A590" s="679" t="s">
        <v>2949</v>
      </c>
      <c r="B590" s="690" t="s">
        <v>2950</v>
      </c>
      <c r="C590" s="681" t="s">
        <v>152</v>
      </c>
      <c r="D590" s="681" t="s">
        <v>153</v>
      </c>
    </row>
    <row r="591" spans="1:4" ht="14.25" customHeight="1">
      <c r="A591" s="679" t="s">
        <v>2951</v>
      </c>
      <c r="B591" s="690" t="s">
        <v>2952</v>
      </c>
      <c r="C591" s="681" t="s">
        <v>152</v>
      </c>
      <c r="D591" s="681" t="s">
        <v>153</v>
      </c>
    </row>
    <row r="592" spans="1:4" ht="14.25" customHeight="1">
      <c r="A592" s="679" t="s">
        <v>2953</v>
      </c>
      <c r="B592" s="690" t="s">
        <v>2954</v>
      </c>
      <c r="C592" s="681" t="s">
        <v>152</v>
      </c>
      <c r="D592" s="681" t="s">
        <v>153</v>
      </c>
    </row>
    <row r="593" spans="1:4" ht="14.25" customHeight="1">
      <c r="A593" s="679" t="s">
        <v>2955</v>
      </c>
      <c r="B593" s="690" t="s">
        <v>2956</v>
      </c>
      <c r="C593" s="681" t="s">
        <v>152</v>
      </c>
      <c r="D593" s="681" t="s">
        <v>153</v>
      </c>
    </row>
    <row r="594" spans="1:4" ht="14.25" customHeight="1">
      <c r="A594" s="679" t="s">
        <v>2957</v>
      </c>
      <c r="B594" s="690" t="s">
        <v>2958</v>
      </c>
      <c r="C594" s="681" t="s">
        <v>152</v>
      </c>
      <c r="D594" s="681" t="s">
        <v>153</v>
      </c>
    </row>
    <row r="595" spans="1:4" ht="14.25" customHeight="1">
      <c r="A595" s="679" t="s">
        <v>2959</v>
      </c>
      <c r="B595" s="690" t="s">
        <v>2960</v>
      </c>
      <c r="C595" s="681" t="s">
        <v>152</v>
      </c>
      <c r="D595" s="681" t="s">
        <v>153</v>
      </c>
    </row>
    <row r="596" spans="1:4" ht="14.25" customHeight="1">
      <c r="A596" s="679" t="s">
        <v>2961</v>
      </c>
      <c r="B596" s="690" t="s">
        <v>2962</v>
      </c>
      <c r="C596" s="681" t="s">
        <v>152</v>
      </c>
      <c r="D596" s="681" t="s">
        <v>153</v>
      </c>
    </row>
    <row r="597" spans="1:4" ht="14.25" customHeight="1">
      <c r="A597" s="679" t="s">
        <v>2963</v>
      </c>
      <c r="B597" s="690" t="s">
        <v>2964</v>
      </c>
      <c r="C597" s="681" t="s">
        <v>152</v>
      </c>
      <c r="D597" s="681" t="s">
        <v>153</v>
      </c>
    </row>
    <row r="598" spans="1:4" ht="14.25" customHeight="1">
      <c r="A598" s="679" t="s">
        <v>2965</v>
      </c>
      <c r="B598" s="690" t="s">
        <v>2966</v>
      </c>
      <c r="C598" s="681" t="s">
        <v>152</v>
      </c>
      <c r="D598" s="681" t="s">
        <v>153</v>
      </c>
    </row>
    <row r="599" spans="1:4" ht="14.25" customHeight="1">
      <c r="A599" s="679" t="s">
        <v>2967</v>
      </c>
      <c r="B599" s="690" t="s">
        <v>2968</v>
      </c>
      <c r="C599" s="681" t="s">
        <v>152</v>
      </c>
      <c r="D599" s="681" t="s">
        <v>153</v>
      </c>
    </row>
    <row r="600" spans="1:4" ht="14.25" customHeight="1">
      <c r="A600" s="679" t="s">
        <v>2969</v>
      </c>
      <c r="B600" s="690" t="s">
        <v>2970</v>
      </c>
      <c r="C600" s="681" t="s">
        <v>152</v>
      </c>
      <c r="D600" s="681" t="s">
        <v>153</v>
      </c>
    </row>
    <row r="601" spans="1:4" ht="14.25" customHeight="1">
      <c r="A601" s="679" t="s">
        <v>2971</v>
      </c>
      <c r="B601" s="728" t="s">
        <v>2972</v>
      </c>
      <c r="C601" s="681" t="s">
        <v>152</v>
      </c>
      <c r="D601" s="681" t="s">
        <v>154</v>
      </c>
    </row>
    <row r="602" spans="1:4" ht="14.25" customHeight="1">
      <c r="A602" s="679" t="s">
        <v>2973</v>
      </c>
      <c r="B602" s="728" t="s">
        <v>2974</v>
      </c>
      <c r="C602" s="681" t="s">
        <v>152</v>
      </c>
      <c r="D602" s="681" t="s">
        <v>154</v>
      </c>
    </row>
    <row r="603" spans="1:4" ht="14.25" customHeight="1">
      <c r="A603" s="679" t="s">
        <v>2975</v>
      </c>
      <c r="B603" s="690" t="s">
        <v>2976</v>
      </c>
      <c r="C603" s="681" t="s">
        <v>152</v>
      </c>
      <c r="D603" s="681" t="s">
        <v>154</v>
      </c>
    </row>
    <row r="604" spans="1:4" ht="14.25" customHeight="1">
      <c r="A604" s="679" t="s">
        <v>2977</v>
      </c>
      <c r="B604" s="690" t="s">
        <v>2978</v>
      </c>
      <c r="C604" s="681" t="s">
        <v>152</v>
      </c>
      <c r="D604" s="681" t="s">
        <v>154</v>
      </c>
    </row>
    <row r="605" spans="1:4" ht="14.25" customHeight="1">
      <c r="A605" s="679" t="s">
        <v>2979</v>
      </c>
      <c r="B605" s="690" t="s">
        <v>2980</v>
      </c>
      <c r="C605" s="681" t="s">
        <v>152</v>
      </c>
      <c r="D605" s="681" t="s">
        <v>154</v>
      </c>
    </row>
    <row r="606" spans="1:4" ht="14.25" customHeight="1">
      <c r="A606" s="679" t="s">
        <v>2981</v>
      </c>
      <c r="B606" s="690" t="s">
        <v>2982</v>
      </c>
      <c r="C606" s="681" t="s">
        <v>152</v>
      </c>
      <c r="D606" s="681" t="s">
        <v>154</v>
      </c>
    </row>
    <row r="607" spans="1:4" ht="14.25" customHeight="1">
      <c r="A607" s="679" t="s">
        <v>2983</v>
      </c>
      <c r="B607" s="690" t="s">
        <v>2984</v>
      </c>
      <c r="C607" s="681" t="s">
        <v>152</v>
      </c>
      <c r="D607" s="681" t="s">
        <v>154</v>
      </c>
    </row>
    <row r="608" spans="1:4" ht="14.25" customHeight="1">
      <c r="A608" s="679" t="s">
        <v>2985</v>
      </c>
      <c r="B608" s="690" t="s">
        <v>2986</v>
      </c>
      <c r="C608" s="681" t="s">
        <v>152</v>
      </c>
      <c r="D608" s="681" t="s">
        <v>154</v>
      </c>
    </row>
    <row r="609" spans="1:4" ht="14.25" customHeight="1">
      <c r="A609" s="679" t="s">
        <v>2987</v>
      </c>
      <c r="B609" s="690" t="s">
        <v>2988</v>
      </c>
      <c r="C609" s="681" t="s">
        <v>152</v>
      </c>
      <c r="D609" s="681" t="s">
        <v>154</v>
      </c>
    </row>
    <row r="610" spans="1:4" ht="14.25" customHeight="1">
      <c r="A610" s="679" t="s">
        <v>2989</v>
      </c>
      <c r="B610" s="690" t="s">
        <v>2990</v>
      </c>
      <c r="C610" s="681" t="s">
        <v>152</v>
      </c>
      <c r="D610" s="681" t="s">
        <v>154</v>
      </c>
    </row>
    <row r="611" spans="1:4" ht="14.25" customHeight="1">
      <c r="A611" s="679" t="s">
        <v>2991</v>
      </c>
      <c r="B611" s="690" t="s">
        <v>2992</v>
      </c>
      <c r="C611" s="681" t="s">
        <v>152</v>
      </c>
      <c r="D611" s="681" t="s">
        <v>154</v>
      </c>
    </row>
    <row r="612" spans="1:4" ht="14.25" customHeight="1">
      <c r="A612" s="679" t="s">
        <v>2993</v>
      </c>
      <c r="B612" s="690" t="s">
        <v>2994</v>
      </c>
      <c r="C612" s="681" t="s">
        <v>152</v>
      </c>
      <c r="D612" s="681" t="s">
        <v>154</v>
      </c>
    </row>
    <row r="613" spans="1:4" ht="14.25" customHeight="1">
      <c r="A613" s="679" t="s">
        <v>2995</v>
      </c>
      <c r="B613" s="690" t="s">
        <v>2996</v>
      </c>
      <c r="C613" s="681" t="s">
        <v>152</v>
      </c>
      <c r="D613" s="681" t="s">
        <v>154</v>
      </c>
    </row>
    <row r="614" spans="1:4" ht="14.25" customHeight="1">
      <c r="A614" s="679" t="s">
        <v>2997</v>
      </c>
      <c r="B614" s="690" t="s">
        <v>2998</v>
      </c>
      <c r="C614" s="681" t="s">
        <v>152</v>
      </c>
      <c r="D614" s="681" t="s">
        <v>153</v>
      </c>
    </row>
    <row r="615" spans="1:4" ht="14.25" customHeight="1">
      <c r="A615" s="679" t="s">
        <v>2999</v>
      </c>
      <c r="B615" s="690" t="s">
        <v>3000</v>
      </c>
      <c r="C615" s="681" t="s">
        <v>152</v>
      </c>
      <c r="D615" s="681" t="s">
        <v>153</v>
      </c>
    </row>
    <row r="616" spans="1:4" ht="14.25" customHeight="1">
      <c r="A616" s="691" t="s">
        <v>3001</v>
      </c>
      <c r="B616" s="680" t="s">
        <v>3002</v>
      </c>
      <c r="C616" s="681" t="s">
        <v>152</v>
      </c>
      <c r="D616" s="681" t="s">
        <v>154</v>
      </c>
    </row>
    <row r="617" spans="1:4" ht="14.25" customHeight="1">
      <c r="A617" s="679" t="s">
        <v>3003</v>
      </c>
      <c r="B617" s="690" t="s">
        <v>3004</v>
      </c>
      <c r="C617" s="681" t="s">
        <v>180</v>
      </c>
      <c r="D617" s="681" t="s">
        <v>182</v>
      </c>
    </row>
    <row r="618" spans="1:4" ht="14.25" customHeight="1">
      <c r="A618" s="680" t="s">
        <v>3005</v>
      </c>
      <c r="B618" s="680" t="s">
        <v>3006</v>
      </c>
      <c r="C618" s="681"/>
      <c r="D618" s="681"/>
    </row>
    <row r="619" spans="1:4" ht="14.25" customHeight="1">
      <c r="A619" s="690" t="s">
        <v>3007</v>
      </c>
      <c r="B619" s="690" t="s">
        <v>3008</v>
      </c>
      <c r="C619" s="681" t="s">
        <v>180</v>
      </c>
      <c r="D619" s="681" t="s">
        <v>184</v>
      </c>
    </row>
    <row r="620" spans="1:4" ht="14.25" customHeight="1">
      <c r="A620" s="691" t="s">
        <v>3009</v>
      </c>
      <c r="B620" s="680" t="s">
        <v>3006</v>
      </c>
      <c r="C620" s="681"/>
      <c r="D620" s="681"/>
    </row>
    <row r="621" spans="1:4" ht="14.25" customHeight="1">
      <c r="A621" s="690" t="s">
        <v>3010</v>
      </c>
      <c r="B621" s="690" t="s">
        <v>3011</v>
      </c>
      <c r="C621" s="681" t="s">
        <v>180</v>
      </c>
      <c r="D621" s="681" t="s">
        <v>185</v>
      </c>
    </row>
    <row r="622" spans="1:4" ht="14.25" customHeight="1">
      <c r="A622" s="691" t="s">
        <v>3012</v>
      </c>
      <c r="B622" s="680" t="s">
        <v>3006</v>
      </c>
      <c r="C622" s="681"/>
      <c r="D622" s="681"/>
    </row>
    <row r="623" spans="1:4" ht="14.25" customHeight="1">
      <c r="A623" s="690" t="s">
        <v>3013</v>
      </c>
      <c r="B623" s="690" t="s">
        <v>3014</v>
      </c>
      <c r="C623" s="681" t="s">
        <v>180</v>
      </c>
      <c r="D623" s="681" t="s">
        <v>184</v>
      </c>
    </row>
    <row r="624" spans="1:4" ht="14.25" customHeight="1">
      <c r="A624" s="679" t="s">
        <v>3015</v>
      </c>
      <c r="B624" s="690" t="s">
        <v>3016</v>
      </c>
      <c r="C624" s="681" t="s">
        <v>180</v>
      </c>
      <c r="D624" s="681" t="s">
        <v>182</v>
      </c>
    </row>
    <row r="625" spans="1:4" ht="14.25" customHeight="1">
      <c r="A625" s="679" t="s">
        <v>3017</v>
      </c>
      <c r="B625" s="690" t="s">
        <v>3018</v>
      </c>
      <c r="C625" s="681" t="s">
        <v>180</v>
      </c>
      <c r="D625" s="681" t="s">
        <v>194</v>
      </c>
    </row>
    <row r="626" spans="1:4" ht="14.25" customHeight="1">
      <c r="A626" s="679" t="s">
        <v>3019</v>
      </c>
      <c r="B626" s="690" t="s">
        <v>2922</v>
      </c>
      <c r="C626" s="681" t="s">
        <v>161</v>
      </c>
      <c r="D626" s="681" t="s">
        <v>1341</v>
      </c>
    </row>
    <row r="627" spans="1:4" ht="14.25" customHeight="1">
      <c r="A627" s="690" t="s">
        <v>3020</v>
      </c>
      <c r="B627" s="690" t="s">
        <v>3021</v>
      </c>
      <c r="C627" s="681" t="s">
        <v>180</v>
      </c>
      <c r="D627" s="681" t="s">
        <v>183</v>
      </c>
    </row>
    <row r="628" spans="1:4" ht="14.25" customHeight="1">
      <c r="A628" s="690" t="s">
        <v>3022</v>
      </c>
      <c r="B628" s="690" t="s">
        <v>3023</v>
      </c>
      <c r="C628" s="681" t="s">
        <v>180</v>
      </c>
      <c r="D628" s="681" t="s">
        <v>183</v>
      </c>
    </row>
    <row r="629" spans="1:4" ht="14.25" customHeight="1">
      <c r="A629" s="679" t="s">
        <v>3024</v>
      </c>
      <c r="B629" s="690" t="s">
        <v>3025</v>
      </c>
      <c r="C629" s="681" t="s">
        <v>180</v>
      </c>
      <c r="D629" s="681" t="s">
        <v>183</v>
      </c>
    </row>
    <row r="630" spans="1:4" ht="14.25" customHeight="1">
      <c r="A630" s="679" t="s">
        <v>3026</v>
      </c>
      <c r="B630" s="690" t="s">
        <v>3027</v>
      </c>
      <c r="C630" s="681" t="s">
        <v>180</v>
      </c>
      <c r="D630" s="681" t="s">
        <v>186</v>
      </c>
    </row>
    <row r="631" spans="1:4" ht="14.25" customHeight="1">
      <c r="A631" s="679" t="s">
        <v>3028</v>
      </c>
      <c r="B631" s="690" t="s">
        <v>3029</v>
      </c>
      <c r="C631" s="681" t="s">
        <v>180</v>
      </c>
      <c r="D631" s="681" t="s">
        <v>186</v>
      </c>
    </row>
    <row r="632" spans="1:4" ht="14.25" customHeight="1">
      <c r="A632" s="679" t="s">
        <v>3030</v>
      </c>
      <c r="B632" s="690" t="s">
        <v>3031</v>
      </c>
      <c r="C632" s="681" t="s">
        <v>180</v>
      </c>
      <c r="D632" s="681" t="s">
        <v>2685</v>
      </c>
    </row>
    <row r="633" spans="1:4" ht="14.25" customHeight="1">
      <c r="A633" s="679" t="s">
        <v>3032</v>
      </c>
      <c r="B633" s="690" t="s">
        <v>3033</v>
      </c>
      <c r="C633" s="681" t="s">
        <v>180</v>
      </c>
      <c r="D633" s="681" t="s">
        <v>191</v>
      </c>
    </row>
    <row r="634" spans="1:4" ht="14.25" customHeight="1">
      <c r="A634" s="679" t="s">
        <v>3034</v>
      </c>
      <c r="B634" s="690" t="s">
        <v>3035</v>
      </c>
      <c r="C634" s="681" t="s">
        <v>1327</v>
      </c>
      <c r="D634" s="681" t="s">
        <v>183</v>
      </c>
    </row>
    <row r="635" spans="1:4" ht="14.25" customHeight="1">
      <c r="A635" s="679" t="s">
        <v>3036</v>
      </c>
      <c r="B635" s="690" t="s">
        <v>3037</v>
      </c>
      <c r="C635" s="681" t="s">
        <v>180</v>
      </c>
      <c r="D635" s="681" t="s">
        <v>188</v>
      </c>
    </row>
    <row r="636" spans="1:4" ht="14.25" customHeight="1">
      <c r="A636" s="679" t="s">
        <v>3038</v>
      </c>
      <c r="B636" s="690" t="s">
        <v>2940</v>
      </c>
      <c r="C636" s="681" t="s">
        <v>152</v>
      </c>
      <c r="D636" s="681" t="s">
        <v>153</v>
      </c>
    </row>
    <row r="637" spans="1:4" ht="14.25" customHeight="1">
      <c r="A637" s="679" t="s">
        <v>3039</v>
      </c>
      <c r="B637" s="690" t="s">
        <v>2942</v>
      </c>
      <c r="C637" s="681" t="s">
        <v>152</v>
      </c>
      <c r="D637" s="681" t="s">
        <v>153</v>
      </c>
    </row>
    <row r="638" spans="1:4" ht="14.25" customHeight="1">
      <c r="A638" s="679" t="s">
        <v>3040</v>
      </c>
      <c r="B638" s="690" t="s">
        <v>2944</v>
      </c>
      <c r="C638" s="681" t="s">
        <v>152</v>
      </c>
      <c r="D638" s="681" t="s">
        <v>153</v>
      </c>
    </row>
    <row r="639" spans="1:4" ht="14.25" customHeight="1">
      <c r="A639" s="679" t="s">
        <v>3041</v>
      </c>
      <c r="B639" s="690" t="s">
        <v>2946</v>
      </c>
      <c r="C639" s="681" t="s">
        <v>152</v>
      </c>
      <c r="D639" s="681" t="s">
        <v>153</v>
      </c>
    </row>
    <row r="640" spans="1:4" ht="14.25" customHeight="1">
      <c r="A640" s="704" t="s">
        <v>3042</v>
      </c>
      <c r="B640" s="729" t="s">
        <v>2948</v>
      </c>
      <c r="C640" s="681" t="s">
        <v>152</v>
      </c>
      <c r="D640" s="681" t="s">
        <v>153</v>
      </c>
    </row>
    <row r="641" spans="1:4" ht="14.25" customHeight="1">
      <c r="A641" s="679" t="s">
        <v>3043</v>
      </c>
      <c r="B641" s="690" t="s">
        <v>2950</v>
      </c>
      <c r="C641" s="681" t="s">
        <v>152</v>
      </c>
      <c r="D641" s="681" t="s">
        <v>153</v>
      </c>
    </row>
    <row r="642" spans="1:4" ht="14.25" customHeight="1">
      <c r="A642" s="679" t="s">
        <v>3044</v>
      </c>
      <c r="B642" s="690" t="s">
        <v>2952</v>
      </c>
      <c r="C642" s="681" t="s">
        <v>152</v>
      </c>
      <c r="D642" s="681" t="s">
        <v>153</v>
      </c>
    </row>
    <row r="643" spans="1:4" ht="14.25" customHeight="1">
      <c r="A643" s="679" t="s">
        <v>3045</v>
      </c>
      <c r="B643" s="690" t="s">
        <v>2954</v>
      </c>
      <c r="C643" s="681" t="s">
        <v>152</v>
      </c>
      <c r="D643" s="681" t="s">
        <v>153</v>
      </c>
    </row>
    <row r="644" spans="1:4" ht="14.25" customHeight="1">
      <c r="A644" s="679" t="s">
        <v>3046</v>
      </c>
      <c r="B644" s="690" t="s">
        <v>2956</v>
      </c>
      <c r="C644" s="681" t="s">
        <v>152</v>
      </c>
      <c r="D644" s="681" t="s">
        <v>153</v>
      </c>
    </row>
    <row r="645" spans="1:4" ht="14.25" customHeight="1">
      <c r="A645" s="679" t="s">
        <v>3047</v>
      </c>
      <c r="B645" s="690" t="s">
        <v>2958</v>
      </c>
      <c r="C645" s="681" t="s">
        <v>152</v>
      </c>
      <c r="D645" s="681" t="s">
        <v>153</v>
      </c>
    </row>
    <row r="646" spans="1:4" ht="14.25" customHeight="1">
      <c r="A646" s="679" t="s">
        <v>3048</v>
      </c>
      <c r="B646" s="690" t="s">
        <v>2960</v>
      </c>
      <c r="C646" s="681" t="s">
        <v>152</v>
      </c>
      <c r="D646" s="681" t="s">
        <v>153</v>
      </c>
    </row>
    <row r="647" spans="1:4" ht="14.25" customHeight="1">
      <c r="A647" s="679" t="s">
        <v>3049</v>
      </c>
      <c r="B647" s="690" t="s">
        <v>2962</v>
      </c>
      <c r="C647" s="681" t="s">
        <v>152</v>
      </c>
      <c r="D647" s="681" t="s">
        <v>153</v>
      </c>
    </row>
    <row r="648" spans="1:4" ht="14.25" customHeight="1">
      <c r="A648" s="679" t="s">
        <v>3050</v>
      </c>
      <c r="B648" s="690" t="s">
        <v>2964</v>
      </c>
      <c r="C648" s="681" t="s">
        <v>152</v>
      </c>
      <c r="D648" s="681" t="s">
        <v>153</v>
      </c>
    </row>
    <row r="649" spans="1:4" ht="14.25" customHeight="1">
      <c r="A649" s="679" t="s">
        <v>3051</v>
      </c>
      <c r="B649" s="690" t="s">
        <v>2966</v>
      </c>
      <c r="C649" s="681" t="s">
        <v>152</v>
      </c>
      <c r="D649" s="681" t="s">
        <v>153</v>
      </c>
    </row>
    <row r="650" spans="1:4" ht="14.25" customHeight="1">
      <c r="A650" s="704" t="s">
        <v>3052</v>
      </c>
      <c r="B650" s="705" t="s">
        <v>2968</v>
      </c>
      <c r="C650" s="681" t="s">
        <v>152</v>
      </c>
      <c r="D650" s="681" t="s">
        <v>153</v>
      </c>
    </row>
    <row r="651" spans="1:4" ht="14.25" customHeight="1">
      <c r="A651" s="679" t="s">
        <v>3053</v>
      </c>
      <c r="B651" s="687" t="s">
        <v>2986</v>
      </c>
      <c r="C651" s="681" t="s">
        <v>152</v>
      </c>
      <c r="D651" s="681" t="s">
        <v>154</v>
      </c>
    </row>
    <row r="652" spans="1:4" ht="14.25" customHeight="1">
      <c r="A652" s="679" t="s">
        <v>3054</v>
      </c>
      <c r="B652" s="690" t="s">
        <v>3055</v>
      </c>
      <c r="C652" s="681" t="s">
        <v>152</v>
      </c>
      <c r="D652" s="681" t="s">
        <v>154</v>
      </c>
    </row>
    <row r="653" spans="1:4" ht="14.25" customHeight="1">
      <c r="A653" s="679" t="s">
        <v>3056</v>
      </c>
      <c r="B653" s="690" t="s">
        <v>3057</v>
      </c>
      <c r="C653" s="681" t="s">
        <v>152</v>
      </c>
      <c r="D653" s="681" t="s">
        <v>154</v>
      </c>
    </row>
    <row r="654" spans="1:4" ht="14.25" customHeight="1">
      <c r="A654" s="679" t="s">
        <v>3058</v>
      </c>
      <c r="B654" s="690" t="s">
        <v>3059</v>
      </c>
      <c r="C654" s="681" t="s">
        <v>152</v>
      </c>
      <c r="D654" s="681" t="s">
        <v>153</v>
      </c>
    </row>
    <row r="655" spans="1:4" ht="14.25" customHeight="1">
      <c r="A655" s="679" t="s">
        <v>3060</v>
      </c>
      <c r="B655" s="690" t="s">
        <v>3000</v>
      </c>
      <c r="C655" s="681" t="s">
        <v>152</v>
      </c>
      <c r="D655" s="681" t="s">
        <v>153</v>
      </c>
    </row>
    <row r="656" spans="1:4" ht="14.25" customHeight="1">
      <c r="A656" s="679" t="s">
        <v>3061</v>
      </c>
      <c r="B656" s="690" t="s">
        <v>3062</v>
      </c>
      <c r="C656" s="681" t="s">
        <v>152</v>
      </c>
      <c r="D656" s="681" t="s">
        <v>154</v>
      </c>
    </row>
    <row r="657" spans="1:4" ht="14.25" customHeight="1">
      <c r="A657" s="691" t="s">
        <v>3063</v>
      </c>
      <c r="B657" s="680" t="s">
        <v>3002</v>
      </c>
      <c r="C657" s="681" t="s">
        <v>152</v>
      </c>
      <c r="D657" s="681" t="s">
        <v>154</v>
      </c>
    </row>
    <row r="658" spans="1:4" ht="14.25" customHeight="1">
      <c r="A658" s="679" t="s">
        <v>3064</v>
      </c>
      <c r="B658" s="690" t="s">
        <v>1155</v>
      </c>
      <c r="C658" s="681" t="s">
        <v>92</v>
      </c>
      <c r="D658" s="681" t="s">
        <v>111</v>
      </c>
    </row>
    <row r="659" spans="1:4" ht="14.25" customHeight="1">
      <c r="A659" s="679" t="s">
        <v>3065</v>
      </c>
      <c r="B659" s="690" t="s">
        <v>1158</v>
      </c>
      <c r="C659" s="681" t="s">
        <v>92</v>
      </c>
      <c r="D659" s="681" t="s">
        <v>112</v>
      </c>
    </row>
    <row r="660" spans="1:4" ht="14.25" customHeight="1">
      <c r="A660" s="679" t="s">
        <v>3066</v>
      </c>
      <c r="B660" s="690" t="s">
        <v>1160</v>
      </c>
      <c r="C660" s="681" t="s">
        <v>92</v>
      </c>
      <c r="D660" s="681" t="s">
        <v>114</v>
      </c>
    </row>
    <row r="661" spans="1:4" ht="14.25" customHeight="1">
      <c r="A661" s="679" t="s">
        <v>3067</v>
      </c>
      <c r="B661" s="690" t="s">
        <v>3068</v>
      </c>
      <c r="C661" s="681" t="s">
        <v>92</v>
      </c>
      <c r="D661" s="681" t="s">
        <v>115</v>
      </c>
    </row>
    <row r="662" spans="1:4" ht="14.25" customHeight="1">
      <c r="A662" s="679" t="s">
        <v>3069</v>
      </c>
      <c r="B662" s="690" t="s">
        <v>1164</v>
      </c>
      <c r="C662" s="681" t="s">
        <v>92</v>
      </c>
      <c r="D662" s="681" t="s">
        <v>117</v>
      </c>
    </row>
    <row r="663" spans="1:4" ht="14.25" customHeight="1">
      <c r="A663" s="679" t="s">
        <v>3070</v>
      </c>
      <c r="B663" s="690" t="s">
        <v>1166</v>
      </c>
      <c r="C663" s="681" t="s">
        <v>92</v>
      </c>
      <c r="D663" s="681" t="s">
        <v>113</v>
      </c>
    </row>
    <row r="664" spans="1:4" ht="14.25" customHeight="1">
      <c r="A664" s="679" t="s">
        <v>3071</v>
      </c>
      <c r="B664" s="690" t="s">
        <v>1168</v>
      </c>
      <c r="C664" s="681" t="s">
        <v>92</v>
      </c>
      <c r="D664" s="681" t="s">
        <v>116</v>
      </c>
    </row>
    <row r="665" spans="1:4" ht="14.25" customHeight="1">
      <c r="A665" s="679" t="s">
        <v>3072</v>
      </c>
      <c r="B665" s="690" t="s">
        <v>3073</v>
      </c>
      <c r="C665" s="681" t="s">
        <v>92</v>
      </c>
      <c r="D665" s="681" t="s">
        <v>116</v>
      </c>
    </row>
    <row r="666" spans="1:4" ht="14.25" customHeight="1">
      <c r="A666" s="679" t="s">
        <v>3074</v>
      </c>
      <c r="B666" s="729" t="s">
        <v>3075</v>
      </c>
      <c r="C666" s="681" t="s">
        <v>92</v>
      </c>
      <c r="D666" s="681" t="s">
        <v>116</v>
      </c>
    </row>
    <row r="667" spans="1:4" ht="14.25" customHeight="1">
      <c r="A667" s="679" t="s">
        <v>3076</v>
      </c>
      <c r="B667" s="690" t="s">
        <v>1171</v>
      </c>
      <c r="C667" s="681" t="s">
        <v>92</v>
      </c>
      <c r="D667" s="681" t="s">
        <v>204</v>
      </c>
    </row>
    <row r="668" spans="1:4" ht="14.25" customHeight="1">
      <c r="A668" s="679" t="s">
        <v>3077</v>
      </c>
      <c r="B668" s="690" t="s">
        <v>3078</v>
      </c>
      <c r="C668" s="681" t="s">
        <v>92</v>
      </c>
      <c r="D668" s="681" t="s">
        <v>120</v>
      </c>
    </row>
    <row r="669" spans="1:4" ht="14.25" customHeight="1">
      <c r="A669" s="679" t="s">
        <v>3079</v>
      </c>
      <c r="B669" s="690" t="s">
        <v>1175</v>
      </c>
      <c r="C669" s="681" t="s">
        <v>92</v>
      </c>
      <c r="D669" s="681" t="s">
        <v>121</v>
      </c>
    </row>
    <row r="670" spans="1:4" ht="14.25" customHeight="1">
      <c r="A670" s="679" t="s">
        <v>3080</v>
      </c>
      <c r="B670" s="690" t="s">
        <v>1177</v>
      </c>
      <c r="C670" s="681" t="s">
        <v>92</v>
      </c>
      <c r="D670" s="681" t="s">
        <v>122</v>
      </c>
    </row>
    <row r="671" spans="1:4" ht="14.25" customHeight="1">
      <c r="A671" s="679" t="s">
        <v>3081</v>
      </c>
      <c r="B671" s="690" t="s">
        <v>1179</v>
      </c>
      <c r="C671" s="681" t="s">
        <v>92</v>
      </c>
      <c r="D671" s="681" t="s">
        <v>124</v>
      </c>
    </row>
    <row r="672" spans="1:4" ht="14.25" customHeight="1">
      <c r="A672" s="679" t="s">
        <v>3082</v>
      </c>
      <c r="B672" s="690" t="s">
        <v>1181</v>
      </c>
      <c r="C672" s="681" t="s">
        <v>92</v>
      </c>
      <c r="D672" s="681" t="s">
        <v>127</v>
      </c>
    </row>
    <row r="673" spans="1:4" ht="14.25" customHeight="1">
      <c r="A673" s="679" t="s">
        <v>3083</v>
      </c>
      <c r="B673" s="690" t="s">
        <v>1183</v>
      </c>
      <c r="C673" s="681" t="s">
        <v>92</v>
      </c>
      <c r="D673" s="681" t="s">
        <v>125</v>
      </c>
    </row>
    <row r="674" spans="1:4" ht="14.25" customHeight="1">
      <c r="A674" s="690" t="s">
        <v>3084</v>
      </c>
      <c r="B674" s="690" t="s">
        <v>1187</v>
      </c>
      <c r="C674" s="681" t="s">
        <v>92</v>
      </c>
      <c r="D674" s="681" t="s">
        <v>126</v>
      </c>
    </row>
    <row r="675" spans="1:4" ht="14.25" customHeight="1">
      <c r="A675" s="679" t="s">
        <v>3085</v>
      </c>
      <c r="B675" s="690" t="s">
        <v>1189</v>
      </c>
      <c r="C675" s="681" t="s">
        <v>92</v>
      </c>
      <c r="D675" s="681" t="s">
        <v>135</v>
      </c>
    </row>
    <row r="676" spans="1:4" ht="14.25" customHeight="1">
      <c r="A676" s="679" t="s">
        <v>3086</v>
      </c>
      <c r="B676" s="690" t="s">
        <v>1191</v>
      </c>
      <c r="C676" s="681" t="s">
        <v>161</v>
      </c>
      <c r="D676" s="681" t="s">
        <v>136</v>
      </c>
    </row>
    <row r="677" spans="1:4" ht="14.25" customHeight="1">
      <c r="A677" s="679" t="s">
        <v>3087</v>
      </c>
      <c r="B677" s="690" t="s">
        <v>1193</v>
      </c>
      <c r="C677" s="681" t="s">
        <v>92</v>
      </c>
      <c r="D677" s="681" t="s">
        <v>141</v>
      </c>
    </row>
    <row r="678" spans="1:4" ht="14.25" customHeight="1">
      <c r="A678" s="679" t="s">
        <v>3088</v>
      </c>
      <c r="B678" s="690" t="s">
        <v>1195</v>
      </c>
      <c r="C678" s="681" t="s">
        <v>92</v>
      </c>
      <c r="D678" s="681" t="s">
        <v>131</v>
      </c>
    </row>
    <row r="679" spans="1:4" ht="14.25" customHeight="1">
      <c r="A679" s="679" t="s">
        <v>3089</v>
      </c>
      <c r="B679" s="690" t="s">
        <v>1197</v>
      </c>
      <c r="C679" s="681" t="s">
        <v>92</v>
      </c>
      <c r="D679" s="681" t="s">
        <v>139</v>
      </c>
    </row>
    <row r="680" spans="1:4" ht="14.25" customHeight="1">
      <c r="A680" s="679" t="s">
        <v>3090</v>
      </c>
      <c r="B680" s="690" t="s">
        <v>1199</v>
      </c>
      <c r="C680" s="681" t="s">
        <v>92</v>
      </c>
      <c r="D680" s="681" t="s">
        <v>132</v>
      </c>
    </row>
    <row r="681" spans="1:4" ht="14.25" customHeight="1">
      <c r="A681" s="679" t="s">
        <v>3091</v>
      </c>
      <c r="B681" s="690" t="s">
        <v>1201</v>
      </c>
      <c r="C681" s="681" t="s">
        <v>92</v>
      </c>
      <c r="D681" s="681" t="s">
        <v>137</v>
      </c>
    </row>
    <row r="682" spans="1:4" ht="14.25" customHeight="1">
      <c r="A682" s="679" t="s">
        <v>3092</v>
      </c>
      <c r="B682" s="690" t="s">
        <v>1203</v>
      </c>
      <c r="C682" s="681" t="s">
        <v>92</v>
      </c>
      <c r="D682" s="681" t="s">
        <v>138</v>
      </c>
    </row>
    <row r="683" spans="1:4" ht="14.25" customHeight="1">
      <c r="A683" s="679" t="s">
        <v>3093</v>
      </c>
      <c r="B683" s="690" t="s">
        <v>1205</v>
      </c>
      <c r="C683" s="681" t="s">
        <v>92</v>
      </c>
      <c r="D683" s="681" t="s">
        <v>140</v>
      </c>
    </row>
    <row r="684" spans="1:4" ht="14.25" customHeight="1">
      <c r="A684" s="679" t="s">
        <v>3094</v>
      </c>
      <c r="B684" s="690" t="s">
        <v>1207</v>
      </c>
      <c r="C684" s="681" t="s">
        <v>92</v>
      </c>
      <c r="D684" s="681" t="s">
        <v>133</v>
      </c>
    </row>
    <row r="685" spans="1:4" ht="14.25" customHeight="1">
      <c r="A685" s="679" t="s">
        <v>3095</v>
      </c>
      <c r="B685" s="690" t="s">
        <v>1211</v>
      </c>
      <c r="C685" s="681" t="s">
        <v>92</v>
      </c>
      <c r="D685" s="681" t="s">
        <v>134</v>
      </c>
    </row>
    <row r="686" spans="1:4" ht="14.25" customHeight="1">
      <c r="A686" s="679" t="s">
        <v>3096</v>
      </c>
      <c r="B686" s="690" t="s">
        <v>1213</v>
      </c>
      <c r="C686" s="681" t="s">
        <v>1327</v>
      </c>
      <c r="D686" s="681" t="s">
        <v>221</v>
      </c>
    </row>
    <row r="687" spans="1:4" ht="14.25" customHeight="1">
      <c r="A687" s="679" t="s">
        <v>3097</v>
      </c>
      <c r="B687" s="690" t="s">
        <v>1391</v>
      </c>
      <c r="C687" s="681" t="s">
        <v>1327</v>
      </c>
      <c r="D687" s="681" t="s">
        <v>213</v>
      </c>
    </row>
    <row r="688" spans="1:4" ht="14.25" customHeight="1">
      <c r="A688" s="679" t="s">
        <v>3098</v>
      </c>
      <c r="B688" s="690" t="s">
        <v>1215</v>
      </c>
      <c r="C688" s="681" t="s">
        <v>1327</v>
      </c>
      <c r="D688" s="681" t="s">
        <v>210</v>
      </c>
    </row>
    <row r="689" spans="1:4" ht="14.25" customHeight="1">
      <c r="A689" s="679" t="s">
        <v>3099</v>
      </c>
      <c r="B689" s="690" t="s">
        <v>1217</v>
      </c>
      <c r="C689" s="681" t="s">
        <v>92</v>
      </c>
      <c r="D689" s="681" t="s">
        <v>205</v>
      </c>
    </row>
    <row r="690" spans="1:4" ht="14.25" customHeight="1">
      <c r="A690" s="679" t="s">
        <v>3100</v>
      </c>
      <c r="B690" s="690" t="s">
        <v>1219</v>
      </c>
      <c r="C690" s="681" t="s">
        <v>1327</v>
      </c>
      <c r="D690" s="681" t="s">
        <v>209</v>
      </c>
    </row>
    <row r="691" spans="1:4" ht="14.25" customHeight="1">
      <c r="A691" s="679" t="s">
        <v>3101</v>
      </c>
      <c r="B691" s="690" t="s">
        <v>1221</v>
      </c>
      <c r="C691" s="681" t="s">
        <v>1327</v>
      </c>
      <c r="D691" s="681" t="s">
        <v>206</v>
      </c>
    </row>
    <row r="692" spans="1:4" ht="14.25" customHeight="1">
      <c r="A692" s="679" t="s">
        <v>3102</v>
      </c>
      <c r="B692" s="690" t="s">
        <v>3103</v>
      </c>
      <c r="C692" s="681" t="s">
        <v>1327</v>
      </c>
      <c r="D692" s="681" t="s">
        <v>208</v>
      </c>
    </row>
    <row r="693" spans="1:4" ht="14.25" customHeight="1">
      <c r="A693" s="679" t="s">
        <v>3104</v>
      </c>
      <c r="B693" s="690" t="s">
        <v>1223</v>
      </c>
      <c r="C693" s="681" t="s">
        <v>1327</v>
      </c>
      <c r="D693" s="681" t="s">
        <v>207</v>
      </c>
    </row>
    <row r="694" spans="1:4" ht="14.25" customHeight="1">
      <c r="A694" s="679" t="s">
        <v>3105</v>
      </c>
      <c r="B694" s="690" t="s">
        <v>1225</v>
      </c>
      <c r="C694" s="681" t="s">
        <v>1327</v>
      </c>
      <c r="D694" s="681" t="s">
        <v>211</v>
      </c>
    </row>
    <row r="695" spans="1:4" ht="14.25" customHeight="1">
      <c r="A695" s="679" t="s">
        <v>3106</v>
      </c>
      <c r="B695" s="690" t="s">
        <v>1392</v>
      </c>
      <c r="C695" s="681" t="s">
        <v>1327</v>
      </c>
      <c r="D695" s="681" t="s">
        <v>214</v>
      </c>
    </row>
    <row r="696" spans="1:4" ht="14.25" customHeight="1">
      <c r="A696" s="679" t="s">
        <v>3107</v>
      </c>
      <c r="B696" s="690" t="s">
        <v>1227</v>
      </c>
      <c r="C696" s="681" t="s">
        <v>152</v>
      </c>
      <c r="D696" s="681" t="s">
        <v>111</v>
      </c>
    </row>
    <row r="697" spans="1:4" ht="14.25" customHeight="1">
      <c r="A697" s="679" t="s">
        <v>3108</v>
      </c>
      <c r="B697" s="690" t="s">
        <v>1158</v>
      </c>
      <c r="C697" s="681" t="s">
        <v>152</v>
      </c>
      <c r="D697" s="681" t="s">
        <v>112</v>
      </c>
    </row>
    <row r="698" spans="1:4" ht="14.25" customHeight="1">
      <c r="A698" s="679" t="s">
        <v>3109</v>
      </c>
      <c r="B698" s="690" t="s">
        <v>1228</v>
      </c>
      <c r="C698" s="681" t="s">
        <v>152</v>
      </c>
      <c r="D698" s="681" t="s">
        <v>114</v>
      </c>
    </row>
    <row r="699" spans="1:4" ht="14.25" customHeight="1">
      <c r="A699" s="679" t="s">
        <v>3110</v>
      </c>
      <c r="B699" s="690" t="s">
        <v>3068</v>
      </c>
      <c r="C699" s="681" t="s">
        <v>152</v>
      </c>
      <c r="D699" s="681" t="s">
        <v>115</v>
      </c>
    </row>
    <row r="700" spans="1:4" ht="14.25" customHeight="1">
      <c r="A700" s="679" t="s">
        <v>3111</v>
      </c>
      <c r="B700" s="690" t="s">
        <v>1164</v>
      </c>
      <c r="C700" s="681" t="s">
        <v>1327</v>
      </c>
      <c r="D700" s="681" t="s">
        <v>223</v>
      </c>
    </row>
    <row r="701" spans="1:4" ht="14.25" customHeight="1">
      <c r="A701" s="679" t="s">
        <v>3112</v>
      </c>
      <c r="B701" s="690" t="s">
        <v>1166</v>
      </c>
      <c r="C701" s="681" t="s">
        <v>152</v>
      </c>
      <c r="D701" s="681" t="s">
        <v>113</v>
      </c>
    </row>
    <row r="702" spans="1:4" ht="14.25" customHeight="1">
      <c r="A702" s="679" t="s">
        <v>3113</v>
      </c>
      <c r="B702" s="690" t="s">
        <v>1168</v>
      </c>
      <c r="C702" s="681" t="s">
        <v>152</v>
      </c>
      <c r="D702" s="681" t="s">
        <v>116</v>
      </c>
    </row>
    <row r="703" spans="1:4" ht="14.25" customHeight="1">
      <c r="A703" s="679" t="s">
        <v>3114</v>
      </c>
      <c r="B703" s="690" t="s">
        <v>3115</v>
      </c>
      <c r="C703" s="681" t="s">
        <v>152</v>
      </c>
      <c r="D703" s="681" t="s">
        <v>116</v>
      </c>
    </row>
    <row r="704" spans="1:4" ht="14.25" customHeight="1">
      <c r="A704" s="679" t="s">
        <v>3116</v>
      </c>
      <c r="B704" s="690" t="s">
        <v>1171</v>
      </c>
      <c r="C704" s="681" t="s">
        <v>152</v>
      </c>
      <c r="D704" s="681" t="s">
        <v>204</v>
      </c>
    </row>
    <row r="705" spans="1:4" ht="14.25" customHeight="1">
      <c r="A705" s="679" t="s">
        <v>3117</v>
      </c>
      <c r="B705" s="690" t="s">
        <v>3078</v>
      </c>
      <c r="C705" s="681" t="s">
        <v>152</v>
      </c>
      <c r="D705" s="681" t="s">
        <v>120</v>
      </c>
    </row>
    <row r="706" spans="1:4" ht="14.25" customHeight="1">
      <c r="A706" s="679" t="s">
        <v>3118</v>
      </c>
      <c r="B706" s="690" t="s">
        <v>1175</v>
      </c>
      <c r="C706" s="681" t="s">
        <v>152</v>
      </c>
      <c r="D706" s="681" t="s">
        <v>121</v>
      </c>
    </row>
    <row r="707" spans="1:4" ht="14.25" customHeight="1">
      <c r="A707" s="679" t="s">
        <v>3119</v>
      </c>
      <c r="B707" s="690" t="s">
        <v>1230</v>
      </c>
      <c r="C707" s="681" t="s">
        <v>152</v>
      </c>
      <c r="D707" s="681" t="s">
        <v>122</v>
      </c>
    </row>
    <row r="708" spans="1:4" ht="14.25" customHeight="1">
      <c r="A708" s="679" t="s">
        <v>3120</v>
      </c>
      <c r="B708" s="690" t="s">
        <v>1231</v>
      </c>
      <c r="C708" s="681" t="s">
        <v>152</v>
      </c>
      <c r="D708" s="681" t="s">
        <v>124</v>
      </c>
    </row>
    <row r="709" spans="1:4" ht="14.25" customHeight="1">
      <c r="A709" s="679" t="s">
        <v>3121</v>
      </c>
      <c r="B709" s="690" t="s">
        <v>1181</v>
      </c>
      <c r="C709" s="681" t="s">
        <v>152</v>
      </c>
      <c r="D709" s="681" t="s">
        <v>127</v>
      </c>
    </row>
    <row r="710" spans="1:4" ht="14.25" customHeight="1">
      <c r="A710" s="679" t="s">
        <v>3122</v>
      </c>
      <c r="B710" s="690" t="s">
        <v>1183</v>
      </c>
      <c r="C710" s="681" t="s">
        <v>152</v>
      </c>
      <c r="D710" s="681" t="s">
        <v>125</v>
      </c>
    </row>
    <row r="711" spans="1:4" ht="14.25" customHeight="1">
      <c r="A711" s="690" t="s">
        <v>3123</v>
      </c>
      <c r="B711" s="690" t="s">
        <v>1233</v>
      </c>
      <c r="C711" s="681" t="s">
        <v>152</v>
      </c>
      <c r="D711" s="681" t="s">
        <v>126</v>
      </c>
    </row>
    <row r="712" spans="1:4" ht="14.25" customHeight="1">
      <c r="A712" s="679" t="s">
        <v>3124</v>
      </c>
      <c r="B712" s="690" t="s">
        <v>1189</v>
      </c>
      <c r="C712" s="681" t="s">
        <v>152</v>
      </c>
      <c r="D712" s="681" t="s">
        <v>135</v>
      </c>
    </row>
    <row r="713" spans="1:4" ht="14.25" customHeight="1">
      <c r="A713" s="679" t="s">
        <v>3125</v>
      </c>
      <c r="B713" s="690" t="s">
        <v>1191</v>
      </c>
      <c r="C713" s="681" t="s">
        <v>161</v>
      </c>
      <c r="D713" s="681" t="s">
        <v>136</v>
      </c>
    </row>
    <row r="714" spans="1:4" ht="14.25" customHeight="1">
      <c r="A714" s="679" t="s">
        <v>3126</v>
      </c>
      <c r="B714" s="690" t="s">
        <v>1193</v>
      </c>
      <c r="C714" s="681" t="s">
        <v>152</v>
      </c>
      <c r="D714" s="681" t="s">
        <v>141</v>
      </c>
    </row>
    <row r="715" spans="1:4" ht="14.25" customHeight="1">
      <c r="A715" s="679" t="s">
        <v>3127</v>
      </c>
      <c r="B715" s="690" t="s">
        <v>1195</v>
      </c>
      <c r="C715" s="681" t="s">
        <v>152</v>
      </c>
      <c r="D715" s="681" t="s">
        <v>131</v>
      </c>
    </row>
    <row r="716" spans="1:4" ht="14.25" customHeight="1">
      <c r="A716" s="679" t="s">
        <v>3128</v>
      </c>
      <c r="B716" s="690" t="s">
        <v>1197</v>
      </c>
      <c r="C716" s="681" t="s">
        <v>152</v>
      </c>
      <c r="D716" s="681" t="s">
        <v>139</v>
      </c>
    </row>
    <row r="717" spans="1:4" ht="14.25" customHeight="1">
      <c r="A717" s="679" t="s">
        <v>3129</v>
      </c>
      <c r="B717" s="690" t="s">
        <v>1199</v>
      </c>
      <c r="C717" s="681" t="s">
        <v>152</v>
      </c>
      <c r="D717" s="681" t="s">
        <v>132</v>
      </c>
    </row>
    <row r="718" spans="1:4" ht="14.25" customHeight="1">
      <c r="A718" s="679" t="s">
        <v>3130</v>
      </c>
      <c r="B718" s="690" t="s">
        <v>1201</v>
      </c>
      <c r="C718" s="681" t="s">
        <v>152</v>
      </c>
      <c r="D718" s="681" t="s">
        <v>137</v>
      </c>
    </row>
    <row r="719" spans="1:4" ht="14.25" customHeight="1">
      <c r="A719" s="679" t="s">
        <v>3131</v>
      </c>
      <c r="B719" s="690" t="s">
        <v>1203</v>
      </c>
      <c r="C719" s="681" t="s">
        <v>152</v>
      </c>
      <c r="D719" s="681" t="s">
        <v>138</v>
      </c>
    </row>
    <row r="720" spans="1:4" ht="14.25" customHeight="1">
      <c r="A720" s="679" t="s">
        <v>3132</v>
      </c>
      <c r="B720" s="690" t="s">
        <v>1205</v>
      </c>
      <c r="C720" s="681" t="s">
        <v>3133</v>
      </c>
      <c r="D720" s="681" t="s">
        <v>140</v>
      </c>
    </row>
    <row r="721" spans="1:4" ht="14.25" customHeight="1">
      <c r="A721" s="679" t="s">
        <v>3134</v>
      </c>
      <c r="B721" s="690" t="s">
        <v>1234</v>
      </c>
      <c r="C721" s="681" t="s">
        <v>152</v>
      </c>
      <c r="D721" s="681" t="s">
        <v>133</v>
      </c>
    </row>
    <row r="722" spans="1:4" ht="14.25" customHeight="1">
      <c r="A722" s="679" t="s">
        <v>3135</v>
      </c>
      <c r="B722" s="690" t="s">
        <v>1211</v>
      </c>
      <c r="C722" s="681" t="s">
        <v>152</v>
      </c>
      <c r="D722" s="681" t="s">
        <v>134</v>
      </c>
    </row>
    <row r="723" spans="1:4" ht="14.25" customHeight="1">
      <c r="A723" s="679" t="s">
        <v>3136</v>
      </c>
      <c r="B723" s="690" t="s">
        <v>1213</v>
      </c>
      <c r="C723" s="681" t="s">
        <v>1327</v>
      </c>
      <c r="D723" s="681" t="s">
        <v>221</v>
      </c>
    </row>
    <row r="724" spans="1:4" ht="14.25" customHeight="1">
      <c r="A724" s="679" t="s">
        <v>3137</v>
      </c>
      <c r="B724" s="690" t="s">
        <v>1391</v>
      </c>
      <c r="C724" s="681" t="s">
        <v>1327</v>
      </c>
      <c r="D724" s="681" t="s">
        <v>213</v>
      </c>
    </row>
    <row r="725" spans="1:4" ht="14.25" customHeight="1">
      <c r="A725" s="679" t="s">
        <v>3138</v>
      </c>
      <c r="B725" s="690" t="s">
        <v>1237</v>
      </c>
      <c r="C725" s="681" t="s">
        <v>152</v>
      </c>
      <c r="D725" s="681" t="s">
        <v>210</v>
      </c>
    </row>
    <row r="726" spans="1:4" ht="14.25" customHeight="1">
      <c r="A726" s="679" t="s">
        <v>3139</v>
      </c>
      <c r="B726" s="690" t="s">
        <v>1238</v>
      </c>
      <c r="C726" s="681" t="s">
        <v>152</v>
      </c>
      <c r="D726" s="681" t="s">
        <v>205</v>
      </c>
    </row>
    <row r="727" spans="1:4" ht="14.25" customHeight="1">
      <c r="A727" s="679" t="s">
        <v>3140</v>
      </c>
      <c r="B727" s="690" t="s">
        <v>1239</v>
      </c>
      <c r="C727" s="681" t="s">
        <v>152</v>
      </c>
      <c r="D727" s="681" t="s">
        <v>209</v>
      </c>
    </row>
    <row r="728" spans="1:4" ht="14.25" customHeight="1">
      <c r="A728" s="679" t="s">
        <v>3141</v>
      </c>
      <c r="B728" s="690" t="s">
        <v>1240</v>
      </c>
      <c r="C728" s="681" t="s">
        <v>152</v>
      </c>
      <c r="D728" s="681" t="s">
        <v>206</v>
      </c>
    </row>
    <row r="729" spans="1:4" ht="14.25" customHeight="1">
      <c r="A729" s="679" t="s">
        <v>3142</v>
      </c>
      <c r="B729" s="690" t="s">
        <v>3143</v>
      </c>
      <c r="C729" s="681" t="s">
        <v>152</v>
      </c>
      <c r="D729" s="681" t="s">
        <v>208</v>
      </c>
    </row>
    <row r="730" spans="1:4" ht="14.25" customHeight="1">
      <c r="A730" s="679" t="s">
        <v>3144</v>
      </c>
      <c r="B730" s="690" t="s">
        <v>1241</v>
      </c>
      <c r="C730" s="681" t="s">
        <v>152</v>
      </c>
      <c r="D730" s="681" t="s">
        <v>207</v>
      </c>
    </row>
    <row r="731" spans="1:4" ht="14.25" customHeight="1">
      <c r="A731" s="679" t="s">
        <v>3145</v>
      </c>
      <c r="B731" s="690" t="s">
        <v>1242</v>
      </c>
      <c r="C731" s="681" t="s">
        <v>152</v>
      </c>
      <c r="D731" s="681" t="s">
        <v>211</v>
      </c>
    </row>
    <row r="732" spans="1:4" ht="14.25" customHeight="1">
      <c r="A732" s="679" t="s">
        <v>3146</v>
      </c>
      <c r="B732" s="690" t="s">
        <v>1394</v>
      </c>
      <c r="C732" s="681" t="s">
        <v>152</v>
      </c>
      <c r="D732" s="681" t="s">
        <v>1333</v>
      </c>
    </row>
    <row r="733" spans="1:4" ht="14.25" customHeight="1">
      <c r="A733" s="679" t="s">
        <v>3147</v>
      </c>
      <c r="B733" s="705" t="s">
        <v>1243</v>
      </c>
      <c r="C733" s="681" t="s">
        <v>161</v>
      </c>
      <c r="D733" s="681" t="s">
        <v>130</v>
      </c>
    </row>
    <row r="734" spans="1:4" ht="14.25" customHeight="1">
      <c r="A734" s="679" t="s">
        <v>3148</v>
      </c>
      <c r="B734" s="690" t="s">
        <v>1245</v>
      </c>
      <c r="C734" s="681" t="s">
        <v>161</v>
      </c>
      <c r="D734" s="681" t="s">
        <v>130</v>
      </c>
    </row>
    <row r="735" spans="1:4" ht="14.25" customHeight="1">
      <c r="A735" s="679" t="s">
        <v>3149</v>
      </c>
      <c r="B735" s="690" t="s">
        <v>1168</v>
      </c>
      <c r="C735" s="681" t="s">
        <v>161</v>
      </c>
      <c r="D735" s="681" t="s">
        <v>129</v>
      </c>
    </row>
    <row r="736" spans="1:4" ht="14.25" customHeight="1">
      <c r="A736" s="679" t="s">
        <v>3150</v>
      </c>
      <c r="B736" s="690" t="s">
        <v>1171</v>
      </c>
      <c r="C736" s="681" t="s">
        <v>161</v>
      </c>
      <c r="D736" s="681" t="s">
        <v>204</v>
      </c>
    </row>
    <row r="737" spans="1:4" ht="14.25" customHeight="1">
      <c r="A737" s="679" t="s">
        <v>3151</v>
      </c>
      <c r="B737" s="690" t="s">
        <v>3078</v>
      </c>
      <c r="C737" s="681" t="s">
        <v>161</v>
      </c>
      <c r="D737" s="681" t="s">
        <v>120</v>
      </c>
    </row>
    <row r="738" spans="1:4" ht="14.25" customHeight="1">
      <c r="A738" s="679" t="s">
        <v>3152</v>
      </c>
      <c r="B738" s="690" t="s">
        <v>1246</v>
      </c>
      <c r="C738" s="681" t="s">
        <v>161</v>
      </c>
      <c r="D738" s="681" t="s">
        <v>121</v>
      </c>
    </row>
    <row r="739" spans="1:4" ht="14.25" customHeight="1">
      <c r="A739" s="679" t="s">
        <v>3153</v>
      </c>
      <c r="B739" s="690" t="s">
        <v>1177</v>
      </c>
      <c r="C739" s="681" t="s">
        <v>161</v>
      </c>
      <c r="D739" s="681" t="s">
        <v>122</v>
      </c>
    </row>
    <row r="740" spans="1:4" ht="14.25" customHeight="1">
      <c r="A740" s="679" t="s">
        <v>3154</v>
      </c>
      <c r="B740" s="690" t="s">
        <v>1247</v>
      </c>
      <c r="C740" s="681" t="s">
        <v>161</v>
      </c>
      <c r="D740" s="681" t="s">
        <v>123</v>
      </c>
    </row>
    <row r="741" spans="1:4" ht="14.25" customHeight="1">
      <c r="A741" s="679" t="s">
        <v>3155</v>
      </c>
      <c r="B741" s="690" t="s">
        <v>1249</v>
      </c>
      <c r="C741" s="681" t="s">
        <v>161</v>
      </c>
      <c r="D741" s="681" t="s">
        <v>124</v>
      </c>
    </row>
    <row r="742" spans="1:4" ht="14.25" customHeight="1">
      <c r="A742" s="679" t="s">
        <v>3156</v>
      </c>
      <c r="B742" s="690" t="s">
        <v>1181</v>
      </c>
      <c r="C742" s="681" t="s">
        <v>161</v>
      </c>
      <c r="D742" s="681" t="s">
        <v>127</v>
      </c>
    </row>
    <row r="743" spans="1:4" ht="14.25" customHeight="1">
      <c r="A743" s="679" t="s">
        <v>3157</v>
      </c>
      <c r="B743" s="690" t="s">
        <v>1183</v>
      </c>
      <c r="C743" s="681" t="s">
        <v>161</v>
      </c>
      <c r="D743" s="681" t="s">
        <v>125</v>
      </c>
    </row>
    <row r="744" spans="1:4" ht="14.25" customHeight="1">
      <c r="A744" s="690" t="s">
        <v>3158</v>
      </c>
      <c r="B744" s="690" t="s">
        <v>1250</v>
      </c>
      <c r="C744" s="681" t="s">
        <v>161</v>
      </c>
      <c r="D744" s="681" t="s">
        <v>126</v>
      </c>
    </row>
    <row r="745" spans="1:4" ht="14.25" customHeight="1">
      <c r="A745" s="690" t="s">
        <v>3159</v>
      </c>
      <c r="B745" s="690" t="s">
        <v>1233</v>
      </c>
      <c r="C745" s="681" t="s">
        <v>161</v>
      </c>
      <c r="D745" s="681" t="s">
        <v>126</v>
      </c>
    </row>
    <row r="746" spans="1:4" ht="14.25" customHeight="1">
      <c r="A746" s="679" t="s">
        <v>3160</v>
      </c>
      <c r="B746" s="690" t="s">
        <v>1251</v>
      </c>
      <c r="C746" s="681" t="s">
        <v>161</v>
      </c>
      <c r="D746" s="681" t="s">
        <v>130</v>
      </c>
    </row>
    <row r="747" spans="1:4" ht="14.25" customHeight="1">
      <c r="A747" s="679" t="s">
        <v>3161</v>
      </c>
      <c r="B747" s="690" t="s">
        <v>1189</v>
      </c>
      <c r="C747" s="681" t="s">
        <v>161</v>
      </c>
      <c r="D747" s="681" t="s">
        <v>135</v>
      </c>
    </row>
    <row r="748" spans="1:4" ht="14.25" customHeight="1">
      <c r="A748" s="679" t="s">
        <v>3162</v>
      </c>
      <c r="B748" s="690" t="s">
        <v>1191</v>
      </c>
      <c r="C748" s="681" t="s">
        <v>161</v>
      </c>
      <c r="D748" s="681" t="s">
        <v>136</v>
      </c>
    </row>
    <row r="749" spans="1:4" ht="14.25" customHeight="1">
      <c r="A749" s="679" t="s">
        <v>3163</v>
      </c>
      <c r="B749" s="690" t="s">
        <v>1193</v>
      </c>
      <c r="C749" s="681" t="s">
        <v>161</v>
      </c>
      <c r="D749" s="681" t="s">
        <v>141</v>
      </c>
    </row>
    <row r="750" spans="1:4" ht="14.25" customHeight="1">
      <c r="A750" s="679" t="s">
        <v>3164</v>
      </c>
      <c r="B750" s="690" t="s">
        <v>1252</v>
      </c>
      <c r="C750" s="681" t="s">
        <v>161</v>
      </c>
      <c r="D750" s="681" t="s">
        <v>131</v>
      </c>
    </row>
    <row r="751" spans="1:4" ht="14.25" customHeight="1">
      <c r="A751" s="679" t="s">
        <v>3165</v>
      </c>
      <c r="B751" s="690" t="s">
        <v>1197</v>
      </c>
      <c r="C751" s="681" t="s">
        <v>161</v>
      </c>
      <c r="D751" s="681" t="s">
        <v>139</v>
      </c>
    </row>
    <row r="752" spans="1:4" ht="14.25" customHeight="1">
      <c r="A752" s="679" t="s">
        <v>3166</v>
      </c>
      <c r="B752" s="729" t="s">
        <v>1199</v>
      </c>
      <c r="C752" s="681" t="s">
        <v>161</v>
      </c>
      <c r="D752" s="681" t="s">
        <v>132</v>
      </c>
    </row>
    <row r="753" spans="1:4" ht="14.25" customHeight="1">
      <c r="A753" s="679" t="s">
        <v>3167</v>
      </c>
      <c r="B753" s="690" t="s">
        <v>1201</v>
      </c>
      <c r="C753" s="681" t="s">
        <v>161</v>
      </c>
      <c r="D753" s="681" t="s">
        <v>137</v>
      </c>
    </row>
    <row r="754" spans="1:4" ht="14.25" customHeight="1">
      <c r="A754" s="679" t="s">
        <v>3168</v>
      </c>
      <c r="B754" s="690" t="s">
        <v>1203</v>
      </c>
      <c r="C754" s="681" t="s">
        <v>161</v>
      </c>
      <c r="D754" s="681" t="s">
        <v>138</v>
      </c>
    </row>
    <row r="755" spans="1:4" ht="14.25" customHeight="1">
      <c r="A755" s="679" t="s">
        <v>3169</v>
      </c>
      <c r="B755" s="690" t="s">
        <v>1205</v>
      </c>
      <c r="C755" s="681" t="s">
        <v>161</v>
      </c>
      <c r="D755" s="681" t="s">
        <v>140</v>
      </c>
    </row>
    <row r="756" spans="1:4" ht="14.25" customHeight="1">
      <c r="A756" s="679" t="s">
        <v>3170</v>
      </c>
      <c r="B756" s="690" t="s">
        <v>1253</v>
      </c>
      <c r="C756" s="681" t="s">
        <v>161</v>
      </c>
      <c r="D756" s="681" t="s">
        <v>133</v>
      </c>
    </row>
    <row r="757" spans="1:4" ht="14.25" customHeight="1">
      <c r="A757" s="679" t="s">
        <v>3171</v>
      </c>
      <c r="B757" s="690" t="s">
        <v>1211</v>
      </c>
      <c r="C757" s="681" t="s">
        <v>161</v>
      </c>
      <c r="D757" s="681" t="s">
        <v>134</v>
      </c>
    </row>
    <row r="758" spans="1:4" ht="14.25" customHeight="1">
      <c r="A758" s="679" t="s">
        <v>3172</v>
      </c>
      <c r="B758" s="690" t="s">
        <v>1213</v>
      </c>
      <c r="C758" s="681" t="s">
        <v>1327</v>
      </c>
      <c r="D758" s="681" t="s">
        <v>221</v>
      </c>
    </row>
    <row r="759" spans="1:4" ht="14.25" customHeight="1">
      <c r="A759" s="679" t="s">
        <v>3173</v>
      </c>
      <c r="B759" s="690" t="s">
        <v>1391</v>
      </c>
      <c r="C759" s="681" t="s">
        <v>1327</v>
      </c>
      <c r="D759" s="681" t="s">
        <v>213</v>
      </c>
    </row>
    <row r="760" spans="1:4" ht="14.25" customHeight="1">
      <c r="A760" s="679" t="s">
        <v>3174</v>
      </c>
      <c r="B760" s="690" t="s">
        <v>1256</v>
      </c>
      <c r="C760" s="681" t="s">
        <v>1327</v>
      </c>
      <c r="D760" s="681" t="s">
        <v>212</v>
      </c>
    </row>
    <row r="761" spans="1:4" ht="14.25" customHeight="1">
      <c r="A761" s="679" t="s">
        <v>3175</v>
      </c>
      <c r="B761" s="690" t="s">
        <v>1258</v>
      </c>
      <c r="C761" s="681" t="s">
        <v>161</v>
      </c>
      <c r="D761" s="681" t="s">
        <v>210</v>
      </c>
    </row>
    <row r="762" spans="1:4" ht="14.25" customHeight="1">
      <c r="A762" s="679" t="s">
        <v>3176</v>
      </c>
      <c r="B762" s="690" t="s">
        <v>1259</v>
      </c>
      <c r="C762" s="681" t="s">
        <v>161</v>
      </c>
      <c r="D762" s="681" t="s">
        <v>205</v>
      </c>
    </row>
    <row r="763" spans="1:4" ht="14.25" customHeight="1">
      <c r="A763" s="679" t="s">
        <v>3177</v>
      </c>
      <c r="B763" s="690" t="s">
        <v>1260</v>
      </c>
      <c r="C763" s="681" t="s">
        <v>161</v>
      </c>
      <c r="D763" s="681" t="s">
        <v>209</v>
      </c>
    </row>
    <row r="764" spans="1:4" ht="14.25" customHeight="1">
      <c r="A764" s="679" t="s">
        <v>3178</v>
      </c>
      <c r="B764" s="690" t="s">
        <v>1261</v>
      </c>
      <c r="C764" s="681" t="s">
        <v>161</v>
      </c>
      <c r="D764" s="681" t="s">
        <v>206</v>
      </c>
    </row>
    <row r="765" spans="1:4" ht="14.25" customHeight="1">
      <c r="A765" s="679" t="s">
        <v>3179</v>
      </c>
      <c r="B765" s="690" t="s">
        <v>3180</v>
      </c>
      <c r="C765" s="681" t="s">
        <v>161</v>
      </c>
      <c r="D765" s="681" t="s">
        <v>208</v>
      </c>
    </row>
    <row r="766" spans="1:4" ht="14.25" customHeight="1">
      <c r="A766" s="679" t="s">
        <v>3181</v>
      </c>
      <c r="B766" s="690" t="s">
        <v>1262</v>
      </c>
      <c r="C766" s="681" t="s">
        <v>161</v>
      </c>
      <c r="D766" s="681" t="s">
        <v>207</v>
      </c>
    </row>
    <row r="767" spans="1:4" ht="14.25" customHeight="1">
      <c r="A767" s="679" t="s">
        <v>3182</v>
      </c>
      <c r="B767" s="690" t="s">
        <v>1263</v>
      </c>
      <c r="C767" s="681" t="s">
        <v>161</v>
      </c>
      <c r="D767" s="681" t="s">
        <v>211</v>
      </c>
    </row>
    <row r="768" spans="1:4" ht="14.25" customHeight="1">
      <c r="A768" s="679" t="s">
        <v>3183</v>
      </c>
      <c r="B768" s="690" t="s">
        <v>1395</v>
      </c>
      <c r="C768" s="681" t="s">
        <v>161</v>
      </c>
      <c r="D768" s="681" t="s">
        <v>1333</v>
      </c>
    </row>
    <row r="769" spans="1:4" ht="14.25" customHeight="1">
      <c r="A769" s="679" t="s">
        <v>3184</v>
      </c>
      <c r="B769" s="690" t="s">
        <v>1160</v>
      </c>
      <c r="C769" s="681" t="s">
        <v>176</v>
      </c>
      <c r="D769" s="681" t="s">
        <v>130</v>
      </c>
    </row>
    <row r="770" spans="1:4" ht="14.25" customHeight="1">
      <c r="A770" s="679" t="s">
        <v>3185</v>
      </c>
      <c r="B770" s="690" t="s">
        <v>1399</v>
      </c>
      <c r="C770" s="681" t="s">
        <v>176</v>
      </c>
      <c r="D770" s="681" t="s">
        <v>130</v>
      </c>
    </row>
    <row r="771" spans="1:4" ht="14.25" customHeight="1">
      <c r="A771" s="679" t="s">
        <v>3186</v>
      </c>
      <c r="B771" s="690" t="s">
        <v>1171</v>
      </c>
      <c r="C771" s="681" t="s">
        <v>176</v>
      </c>
      <c r="D771" s="681" t="s">
        <v>204</v>
      </c>
    </row>
    <row r="772" spans="1:4" ht="14.25" customHeight="1">
      <c r="A772" s="679" t="s">
        <v>3187</v>
      </c>
      <c r="B772" s="690" t="s">
        <v>3078</v>
      </c>
      <c r="C772" s="681" t="s">
        <v>176</v>
      </c>
      <c r="D772" s="681" t="s">
        <v>120</v>
      </c>
    </row>
    <row r="773" spans="1:4" ht="14.25" customHeight="1">
      <c r="A773" s="679" t="s">
        <v>3188</v>
      </c>
      <c r="B773" s="690" t="s">
        <v>1246</v>
      </c>
      <c r="C773" s="681" t="s">
        <v>176</v>
      </c>
      <c r="D773" s="681" t="s">
        <v>121</v>
      </c>
    </row>
    <row r="774" spans="1:4" ht="14.25" customHeight="1">
      <c r="A774" s="704" t="s">
        <v>3189</v>
      </c>
      <c r="B774" s="728" t="s">
        <v>1177</v>
      </c>
      <c r="C774" s="681" t="s">
        <v>176</v>
      </c>
      <c r="D774" s="681" t="s">
        <v>122</v>
      </c>
    </row>
    <row r="775" spans="1:4" ht="14.25" customHeight="1">
      <c r="A775" s="679" t="s">
        <v>3190</v>
      </c>
      <c r="B775" s="690" t="s">
        <v>1247</v>
      </c>
      <c r="C775" s="681" t="s">
        <v>176</v>
      </c>
      <c r="D775" s="681" t="s">
        <v>123</v>
      </c>
    </row>
    <row r="776" spans="1:4" ht="14.25" customHeight="1">
      <c r="A776" s="679" t="s">
        <v>3191</v>
      </c>
      <c r="B776" s="690" t="s">
        <v>1231</v>
      </c>
      <c r="C776" s="681" t="s">
        <v>176</v>
      </c>
      <c r="D776" s="681" t="s">
        <v>124</v>
      </c>
    </row>
    <row r="777" spans="1:4" ht="14.25" customHeight="1">
      <c r="A777" s="679" t="s">
        <v>3192</v>
      </c>
      <c r="B777" s="690" t="s">
        <v>1181</v>
      </c>
      <c r="C777" s="681" t="s">
        <v>176</v>
      </c>
      <c r="D777" s="681" t="s">
        <v>127</v>
      </c>
    </row>
    <row r="778" spans="1:4" ht="14.25" customHeight="1">
      <c r="A778" s="679" t="s">
        <v>3193</v>
      </c>
      <c r="B778" s="690" t="s">
        <v>1183</v>
      </c>
      <c r="C778" s="681" t="s">
        <v>176</v>
      </c>
      <c r="D778" s="681" t="s">
        <v>125</v>
      </c>
    </row>
    <row r="779" spans="1:4" ht="14.25" customHeight="1">
      <c r="A779" s="690" t="s">
        <v>3194</v>
      </c>
      <c r="B779" s="690" t="s">
        <v>1233</v>
      </c>
      <c r="C779" s="681" t="s">
        <v>176</v>
      </c>
      <c r="D779" s="681" t="s">
        <v>126</v>
      </c>
    </row>
    <row r="780" spans="1:4" ht="14.25" customHeight="1">
      <c r="A780" s="679" t="s">
        <v>3195</v>
      </c>
      <c r="B780" s="690" t="s">
        <v>1251</v>
      </c>
      <c r="C780" s="681" t="s">
        <v>176</v>
      </c>
      <c r="D780" s="681" t="s">
        <v>130</v>
      </c>
    </row>
    <row r="781" spans="1:4" ht="14.25" customHeight="1">
      <c r="A781" s="679" t="s">
        <v>3196</v>
      </c>
      <c r="B781" s="690" t="s">
        <v>1189</v>
      </c>
      <c r="C781" s="681" t="s">
        <v>176</v>
      </c>
      <c r="D781" s="681" t="s">
        <v>135</v>
      </c>
    </row>
    <row r="782" spans="1:4" ht="14.25" customHeight="1">
      <c r="A782" s="679" t="s">
        <v>3197</v>
      </c>
      <c r="B782" s="690" t="s">
        <v>1397</v>
      </c>
      <c r="C782" s="681" t="s">
        <v>176</v>
      </c>
      <c r="D782" s="681" t="s">
        <v>136</v>
      </c>
    </row>
    <row r="783" spans="1:4" ht="14.25" customHeight="1">
      <c r="A783" s="679" t="s">
        <v>3198</v>
      </c>
      <c r="B783" s="690" t="s">
        <v>1193</v>
      </c>
      <c r="C783" s="681" t="s">
        <v>176</v>
      </c>
      <c r="D783" s="681" t="s">
        <v>141</v>
      </c>
    </row>
    <row r="784" spans="1:4" ht="14.25" customHeight="1">
      <c r="A784" s="679" t="s">
        <v>3199</v>
      </c>
      <c r="B784" s="690" t="s">
        <v>1195</v>
      </c>
      <c r="C784" s="681" t="s">
        <v>176</v>
      </c>
      <c r="D784" s="681" t="s">
        <v>131</v>
      </c>
    </row>
    <row r="785" spans="1:4" ht="14.25" customHeight="1">
      <c r="A785" s="679" t="s">
        <v>3200</v>
      </c>
      <c r="B785" s="690" t="s">
        <v>1197</v>
      </c>
      <c r="C785" s="681" t="s">
        <v>176</v>
      </c>
      <c r="D785" s="681" t="s">
        <v>139</v>
      </c>
    </row>
    <row r="786" spans="1:4" ht="14.25" customHeight="1">
      <c r="A786" s="679" t="s">
        <v>3201</v>
      </c>
      <c r="B786" s="690" t="s">
        <v>1199</v>
      </c>
      <c r="C786" s="681" t="s">
        <v>176</v>
      </c>
      <c r="D786" s="681" t="s">
        <v>132</v>
      </c>
    </row>
    <row r="787" spans="1:4" ht="14.25" customHeight="1">
      <c r="A787" s="679" t="s">
        <v>3202</v>
      </c>
      <c r="B787" s="690" t="s">
        <v>1201</v>
      </c>
      <c r="C787" s="681" t="s">
        <v>176</v>
      </c>
      <c r="D787" s="681" t="s">
        <v>137</v>
      </c>
    </row>
    <row r="788" spans="1:4" ht="14.25" customHeight="1">
      <c r="A788" s="679" t="s">
        <v>3203</v>
      </c>
      <c r="B788" s="690" t="s">
        <v>1203</v>
      </c>
      <c r="C788" s="681" t="s">
        <v>176</v>
      </c>
      <c r="D788" s="681" t="s">
        <v>138</v>
      </c>
    </row>
    <row r="789" spans="1:4" ht="14.25" customHeight="1">
      <c r="A789" s="679" t="s">
        <v>3204</v>
      </c>
      <c r="B789" s="690" t="s">
        <v>1205</v>
      </c>
      <c r="C789" s="681" t="s">
        <v>176</v>
      </c>
      <c r="D789" s="681" t="s">
        <v>140</v>
      </c>
    </row>
    <row r="790" spans="1:4" ht="14.25" customHeight="1">
      <c r="A790" s="679" t="s">
        <v>3205</v>
      </c>
      <c r="B790" s="690" t="s">
        <v>1267</v>
      </c>
      <c r="C790" s="681" t="s">
        <v>176</v>
      </c>
      <c r="D790" s="681" t="s">
        <v>133</v>
      </c>
    </row>
    <row r="791" spans="1:4" ht="14.25" customHeight="1">
      <c r="A791" s="679" t="s">
        <v>3206</v>
      </c>
      <c r="B791" s="690" t="s">
        <v>1211</v>
      </c>
      <c r="C791" s="681" t="s">
        <v>176</v>
      </c>
      <c r="D791" s="681" t="s">
        <v>134</v>
      </c>
    </row>
    <row r="792" spans="1:4" ht="14.25" customHeight="1">
      <c r="A792" s="679" t="s">
        <v>3207</v>
      </c>
      <c r="B792" s="690" t="s">
        <v>1213</v>
      </c>
      <c r="C792" s="681" t="s">
        <v>1327</v>
      </c>
      <c r="D792" s="681" t="s">
        <v>221</v>
      </c>
    </row>
    <row r="793" spans="1:4" ht="14.25" customHeight="1">
      <c r="A793" s="679" t="s">
        <v>3208</v>
      </c>
      <c r="B793" s="690" t="s">
        <v>1391</v>
      </c>
      <c r="C793" s="681" t="s">
        <v>1327</v>
      </c>
      <c r="D793" s="681" t="s">
        <v>213</v>
      </c>
    </row>
    <row r="794" spans="1:4" ht="14.25" customHeight="1">
      <c r="A794" s="679" t="s">
        <v>3209</v>
      </c>
      <c r="B794" s="690" t="s">
        <v>1270</v>
      </c>
      <c r="C794" s="681" t="s">
        <v>176</v>
      </c>
      <c r="D794" s="681" t="s">
        <v>210</v>
      </c>
    </row>
    <row r="795" spans="1:4" ht="14.25" customHeight="1">
      <c r="A795" s="679" t="s">
        <v>3210</v>
      </c>
      <c r="B795" s="690" t="s">
        <v>1271</v>
      </c>
      <c r="C795" s="681" t="s">
        <v>176</v>
      </c>
      <c r="D795" s="681" t="s">
        <v>205</v>
      </c>
    </row>
    <row r="796" spans="1:4" ht="14.25" customHeight="1">
      <c r="A796" s="679" t="s">
        <v>3211</v>
      </c>
      <c r="B796" s="690" t="s">
        <v>1272</v>
      </c>
      <c r="C796" s="681" t="s">
        <v>1327</v>
      </c>
      <c r="D796" s="681" t="s">
        <v>209</v>
      </c>
    </row>
    <row r="797" spans="1:4" ht="14.25" customHeight="1">
      <c r="A797" s="679" t="s">
        <v>3212</v>
      </c>
      <c r="B797" s="690" t="s">
        <v>1273</v>
      </c>
      <c r="C797" s="681" t="s">
        <v>176</v>
      </c>
      <c r="D797" s="681" t="s">
        <v>206</v>
      </c>
    </row>
    <row r="798" spans="1:4" ht="14.25" customHeight="1">
      <c r="A798" s="679" t="s">
        <v>3213</v>
      </c>
      <c r="B798" s="690" t="s">
        <v>3214</v>
      </c>
      <c r="C798" s="681" t="s">
        <v>176</v>
      </c>
      <c r="D798" s="681" t="s">
        <v>208</v>
      </c>
    </row>
    <row r="799" spans="1:4" ht="14.25" customHeight="1">
      <c r="A799" s="679" t="s">
        <v>3215</v>
      </c>
      <c r="B799" s="690" t="s">
        <v>1274</v>
      </c>
      <c r="C799" s="681" t="s">
        <v>176</v>
      </c>
      <c r="D799" s="681" t="s">
        <v>207</v>
      </c>
    </row>
    <row r="800" spans="1:4" ht="14.25" customHeight="1">
      <c r="A800" s="690" t="s">
        <v>3216</v>
      </c>
      <c r="B800" s="690" t="s">
        <v>1275</v>
      </c>
      <c r="C800" s="681" t="s">
        <v>176</v>
      </c>
      <c r="D800" s="681" t="s">
        <v>211</v>
      </c>
    </row>
    <row r="801" spans="1:4" ht="14.25" customHeight="1">
      <c r="A801" s="679" t="s">
        <v>3217</v>
      </c>
      <c r="B801" s="690" t="s">
        <v>1398</v>
      </c>
      <c r="C801" s="681" t="s">
        <v>176</v>
      </c>
      <c r="D801" s="681" t="s">
        <v>1333</v>
      </c>
    </row>
    <row r="802" spans="1:4" ht="14.25" customHeight="1">
      <c r="A802" s="679" t="s">
        <v>3218</v>
      </c>
      <c r="B802" s="690" t="s">
        <v>1160</v>
      </c>
      <c r="C802" s="681" t="s">
        <v>180</v>
      </c>
      <c r="D802" s="681" t="s">
        <v>130</v>
      </c>
    </row>
    <row r="803" spans="1:4" ht="14.25" customHeight="1">
      <c r="A803" s="679" t="s">
        <v>3219</v>
      </c>
      <c r="B803" s="690" t="s">
        <v>1399</v>
      </c>
      <c r="C803" s="681" t="s">
        <v>180</v>
      </c>
      <c r="D803" s="681" t="s">
        <v>130</v>
      </c>
    </row>
    <row r="804" spans="1:4" ht="14.25" customHeight="1">
      <c r="A804" s="679" t="s">
        <v>3220</v>
      </c>
      <c r="B804" s="690" t="s">
        <v>1168</v>
      </c>
      <c r="C804" s="681" t="s">
        <v>180</v>
      </c>
      <c r="D804" s="681" t="s">
        <v>129</v>
      </c>
    </row>
    <row r="805" spans="1:4" ht="14.25" customHeight="1">
      <c r="A805" s="679" t="s">
        <v>3221</v>
      </c>
      <c r="B805" s="690" t="s">
        <v>1276</v>
      </c>
      <c r="C805" s="681" t="s">
        <v>180</v>
      </c>
      <c r="D805" s="681" t="s">
        <v>204</v>
      </c>
    </row>
    <row r="806" spans="1:4" ht="14.25" customHeight="1">
      <c r="A806" s="679" t="s">
        <v>3222</v>
      </c>
      <c r="B806" s="690" t="s">
        <v>3078</v>
      </c>
      <c r="C806" s="681" t="s">
        <v>180</v>
      </c>
      <c r="D806" s="681" t="s">
        <v>120</v>
      </c>
    </row>
    <row r="807" spans="1:4" ht="14.25" customHeight="1">
      <c r="A807" s="679" t="s">
        <v>3223</v>
      </c>
      <c r="B807" s="690" t="s">
        <v>1175</v>
      </c>
      <c r="C807" s="681" t="s">
        <v>180</v>
      </c>
      <c r="D807" s="681" t="s">
        <v>121</v>
      </c>
    </row>
    <row r="808" spans="1:4" ht="14.25" customHeight="1">
      <c r="A808" s="679" t="s">
        <v>3224</v>
      </c>
      <c r="B808" s="690" t="s">
        <v>1177</v>
      </c>
      <c r="C808" s="681" t="s">
        <v>180</v>
      </c>
      <c r="D808" s="681" t="s">
        <v>122</v>
      </c>
    </row>
    <row r="809" spans="1:4" ht="14.25" customHeight="1">
      <c r="A809" s="679" t="s">
        <v>3225</v>
      </c>
      <c r="B809" s="690" t="s">
        <v>1277</v>
      </c>
      <c r="C809" s="681" t="s">
        <v>180</v>
      </c>
      <c r="D809" s="681" t="s">
        <v>124</v>
      </c>
    </row>
    <row r="810" spans="1:4" ht="14.25" customHeight="1">
      <c r="A810" s="679" t="s">
        <v>3226</v>
      </c>
      <c r="B810" s="690" t="s">
        <v>1181</v>
      </c>
      <c r="C810" s="681" t="s">
        <v>180</v>
      </c>
      <c r="D810" s="681" t="s">
        <v>127</v>
      </c>
    </row>
    <row r="811" spans="1:4" ht="14.25" customHeight="1">
      <c r="A811" s="690" t="s">
        <v>3227</v>
      </c>
      <c r="B811" s="690" t="s">
        <v>1183</v>
      </c>
      <c r="C811" s="681" t="s">
        <v>180</v>
      </c>
      <c r="D811" s="681" t="s">
        <v>125</v>
      </c>
    </row>
    <row r="812" spans="1:4" ht="14.25" customHeight="1">
      <c r="A812" s="690" t="s">
        <v>3228</v>
      </c>
      <c r="B812" s="690" t="s">
        <v>1278</v>
      </c>
      <c r="C812" s="681" t="s">
        <v>180</v>
      </c>
      <c r="D812" s="681" t="s">
        <v>126</v>
      </c>
    </row>
    <row r="813" spans="1:4" ht="14.25" customHeight="1">
      <c r="A813" s="679" t="s">
        <v>3229</v>
      </c>
      <c r="B813" s="690" t="s">
        <v>1233</v>
      </c>
      <c r="C813" s="681" t="s">
        <v>180</v>
      </c>
      <c r="D813" s="681" t="s">
        <v>126</v>
      </c>
    </row>
    <row r="814" spans="1:4" ht="14.25" customHeight="1">
      <c r="A814" s="679" t="s">
        <v>3230</v>
      </c>
      <c r="B814" s="690" t="s">
        <v>1189</v>
      </c>
      <c r="C814" s="681" t="s">
        <v>180</v>
      </c>
      <c r="D814" s="681" t="s">
        <v>135</v>
      </c>
    </row>
    <row r="815" spans="1:4" ht="14.25" customHeight="1">
      <c r="A815" s="679" t="s">
        <v>3231</v>
      </c>
      <c r="B815" s="690" t="s">
        <v>1191</v>
      </c>
      <c r="C815" s="681" t="s">
        <v>161</v>
      </c>
      <c r="D815" s="681" t="s">
        <v>136</v>
      </c>
    </row>
    <row r="816" spans="1:4" ht="14.25" customHeight="1">
      <c r="A816" s="679" t="s">
        <v>3232</v>
      </c>
      <c r="B816" s="690" t="s">
        <v>1193</v>
      </c>
      <c r="C816" s="681" t="s">
        <v>180</v>
      </c>
      <c r="D816" s="681" t="s">
        <v>141</v>
      </c>
    </row>
    <row r="817" spans="1:4" ht="14.25" customHeight="1">
      <c r="A817" s="679" t="s">
        <v>3233</v>
      </c>
      <c r="B817" s="690" t="s">
        <v>1195</v>
      </c>
      <c r="C817" s="681" t="s">
        <v>180</v>
      </c>
      <c r="D817" s="681" t="s">
        <v>131</v>
      </c>
    </row>
    <row r="818" spans="1:4" ht="14.25" customHeight="1">
      <c r="A818" s="679" t="s">
        <v>3234</v>
      </c>
      <c r="B818" s="690" t="s">
        <v>1197</v>
      </c>
      <c r="C818" s="681" t="s">
        <v>180</v>
      </c>
      <c r="D818" s="681" t="s">
        <v>139</v>
      </c>
    </row>
    <row r="819" spans="1:4" ht="14.25" customHeight="1">
      <c r="A819" s="679" t="s">
        <v>3235</v>
      </c>
      <c r="B819" s="690" t="s">
        <v>1199</v>
      </c>
      <c r="C819" s="681" t="s">
        <v>180</v>
      </c>
      <c r="D819" s="681" t="s">
        <v>132</v>
      </c>
    </row>
    <row r="820" spans="1:4" ht="14.25" customHeight="1">
      <c r="A820" s="679" t="s">
        <v>3236</v>
      </c>
      <c r="B820" s="690" t="s">
        <v>1201</v>
      </c>
      <c r="C820" s="681" t="s">
        <v>180</v>
      </c>
      <c r="D820" s="681" t="s">
        <v>137</v>
      </c>
    </row>
    <row r="821" spans="1:4" ht="14.25" customHeight="1">
      <c r="A821" s="679" t="s">
        <v>3237</v>
      </c>
      <c r="B821" s="690" t="s">
        <v>1203</v>
      </c>
      <c r="C821" s="681" t="s">
        <v>180</v>
      </c>
      <c r="D821" s="681" t="s">
        <v>138</v>
      </c>
    </row>
    <row r="822" spans="1:4" ht="14.25" customHeight="1">
      <c r="A822" s="679" t="s">
        <v>3238</v>
      </c>
      <c r="B822" s="690" t="s">
        <v>1205</v>
      </c>
      <c r="C822" s="681" t="s">
        <v>180</v>
      </c>
      <c r="D822" s="681" t="s">
        <v>140</v>
      </c>
    </row>
    <row r="823" spans="1:4" ht="14.25" customHeight="1">
      <c r="A823" s="679" t="s">
        <v>3239</v>
      </c>
      <c r="B823" s="690" t="s">
        <v>1279</v>
      </c>
      <c r="C823" s="681" t="s">
        <v>180</v>
      </c>
      <c r="D823" s="681" t="s">
        <v>133</v>
      </c>
    </row>
    <row r="824" spans="1:4" ht="14.25" customHeight="1">
      <c r="A824" s="679" t="s">
        <v>3240</v>
      </c>
      <c r="B824" s="690" t="s">
        <v>1211</v>
      </c>
      <c r="C824" s="681" t="s">
        <v>180</v>
      </c>
      <c r="D824" s="681" t="s">
        <v>134</v>
      </c>
    </row>
    <row r="825" spans="1:4" ht="14.25" customHeight="1">
      <c r="A825" s="679" t="s">
        <v>3241</v>
      </c>
      <c r="B825" s="690" t="s">
        <v>1213</v>
      </c>
      <c r="C825" s="681" t="s">
        <v>1327</v>
      </c>
      <c r="D825" s="681" t="s">
        <v>221</v>
      </c>
    </row>
    <row r="826" spans="1:4" ht="14.25" customHeight="1">
      <c r="A826" s="679" t="s">
        <v>3242</v>
      </c>
      <c r="B826" s="690" t="s">
        <v>1391</v>
      </c>
      <c r="C826" s="681" t="s">
        <v>1327</v>
      </c>
      <c r="D826" s="681" t="s">
        <v>213</v>
      </c>
    </row>
    <row r="827" spans="1:4" ht="14.25" customHeight="1">
      <c r="A827" s="679" t="s">
        <v>3243</v>
      </c>
      <c r="B827" s="690" t="s">
        <v>1281</v>
      </c>
      <c r="C827" s="681" t="s">
        <v>180</v>
      </c>
      <c r="D827" s="681" t="s">
        <v>210</v>
      </c>
    </row>
    <row r="828" spans="1:4" ht="14.25" customHeight="1">
      <c r="A828" s="679" t="s">
        <v>3244</v>
      </c>
      <c r="B828" s="690" t="s">
        <v>1282</v>
      </c>
      <c r="C828" s="681" t="s">
        <v>180</v>
      </c>
      <c r="D828" s="681" t="s">
        <v>205</v>
      </c>
    </row>
    <row r="829" spans="1:4" ht="14.25" customHeight="1">
      <c r="A829" s="679" t="s">
        <v>3245</v>
      </c>
      <c r="B829" s="690" t="s">
        <v>1283</v>
      </c>
      <c r="C829" s="681" t="s">
        <v>180</v>
      </c>
      <c r="D829" s="681" t="s">
        <v>209</v>
      </c>
    </row>
    <row r="830" spans="1:4" ht="14.25" customHeight="1">
      <c r="A830" s="679" t="s">
        <v>3246</v>
      </c>
      <c r="B830" s="690" t="s">
        <v>1284</v>
      </c>
      <c r="C830" s="681" t="s">
        <v>180</v>
      </c>
      <c r="D830" s="681" t="s">
        <v>206</v>
      </c>
    </row>
    <row r="831" spans="1:4" ht="14.25" customHeight="1">
      <c r="A831" s="679" t="s">
        <v>3247</v>
      </c>
      <c r="B831" s="690" t="s">
        <v>3248</v>
      </c>
      <c r="C831" s="681" t="s">
        <v>180</v>
      </c>
      <c r="D831" s="681" t="s">
        <v>208</v>
      </c>
    </row>
    <row r="832" spans="1:4" ht="14.25" customHeight="1">
      <c r="A832" s="679" t="s">
        <v>3249</v>
      </c>
      <c r="B832" s="690" t="s">
        <v>1285</v>
      </c>
      <c r="C832" s="681" t="s">
        <v>180</v>
      </c>
      <c r="D832" s="681" t="s">
        <v>207</v>
      </c>
    </row>
    <row r="833" spans="1:4" ht="14.25" customHeight="1">
      <c r="A833" s="679" t="s">
        <v>3250</v>
      </c>
      <c r="B833" s="690" t="s">
        <v>1286</v>
      </c>
      <c r="C833" s="681" t="s">
        <v>180</v>
      </c>
      <c r="D833" s="681" t="s">
        <v>211</v>
      </c>
    </row>
    <row r="834" spans="1:4" ht="14.25" customHeight="1">
      <c r="A834" s="679" t="s">
        <v>3251</v>
      </c>
      <c r="B834" s="690" t="s">
        <v>1400</v>
      </c>
      <c r="C834" s="681" t="s">
        <v>180</v>
      </c>
      <c r="D834" s="681" t="s">
        <v>1333</v>
      </c>
    </row>
    <row r="835" spans="1:4" ht="14.25" customHeight="1">
      <c r="A835" s="691" t="s">
        <v>3252</v>
      </c>
      <c r="B835" s="680" t="s">
        <v>3253</v>
      </c>
      <c r="C835" s="681" t="s">
        <v>1327</v>
      </c>
      <c r="D835" s="681"/>
    </row>
    <row r="836" spans="1:4" ht="14.25" customHeight="1">
      <c r="A836" s="690" t="s">
        <v>3254</v>
      </c>
      <c r="B836" s="690" t="s">
        <v>3255</v>
      </c>
      <c r="C836" s="681" t="s">
        <v>180</v>
      </c>
      <c r="D836" s="681" t="s">
        <v>188</v>
      </c>
    </row>
    <row r="837" spans="1:4" ht="14.25" customHeight="1">
      <c r="A837" s="690" t="s">
        <v>3256</v>
      </c>
      <c r="B837" s="690" t="s">
        <v>3257</v>
      </c>
      <c r="C837" s="681" t="s">
        <v>1327</v>
      </c>
      <c r="D837" s="681" t="s">
        <v>3258</v>
      </c>
    </row>
    <row r="838" spans="1:4" ht="14.25" customHeight="1">
      <c r="A838" s="679" t="s">
        <v>3259</v>
      </c>
      <c r="B838" s="690" t="s">
        <v>3260</v>
      </c>
      <c r="C838" s="681" t="s">
        <v>92</v>
      </c>
      <c r="D838" s="681" t="s">
        <v>145</v>
      </c>
    </row>
    <row r="839" spans="1:4" ht="14.25" customHeight="1">
      <c r="A839" s="679" t="s">
        <v>3261</v>
      </c>
      <c r="B839" s="690" t="s">
        <v>3262</v>
      </c>
      <c r="C839" s="681" t="s">
        <v>92</v>
      </c>
      <c r="D839" s="681" t="s">
        <v>148</v>
      </c>
    </row>
    <row r="840" spans="1:4" ht="14.25" customHeight="1">
      <c r="A840" s="679" t="s">
        <v>3263</v>
      </c>
      <c r="B840" s="690" t="s">
        <v>3264</v>
      </c>
      <c r="C840" s="681" t="s">
        <v>1327</v>
      </c>
      <c r="D840" s="681"/>
    </row>
    <row r="841" spans="1:4" ht="14.25" customHeight="1">
      <c r="A841" s="679" t="s">
        <v>3265</v>
      </c>
      <c r="B841" s="690" t="s">
        <v>3266</v>
      </c>
      <c r="C841" s="681" t="s">
        <v>92</v>
      </c>
      <c r="D841" s="681" t="s">
        <v>105</v>
      </c>
    </row>
    <row r="842" spans="1:4" ht="14.25" customHeight="1">
      <c r="A842" s="679" t="s">
        <v>3267</v>
      </c>
      <c r="B842" s="690" t="s">
        <v>3268</v>
      </c>
      <c r="C842" s="681" t="s">
        <v>92</v>
      </c>
      <c r="D842" s="681" t="s">
        <v>105</v>
      </c>
    </row>
    <row r="843" spans="1:4" ht="14.25" customHeight="1">
      <c r="A843" s="691" t="s">
        <v>3269</v>
      </c>
      <c r="B843" s="680" t="s">
        <v>3270</v>
      </c>
      <c r="C843" s="681" t="s">
        <v>1327</v>
      </c>
      <c r="D843" s="681" t="s">
        <v>97</v>
      </c>
    </row>
    <row r="844" spans="1:4" ht="14.25" customHeight="1">
      <c r="A844" s="679" t="s">
        <v>3271</v>
      </c>
      <c r="B844" s="690" t="s">
        <v>3272</v>
      </c>
      <c r="C844" s="681" t="s">
        <v>152</v>
      </c>
      <c r="D844" s="681" t="s">
        <v>105</v>
      </c>
    </row>
    <row r="845" spans="1:4" ht="14.25" customHeight="1">
      <c r="A845" s="691" t="s">
        <v>3273</v>
      </c>
      <c r="B845" s="680" t="s">
        <v>3274</v>
      </c>
      <c r="C845" s="681" t="s">
        <v>152</v>
      </c>
      <c r="D845" s="681" t="s">
        <v>105</v>
      </c>
    </row>
    <row r="846" spans="1:4" ht="14.25" customHeight="1">
      <c r="A846" s="679" t="s">
        <v>3275</v>
      </c>
      <c r="B846" s="690" t="s">
        <v>3276</v>
      </c>
      <c r="C846" s="681" t="s">
        <v>152</v>
      </c>
      <c r="D846" s="681"/>
    </row>
    <row r="847" spans="1:4" ht="14.25" customHeight="1">
      <c r="A847" s="679" t="s">
        <v>3277</v>
      </c>
      <c r="B847" s="690" t="s">
        <v>3278</v>
      </c>
      <c r="C847" s="681" t="s">
        <v>92</v>
      </c>
      <c r="D847" s="681" t="s">
        <v>105</v>
      </c>
    </row>
    <row r="848" spans="1:4" ht="14.25" customHeight="1">
      <c r="A848" s="691" t="s">
        <v>3279</v>
      </c>
      <c r="B848" s="680" t="s">
        <v>3280</v>
      </c>
      <c r="C848" s="681" t="s">
        <v>92</v>
      </c>
      <c r="D848" s="681">
        <v>0</v>
      </c>
    </row>
    <row r="849" spans="1:4" ht="14.25" customHeight="1">
      <c r="A849" s="690" t="s">
        <v>3281</v>
      </c>
      <c r="B849" s="690" t="s">
        <v>3282</v>
      </c>
      <c r="C849" s="681" t="s">
        <v>152</v>
      </c>
      <c r="D849" s="681"/>
    </row>
    <row r="850" spans="1:4" ht="14.25" customHeight="1">
      <c r="A850" s="691" t="s">
        <v>3283</v>
      </c>
      <c r="B850" s="680" t="s">
        <v>3284</v>
      </c>
      <c r="C850" s="681" t="s">
        <v>152</v>
      </c>
      <c r="D850" s="681" t="s">
        <v>153</v>
      </c>
    </row>
    <row r="851" spans="1:4" ht="14.25" customHeight="1">
      <c r="A851" s="679" t="s">
        <v>3285</v>
      </c>
      <c r="B851" s="690" t="s">
        <v>3286</v>
      </c>
      <c r="C851" s="681" t="s">
        <v>92</v>
      </c>
      <c r="D851" s="681" t="s">
        <v>106</v>
      </c>
    </row>
    <row r="852" spans="1:4" ht="14.25" customHeight="1">
      <c r="A852" s="691" t="s">
        <v>3287</v>
      </c>
      <c r="B852" s="680" t="s">
        <v>3288</v>
      </c>
      <c r="C852" s="681" t="s">
        <v>92</v>
      </c>
      <c r="D852" s="681">
        <v>0</v>
      </c>
    </row>
    <row r="853" spans="1:4" ht="14.25" customHeight="1">
      <c r="A853" s="679" t="s">
        <v>3289</v>
      </c>
      <c r="B853" s="690" t="s">
        <v>3290</v>
      </c>
      <c r="C853" s="681" t="s">
        <v>92</v>
      </c>
      <c r="D853" s="681" t="s">
        <v>106</v>
      </c>
    </row>
    <row r="854" spans="1:4" ht="14.25" customHeight="1">
      <c r="A854" s="691" t="s">
        <v>3291</v>
      </c>
      <c r="B854" s="680" t="s">
        <v>3292</v>
      </c>
      <c r="C854" s="681" t="s">
        <v>92</v>
      </c>
      <c r="D854" s="681">
        <v>0</v>
      </c>
    </row>
    <row r="855" spans="1:4" ht="14.25" customHeight="1">
      <c r="A855" s="679" t="s">
        <v>3293</v>
      </c>
      <c r="B855" s="690" t="s">
        <v>3294</v>
      </c>
      <c r="C855" s="681" t="s">
        <v>152</v>
      </c>
      <c r="D855" s="681" t="s">
        <v>106</v>
      </c>
    </row>
    <row r="856" spans="1:4" ht="14.25" customHeight="1">
      <c r="A856" s="691" t="s">
        <v>3295</v>
      </c>
      <c r="B856" s="680" t="s">
        <v>3296</v>
      </c>
      <c r="C856" s="681" t="s">
        <v>152</v>
      </c>
      <c r="D856" s="681" t="s">
        <v>106</v>
      </c>
    </row>
    <row r="857" spans="1:4" ht="14.25" customHeight="1">
      <c r="A857" s="679" t="s">
        <v>3297</v>
      </c>
      <c r="B857" s="690" t="s">
        <v>3298</v>
      </c>
      <c r="C857" s="681" t="s">
        <v>152</v>
      </c>
      <c r="D857" s="681" t="s">
        <v>106</v>
      </c>
    </row>
    <row r="858" spans="1:4" ht="14.25" customHeight="1">
      <c r="A858" s="691" t="s">
        <v>3299</v>
      </c>
      <c r="B858" s="680" t="s">
        <v>3300</v>
      </c>
      <c r="C858" s="681" t="s">
        <v>152</v>
      </c>
      <c r="D858" s="681" t="s">
        <v>106</v>
      </c>
    </row>
    <row r="859" spans="1:4" ht="14.25" customHeight="1">
      <c r="A859" s="690" t="s">
        <v>3301</v>
      </c>
      <c r="B859" s="690" t="s">
        <v>3302</v>
      </c>
      <c r="C859" s="681" t="s">
        <v>1327</v>
      </c>
      <c r="D859" s="681" t="s">
        <v>149</v>
      </c>
    </row>
    <row r="860" spans="1:4" ht="14.25" customHeight="1">
      <c r="A860" s="690" t="s">
        <v>3303</v>
      </c>
      <c r="B860" s="690" t="s">
        <v>3304</v>
      </c>
      <c r="C860" s="681" t="s">
        <v>1327</v>
      </c>
      <c r="D860" s="681" t="s">
        <v>3258</v>
      </c>
    </row>
    <row r="861" spans="1:4" ht="14.25" customHeight="1">
      <c r="A861" s="690" t="s">
        <v>3305</v>
      </c>
      <c r="B861" s="690" t="s">
        <v>3306</v>
      </c>
      <c r="C861" s="681" t="s">
        <v>1327</v>
      </c>
      <c r="D861" s="681" t="s">
        <v>223</v>
      </c>
    </row>
    <row r="862" spans="1:4" ht="14.25" customHeight="1">
      <c r="A862" s="690" t="s">
        <v>3307</v>
      </c>
      <c r="B862" s="690" t="s">
        <v>3308</v>
      </c>
      <c r="C862" s="681" t="s">
        <v>1327</v>
      </c>
      <c r="D862" s="681" t="s">
        <v>222</v>
      </c>
    </row>
    <row r="863" spans="1:4" ht="14.25" customHeight="1">
      <c r="A863" s="690" t="s">
        <v>3309</v>
      </c>
      <c r="B863" s="690" t="s">
        <v>1318</v>
      </c>
      <c r="C863" s="681" t="s">
        <v>1327</v>
      </c>
      <c r="D863" s="681" t="s">
        <v>223</v>
      </c>
    </row>
    <row r="864" spans="1:4" ht="14.25" customHeight="1">
      <c r="A864" s="690" t="s">
        <v>3310</v>
      </c>
      <c r="B864" s="690" t="s">
        <v>1407</v>
      </c>
      <c r="C864" s="681" t="s">
        <v>1327</v>
      </c>
      <c r="D864" s="681" t="s">
        <v>142</v>
      </c>
    </row>
    <row r="865" spans="1:4" ht="14.25" customHeight="1">
      <c r="A865" s="679"/>
      <c r="B865" s="687"/>
      <c r="C865" s="681"/>
      <c r="D865" s="681"/>
    </row>
    <row r="866" spans="1:4" ht="14.25" customHeight="1">
      <c r="A866" s="679"/>
      <c r="B866" s="687"/>
      <c r="C866" s="681"/>
      <c r="D866" s="681"/>
    </row>
    <row r="867" spans="1:4" ht="14.25" customHeight="1">
      <c r="A867" s="679"/>
      <c r="B867" s="687"/>
      <c r="C867" s="681"/>
      <c r="D867" s="681"/>
    </row>
    <row r="868" spans="1:4" ht="14.25" customHeight="1">
      <c r="A868" s="679"/>
      <c r="B868" s="687"/>
      <c r="C868" s="681"/>
      <c r="D868" s="681"/>
    </row>
    <row r="869" spans="1:4" ht="14.25" customHeight="1">
      <c r="A869" s="679"/>
      <c r="B869" s="687"/>
      <c r="C869" s="681"/>
      <c r="D869" s="681"/>
    </row>
    <row r="870" spans="1:4" ht="14.25" customHeight="1">
      <c r="A870" s="679"/>
      <c r="B870" s="687"/>
      <c r="C870" s="681"/>
      <c r="D870" s="681"/>
    </row>
    <row r="871" spans="1:4" ht="14.25" customHeight="1">
      <c r="A871" s="679"/>
      <c r="B871" s="687"/>
      <c r="C871" s="681"/>
      <c r="D871" s="681"/>
    </row>
    <row r="872" spans="1:4" ht="14.25" customHeight="1">
      <c r="A872" s="730"/>
      <c r="B872" s="724"/>
      <c r="C872" s="681"/>
      <c r="D872" s="681"/>
    </row>
    <row r="873" spans="1:4" ht="14.25" customHeight="1">
      <c r="A873" s="679"/>
      <c r="B873" s="687"/>
      <c r="C873" s="681"/>
      <c r="D873" s="681"/>
    </row>
    <row r="874" spans="1:4" ht="14.25" customHeight="1">
      <c r="A874" s="679"/>
      <c r="B874" s="687"/>
      <c r="C874" s="681"/>
      <c r="D874" s="681"/>
    </row>
    <row r="875" spans="1:4" ht="14.25" customHeight="1">
      <c r="A875" s="679"/>
      <c r="B875" s="687"/>
      <c r="C875" s="681"/>
      <c r="D875" s="681"/>
    </row>
    <row r="876" spans="1:4" ht="14.25" customHeight="1">
      <c r="A876" s="679"/>
      <c r="B876" s="687"/>
      <c r="C876" s="681"/>
      <c r="D876" s="681"/>
    </row>
    <row r="877" spans="1:4" ht="14.25" customHeight="1">
      <c r="A877" s="679"/>
      <c r="B877" s="687"/>
      <c r="C877" s="681"/>
      <c r="D877" s="681"/>
    </row>
    <row r="878" spans="1:4" ht="14.25" customHeight="1">
      <c r="A878" s="679"/>
      <c r="B878" s="687"/>
      <c r="C878" s="681"/>
      <c r="D878" s="681"/>
    </row>
    <row r="879" spans="1:4" ht="14.25" customHeight="1">
      <c r="A879" s="679"/>
      <c r="B879" s="687"/>
      <c r="C879" s="681"/>
      <c r="D879" s="681"/>
    </row>
    <row r="880" spans="1:4" ht="14.25" customHeight="1">
      <c r="A880" s="679"/>
      <c r="B880" s="687"/>
      <c r="C880" s="681"/>
      <c r="D880" s="681"/>
    </row>
    <row r="881" spans="1:4" ht="14.25" customHeight="1">
      <c r="A881" s="679"/>
      <c r="B881" s="687"/>
      <c r="C881" s="681"/>
      <c r="D881" s="681"/>
    </row>
    <row r="882" spans="1:4" ht="14.25" customHeight="1">
      <c r="A882" s="679"/>
      <c r="B882" s="687"/>
      <c r="C882" s="681"/>
      <c r="D882" s="681"/>
    </row>
    <row r="883" spans="1:4" ht="14.25" customHeight="1">
      <c r="A883" s="679"/>
      <c r="B883" s="687"/>
      <c r="C883" s="681"/>
      <c r="D883" s="681"/>
    </row>
    <row r="884" spans="1:4" ht="14.25" customHeight="1">
      <c r="A884" s="706"/>
      <c r="B884" s="687"/>
      <c r="C884" s="681"/>
      <c r="D884" s="681"/>
    </row>
    <row r="885" spans="1:4" ht="14.25" customHeight="1">
      <c r="A885" s="706"/>
      <c r="B885" s="687"/>
      <c r="C885" s="681"/>
      <c r="D885" s="681"/>
    </row>
    <row r="886" spans="1:4" ht="14.25" customHeight="1">
      <c r="A886" s="679"/>
      <c r="B886" s="687"/>
      <c r="C886" s="681"/>
      <c r="D886" s="681"/>
    </row>
    <row r="887" spans="1:4" ht="14.25" customHeight="1">
      <c r="A887" s="679"/>
      <c r="B887" s="687"/>
      <c r="C887" s="681"/>
      <c r="D887" s="681"/>
    </row>
    <row r="888" spans="1:4" ht="14.25" customHeight="1">
      <c r="A888" s="679"/>
      <c r="B888" s="687"/>
      <c r="C888" s="681"/>
      <c r="D888" s="681"/>
    </row>
    <row r="889" spans="1:4" ht="14.25" customHeight="1">
      <c r="A889" s="704"/>
      <c r="B889" s="726"/>
      <c r="C889" s="681"/>
      <c r="D889" s="681"/>
    </row>
    <row r="890" spans="1:4" ht="14.25" customHeight="1">
      <c r="A890" s="679"/>
      <c r="B890" s="687"/>
      <c r="C890" s="681"/>
      <c r="D890" s="681"/>
    </row>
    <row r="891" spans="1:4" ht="14.25" customHeight="1">
      <c r="A891" s="679"/>
      <c r="B891" s="687"/>
      <c r="C891" s="681"/>
      <c r="D891" s="681"/>
    </row>
    <row r="892" spans="1:4" ht="14.25" customHeight="1">
      <c r="A892" s="679"/>
      <c r="B892" s="687"/>
      <c r="C892" s="681"/>
      <c r="D892" s="681"/>
    </row>
    <row r="893" spans="1:4" ht="14.25" customHeight="1">
      <c r="A893" s="679"/>
      <c r="B893" s="687"/>
      <c r="C893" s="681"/>
      <c r="D893" s="681"/>
    </row>
    <row r="894" spans="1:4" ht="14.25" customHeight="1">
      <c r="A894" s="679"/>
      <c r="B894" s="687"/>
      <c r="C894" s="681"/>
      <c r="D894" s="681"/>
    </row>
    <row r="895" spans="1:4" ht="14.25" customHeight="1">
      <c r="A895" s="679"/>
      <c r="B895" s="687"/>
      <c r="C895" s="681"/>
      <c r="D895" s="681"/>
    </row>
    <row r="896" spans="1:4" ht="14.25" customHeight="1">
      <c r="A896" s="679"/>
      <c r="B896" s="687"/>
      <c r="C896" s="681"/>
      <c r="D896" s="681"/>
    </row>
    <row r="897" spans="1:4" ht="14.25" customHeight="1">
      <c r="A897" s="679"/>
      <c r="B897" s="687"/>
      <c r="C897" s="681"/>
      <c r="D897" s="681"/>
    </row>
    <row r="898" spans="1:4" ht="14.25" customHeight="1">
      <c r="A898" s="679"/>
      <c r="B898" s="687"/>
      <c r="C898" s="681"/>
      <c r="D898" s="681"/>
    </row>
    <row r="899" spans="1:4" ht="14.25" customHeight="1">
      <c r="A899" s="679"/>
      <c r="B899" s="681"/>
      <c r="C899" s="681"/>
      <c r="D899" s="681"/>
    </row>
    <row r="900" spans="1:4" ht="14.25" customHeight="1">
      <c r="A900" s="679"/>
      <c r="B900" s="687"/>
      <c r="C900" s="681"/>
      <c r="D900" s="681"/>
    </row>
    <row r="901" spans="1:4" ht="14.25" customHeight="1">
      <c r="A901" s="679"/>
      <c r="B901" s="687"/>
      <c r="C901" s="681"/>
      <c r="D901" s="681"/>
    </row>
    <row r="902" spans="1:4" ht="14.25" customHeight="1">
      <c r="A902" s="679"/>
      <c r="B902" s="687"/>
      <c r="C902" s="681"/>
      <c r="D902" s="681"/>
    </row>
    <row r="903" spans="1:4" ht="14.25" customHeight="1">
      <c r="A903" s="679"/>
      <c r="B903" s="687"/>
      <c r="C903" s="681"/>
      <c r="D903" s="681"/>
    </row>
    <row r="904" spans="1:4" ht="14.25" customHeight="1">
      <c r="A904" s="679"/>
      <c r="B904" s="687"/>
      <c r="C904" s="681"/>
      <c r="D904" s="681"/>
    </row>
    <row r="905" spans="1:4" ht="14.25" customHeight="1">
      <c r="A905" s="679"/>
      <c r="B905" s="687"/>
      <c r="C905" s="681"/>
      <c r="D905" s="681"/>
    </row>
    <row r="906" spans="1:4" ht="14.25" customHeight="1">
      <c r="A906" s="679"/>
      <c r="B906" s="687"/>
      <c r="C906" s="681"/>
      <c r="D906" s="681"/>
    </row>
    <row r="907" spans="1:4" ht="14.25" customHeight="1">
      <c r="A907" s="679"/>
      <c r="B907" s="687"/>
      <c r="C907" s="681"/>
      <c r="D907" s="681"/>
    </row>
    <row r="908" spans="1:4" ht="14.25" customHeight="1">
      <c r="A908" s="679"/>
      <c r="B908" s="687"/>
      <c r="C908" s="681"/>
      <c r="D908" s="681"/>
    </row>
    <row r="909" spans="1:4" ht="14.25" customHeight="1">
      <c r="A909" s="679"/>
      <c r="B909" s="687"/>
      <c r="C909" s="681"/>
      <c r="D909" s="681"/>
    </row>
    <row r="910" spans="1:4" ht="14.25" customHeight="1">
      <c r="A910" s="679"/>
      <c r="B910" s="687"/>
      <c r="C910" s="681"/>
      <c r="D910" s="681"/>
    </row>
    <row r="911" spans="1:4" ht="14.25" customHeight="1">
      <c r="A911" s="679"/>
      <c r="B911" s="687"/>
      <c r="C911" s="681"/>
      <c r="D911" s="681"/>
    </row>
    <row r="912" spans="1:4" ht="14.25" customHeight="1">
      <c r="A912" s="679"/>
      <c r="B912" s="687"/>
      <c r="C912" s="681"/>
      <c r="D912" s="68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2024-02-12T23:12:24Z</cp:lastPrinted>
  <dcterms:created xsi:type="dcterms:W3CDTF">2023-01-24T17:19:21Z</dcterms:created>
  <dcterms:modified xsi:type="dcterms:W3CDTF">2024-05-09T19:52:58Z</dcterms:modified>
</cp:coreProperties>
</file>