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36825B85-1F00-4667-BFF5-7C15C4730D3D}" xr6:coauthVersionLast="47" xr6:coauthVersionMax="47" xr10:uidLastSave="{00000000-0000-0000-0000-000000000000}"/>
  <bookViews>
    <workbookView xWindow="28680" yWindow="-195" windowWidth="29040" windowHeight="15720" activeTab="7"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BV_Data_An_Cour!$A$1:$X$514</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S514" i="15" l="1"/>
  <c r="R514" i="15"/>
  <c r="Q514" i="15"/>
  <c r="P514" i="15" s="1"/>
  <c r="M514" i="15"/>
  <c r="L514" i="15"/>
  <c r="X514" i="15" s="1"/>
  <c r="S513" i="15"/>
  <c r="R513" i="15"/>
  <c r="Q513" i="15"/>
  <c r="P513" i="15" s="1"/>
  <c r="M513" i="15"/>
  <c r="L513" i="15"/>
  <c r="X513" i="15" s="1"/>
  <c r="S512" i="15"/>
  <c r="R512" i="15"/>
  <c r="Q512" i="15"/>
  <c r="N512" i="15" s="1"/>
  <c r="M512" i="15"/>
  <c r="L512" i="15"/>
  <c r="X512" i="15" s="1"/>
  <c r="S511" i="15"/>
  <c r="R511" i="15"/>
  <c r="Q511" i="15"/>
  <c r="P511" i="15" s="1"/>
  <c r="M511" i="15"/>
  <c r="L511" i="15"/>
  <c r="X511" i="15" s="1"/>
  <c r="S510" i="15"/>
  <c r="R510" i="15"/>
  <c r="Q510" i="15"/>
  <c r="O510" i="15" s="1"/>
  <c r="M510" i="15"/>
  <c r="L510" i="15"/>
  <c r="X510" i="15" s="1"/>
  <c r="W514" i="15" l="1"/>
  <c r="N514" i="15"/>
  <c r="T514" i="15"/>
  <c r="U514" i="15"/>
  <c r="O514" i="15"/>
  <c r="V514" i="15"/>
  <c r="P512" i="15"/>
  <c r="O512" i="15"/>
  <c r="U512" i="15"/>
  <c r="T512" i="15"/>
  <c r="V512" i="15"/>
  <c r="W512" i="15"/>
  <c r="N513" i="15"/>
  <c r="O513" i="15"/>
  <c r="T513" i="15"/>
  <c r="U513" i="15"/>
  <c r="V513" i="15"/>
  <c r="W513" i="15"/>
  <c r="N510" i="15"/>
  <c r="P510" i="15"/>
  <c r="N511" i="15"/>
  <c r="O511" i="15"/>
  <c r="T510" i="15"/>
  <c r="U510" i="15"/>
  <c r="T511" i="15"/>
  <c r="V510" i="15"/>
  <c r="U511" i="15"/>
  <c r="W510" i="15"/>
  <c r="V511" i="15"/>
  <c r="W511" i="15"/>
  <c r="S509" i="15"/>
  <c r="R509" i="15"/>
  <c r="Q509" i="15"/>
  <c r="P509" i="15" s="1"/>
  <c r="M509" i="15"/>
  <c r="L509" i="15"/>
  <c r="X509" i="15" s="1"/>
  <c r="S508" i="15"/>
  <c r="R508" i="15"/>
  <c r="Q508" i="15"/>
  <c r="P508" i="15" s="1"/>
  <c r="M508" i="15"/>
  <c r="L508" i="15"/>
  <c r="X508" i="15" s="1"/>
  <c r="S507" i="15"/>
  <c r="R507" i="15"/>
  <c r="Q507" i="15"/>
  <c r="N507" i="15" s="1"/>
  <c r="M507" i="15"/>
  <c r="L507" i="15"/>
  <c r="X507" i="15" s="1"/>
  <c r="S506" i="15"/>
  <c r="R506" i="15"/>
  <c r="Q506" i="15"/>
  <c r="O506" i="15" s="1"/>
  <c r="M506" i="15"/>
  <c r="L506" i="15"/>
  <c r="W506" i="15" s="1"/>
  <c r="S505" i="15"/>
  <c r="R505" i="15"/>
  <c r="Q505" i="15"/>
  <c r="P505" i="15" s="1"/>
  <c r="M505" i="15"/>
  <c r="L505" i="15"/>
  <c r="X505" i="15" s="1"/>
  <c r="S504" i="15"/>
  <c r="R504" i="15"/>
  <c r="Q504" i="15"/>
  <c r="N504" i="15" s="1"/>
  <c r="M504" i="15"/>
  <c r="L504" i="15"/>
  <c r="X504" i="15" s="1"/>
  <c r="S503" i="15"/>
  <c r="R503" i="15"/>
  <c r="Q503" i="15"/>
  <c r="N503" i="15" s="1"/>
  <c r="M503" i="15"/>
  <c r="L503" i="15"/>
  <c r="X503" i="15" s="1"/>
  <c r="S502" i="15"/>
  <c r="R502" i="15"/>
  <c r="Q502" i="15"/>
  <c r="P502" i="15" s="1"/>
  <c r="M502" i="15"/>
  <c r="L502" i="15"/>
  <c r="X502" i="15" s="1"/>
  <c r="S501" i="15"/>
  <c r="R501" i="15"/>
  <c r="Q501" i="15"/>
  <c r="P501" i="15" s="1"/>
  <c r="M501" i="15"/>
  <c r="L501" i="15"/>
  <c r="X501" i="15" s="1"/>
  <c r="S500" i="15"/>
  <c r="R500" i="15"/>
  <c r="Q500" i="15"/>
  <c r="N500" i="15" s="1"/>
  <c r="M500" i="15"/>
  <c r="L500" i="15"/>
  <c r="X500" i="15" s="1"/>
  <c r="S499" i="15"/>
  <c r="R499" i="15"/>
  <c r="Q499" i="15"/>
  <c r="O499" i="15" s="1"/>
  <c r="M499" i="15"/>
  <c r="L499" i="15"/>
  <c r="X499" i="15" s="1"/>
  <c r="S498" i="15"/>
  <c r="R498" i="15"/>
  <c r="Q498" i="15"/>
  <c r="O498" i="15" s="1"/>
  <c r="M498" i="15"/>
  <c r="L498" i="15"/>
  <c r="X498" i="15" s="1"/>
  <c r="S497" i="15"/>
  <c r="R497" i="15"/>
  <c r="Q497" i="15"/>
  <c r="P497" i="15" s="1"/>
  <c r="M497" i="15"/>
  <c r="L497" i="15"/>
  <c r="X497" i="15" s="1"/>
  <c r="S496" i="15"/>
  <c r="R496" i="15"/>
  <c r="Q496" i="15"/>
  <c r="P496" i="15" s="1"/>
  <c r="M496" i="15"/>
  <c r="L496" i="15"/>
  <c r="X496" i="15" s="1"/>
  <c r="S495" i="15"/>
  <c r="R495" i="15"/>
  <c r="Q495" i="15"/>
  <c r="P495" i="15" s="1"/>
  <c r="M495" i="15"/>
  <c r="L495" i="15"/>
  <c r="W495" i="15" s="1"/>
  <c r="S494" i="15"/>
  <c r="R494" i="15"/>
  <c r="Q494" i="15"/>
  <c r="O494" i="15" s="1"/>
  <c r="M494" i="15"/>
  <c r="L494" i="15"/>
  <c r="W494" i="15" s="1"/>
  <c r="S493" i="15"/>
  <c r="R493" i="15"/>
  <c r="Q493" i="15"/>
  <c r="P493" i="15" s="1"/>
  <c r="M493" i="15"/>
  <c r="L493" i="15"/>
  <c r="U493" i="15" s="1"/>
  <c r="S492" i="15"/>
  <c r="R492" i="15"/>
  <c r="Q492" i="15"/>
  <c r="P492" i="15" s="1"/>
  <c r="M492" i="15"/>
  <c r="L492" i="15"/>
  <c r="W492" i="15" s="1"/>
  <c r="S491" i="15"/>
  <c r="R491" i="15"/>
  <c r="Q491" i="15"/>
  <c r="O491" i="15" s="1"/>
  <c r="M491" i="15"/>
  <c r="L491" i="15"/>
  <c r="X491" i="15" s="1"/>
  <c r="O507" i="15" l="1"/>
  <c r="O509" i="15"/>
  <c r="N509" i="15"/>
  <c r="P507" i="15"/>
  <c r="W508" i="15"/>
  <c r="V507" i="15"/>
  <c r="O508" i="15"/>
  <c r="P506" i="15"/>
  <c r="W507" i="15"/>
  <c r="N508" i="15"/>
  <c r="U509" i="15"/>
  <c r="U508" i="15"/>
  <c r="V509" i="15"/>
  <c r="V508" i="15"/>
  <c r="W509" i="15"/>
  <c r="U505" i="15"/>
  <c r="T506" i="15"/>
  <c r="X506" i="15"/>
  <c r="T505" i="15"/>
  <c r="V505" i="15"/>
  <c r="U506" i="15"/>
  <c r="T507" i="15"/>
  <c r="W505" i="15"/>
  <c r="V506" i="15"/>
  <c r="U507" i="15"/>
  <c r="T508" i="15"/>
  <c r="T509" i="15"/>
  <c r="N505" i="15"/>
  <c r="O505" i="15"/>
  <c r="N506" i="15"/>
  <c r="P503" i="15"/>
  <c r="T499" i="15"/>
  <c r="P500" i="15"/>
  <c r="P504" i="15"/>
  <c r="O503" i="15"/>
  <c r="N501" i="15"/>
  <c r="O501" i="15"/>
  <c r="O504" i="15"/>
  <c r="W502" i="15"/>
  <c r="O500" i="15"/>
  <c r="N502" i="15"/>
  <c r="O502" i="15"/>
  <c r="U499" i="15"/>
  <c r="T500" i="15"/>
  <c r="V499" i="15"/>
  <c r="U500" i="15"/>
  <c r="T501" i="15"/>
  <c r="W499" i="15"/>
  <c r="V500" i="15"/>
  <c r="U501" i="15"/>
  <c r="T502" i="15"/>
  <c r="P499" i="15"/>
  <c r="W500" i="15"/>
  <c r="V501" i="15"/>
  <c r="U502" i="15"/>
  <c r="T503" i="15"/>
  <c r="W501" i="15"/>
  <c r="V502" i="15"/>
  <c r="U503" i="15"/>
  <c r="T504" i="15"/>
  <c r="N499" i="15"/>
  <c r="V503" i="15"/>
  <c r="U504" i="15"/>
  <c r="W503" i="15"/>
  <c r="V504" i="15"/>
  <c r="W504" i="15"/>
  <c r="P498" i="15"/>
  <c r="N496" i="15"/>
  <c r="T497" i="15"/>
  <c r="U497" i="15"/>
  <c r="T498" i="15"/>
  <c r="V497" i="15"/>
  <c r="U498" i="15"/>
  <c r="W497" i="15"/>
  <c r="V498" i="15"/>
  <c r="W498" i="15"/>
  <c r="N497" i="15"/>
  <c r="O497" i="15"/>
  <c r="N498" i="15"/>
  <c r="O496" i="15"/>
  <c r="T496" i="15"/>
  <c r="W496" i="15"/>
  <c r="U496" i="15"/>
  <c r="V496" i="15"/>
  <c r="P494" i="15"/>
  <c r="N495" i="15"/>
  <c r="O495" i="15"/>
  <c r="X495" i="15"/>
  <c r="N494" i="15"/>
  <c r="V495" i="15"/>
  <c r="T495" i="15"/>
  <c r="U495" i="15"/>
  <c r="U494" i="15"/>
  <c r="V494" i="15"/>
  <c r="X494" i="15"/>
  <c r="T494" i="15"/>
  <c r="N493" i="15"/>
  <c r="N492" i="15"/>
  <c r="O493" i="15"/>
  <c r="O492" i="15"/>
  <c r="P491" i="15"/>
  <c r="T492" i="15"/>
  <c r="W493" i="15"/>
  <c r="U492" i="15"/>
  <c r="X493" i="15"/>
  <c r="X492" i="15"/>
  <c r="V493" i="15"/>
  <c r="V492" i="15"/>
  <c r="T491" i="15"/>
  <c r="W491" i="15"/>
  <c r="U491" i="15"/>
  <c r="V491" i="15"/>
  <c r="N491" i="15"/>
  <c r="T493" i="15"/>
  <c r="S490" i="15"/>
  <c r="R490" i="15"/>
  <c r="Q490" i="15"/>
  <c r="O490" i="15" s="1"/>
  <c r="M490" i="15"/>
  <c r="L490" i="15"/>
  <c r="W490" i="15" s="1"/>
  <c r="S489" i="15"/>
  <c r="R489" i="15"/>
  <c r="Q489" i="15"/>
  <c r="O489" i="15" s="1"/>
  <c r="M489" i="15"/>
  <c r="L489" i="15"/>
  <c r="X489" i="15" s="1"/>
  <c r="S488" i="15"/>
  <c r="R488" i="15"/>
  <c r="Q488" i="15"/>
  <c r="P488" i="15" s="1"/>
  <c r="M488" i="15"/>
  <c r="L488" i="15"/>
  <c r="X488" i="15" s="1"/>
  <c r="S487" i="15"/>
  <c r="R487" i="15"/>
  <c r="Q487" i="15"/>
  <c r="P487" i="15" s="1"/>
  <c r="M487" i="15"/>
  <c r="L487" i="15"/>
  <c r="X487" i="15" s="1"/>
  <c r="S486" i="15"/>
  <c r="R486" i="15"/>
  <c r="Q486" i="15"/>
  <c r="P486" i="15" s="1"/>
  <c r="M486" i="15"/>
  <c r="L486" i="15"/>
  <c r="V486" i="15" s="1"/>
  <c r="S485" i="15"/>
  <c r="R485" i="15"/>
  <c r="Q485" i="15"/>
  <c r="P485" i="15" s="1"/>
  <c r="M485" i="15"/>
  <c r="L485" i="15"/>
  <c r="V485" i="15" s="1"/>
  <c r="N488" i="15" l="1"/>
  <c r="O488" i="15"/>
  <c r="P490" i="15"/>
  <c r="P489" i="15"/>
  <c r="N490" i="15"/>
  <c r="N486" i="15"/>
  <c r="O486" i="15"/>
  <c r="W486" i="15"/>
  <c r="X486" i="15"/>
  <c r="T488" i="15"/>
  <c r="U488" i="15"/>
  <c r="U485" i="15"/>
  <c r="N487" i="15"/>
  <c r="V488" i="15"/>
  <c r="T485" i="15"/>
  <c r="O487" i="15"/>
  <c r="W485" i="15"/>
  <c r="X485" i="15"/>
  <c r="T490" i="15"/>
  <c r="U490" i="15"/>
  <c r="T489" i="15"/>
  <c r="U489" i="15"/>
  <c r="X490" i="15"/>
  <c r="N485" i="15"/>
  <c r="W489" i="15"/>
  <c r="V490" i="15"/>
  <c r="V489" i="15"/>
  <c r="O485" i="15"/>
  <c r="T487" i="15"/>
  <c r="W488" i="15"/>
  <c r="U487" i="15"/>
  <c r="V487" i="15"/>
  <c r="T486" i="15"/>
  <c r="W487" i="15"/>
  <c r="U486" i="15"/>
  <c r="N489" i="15"/>
  <c r="S484" i="15"/>
  <c r="R484" i="15"/>
  <c r="Q484" i="15"/>
  <c r="P484" i="15" s="1"/>
  <c r="M484" i="15"/>
  <c r="L484" i="15"/>
  <c r="X484" i="15" s="1"/>
  <c r="S483" i="15"/>
  <c r="R483" i="15"/>
  <c r="Q483" i="15"/>
  <c r="P483" i="15" s="1"/>
  <c r="M483" i="15"/>
  <c r="L483" i="15"/>
  <c r="V483" i="15" s="1"/>
  <c r="S482" i="15"/>
  <c r="R482" i="15"/>
  <c r="Q482" i="15"/>
  <c r="N482" i="15" s="1"/>
  <c r="M482" i="15"/>
  <c r="L482" i="15"/>
  <c r="X482" i="15" s="1"/>
  <c r="S481" i="15"/>
  <c r="R481" i="15"/>
  <c r="Q481" i="15"/>
  <c r="P481" i="15" s="1"/>
  <c r="M481" i="15"/>
  <c r="L481" i="15"/>
  <c r="U481" i="15" s="1"/>
  <c r="S480" i="15"/>
  <c r="R480" i="15"/>
  <c r="Q480" i="15"/>
  <c r="O480" i="15" s="1"/>
  <c r="M480" i="15"/>
  <c r="L480" i="15"/>
  <c r="X480" i="15" s="1"/>
  <c r="S479" i="15"/>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80" i="15" l="1"/>
  <c r="N483" i="15"/>
  <c r="V480" i="15"/>
  <c r="W480" i="15"/>
  <c r="N484" i="15"/>
  <c r="O484" i="15"/>
  <c r="T482" i="15"/>
  <c r="U482" i="15"/>
  <c r="V482" i="15"/>
  <c r="T480" i="15"/>
  <c r="W482" i="15"/>
  <c r="O483" i="15"/>
  <c r="N480" i="15"/>
  <c r="O482" i="15"/>
  <c r="P482" i="15"/>
  <c r="W483" i="15"/>
  <c r="X483" i="15"/>
  <c r="T481" i="15"/>
  <c r="W481" i="15"/>
  <c r="V481" i="15"/>
  <c r="U480" i="15"/>
  <c r="X481" i="15"/>
  <c r="T484" i="15"/>
  <c r="U484" i="15"/>
  <c r="V484" i="15"/>
  <c r="N481" i="15"/>
  <c r="T483" i="15"/>
  <c r="W484" i="15"/>
  <c r="O481" i="15"/>
  <c r="U483" i="15"/>
  <c r="P476" i="15"/>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307" i="9" l="1"/>
  <c r="P6" i="9"/>
  <c r="Q179" i="9"/>
  <c r="Q192" i="9"/>
  <c r="P180" i="9"/>
  <c r="P7" i="9"/>
  <c r="P250" i="9"/>
  <c r="P15" i="9"/>
  <c r="P17" i="9"/>
  <c r="P295" i="9"/>
  <c r="Q72" i="9"/>
  <c r="P177" i="9"/>
  <c r="Q24" i="9"/>
  <c r="O32" i="9" s="1"/>
  <c r="P298" i="9"/>
  <c r="Q41" i="9"/>
  <c r="Q105" i="9"/>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Q108" i="9" l="1"/>
  <c r="P122" i="9" s="1"/>
  <c r="Q74" i="9"/>
  <c r="P112" i="9"/>
  <c r="P97" i="9"/>
  <c r="Q287" i="9"/>
  <c r="Q289" i="9" s="1"/>
  <c r="P289" i="9" s="1"/>
  <c r="Q27" i="9"/>
  <c r="P72" i="9" s="1"/>
  <c r="Q397" i="9"/>
  <c r="P397" i="9" s="1"/>
  <c r="P309" i="9"/>
  <c r="P349" i="9"/>
  <c r="P330" i="9"/>
  <c r="Q351" i="9"/>
  <c r="Q353" i="9" s="1"/>
  <c r="O24" i="9"/>
  <c r="P36" i="9" s="1"/>
  <c r="O112" i="9"/>
  <c r="P13" i="9"/>
  <c r="P304" i="9"/>
  <c r="P153" i="9"/>
  <c r="P118" i="9"/>
  <c r="Q231" i="9"/>
  <c r="Q233" i="9" s="1"/>
  <c r="P233" i="9" s="1"/>
  <c r="P135" i="9"/>
  <c r="Q155" i="9"/>
  <c r="P155" i="9" s="1"/>
  <c r="P186" i="9"/>
  <c r="Q186" i="9"/>
  <c r="P113" i="9"/>
  <c r="P121" i="9"/>
  <c r="O314" i="9"/>
  <c r="P314" i="9" s="1"/>
  <c r="O108" i="9"/>
  <c r="P108" i="9" s="1"/>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AL407" i="9" l="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2" i="9" l="1"/>
  <c r="J15" i="9"/>
  <c r="L31" i="9"/>
  <c r="L32" i="12"/>
  <c r="L241" i="9"/>
  <c r="AF496"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AI456" i="9" s="1"/>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D26" i="8"/>
  <c r="L60" i="12"/>
  <c r="J6" i="12"/>
  <c r="L58" i="12"/>
  <c r="L61" i="12"/>
  <c r="L63" i="12"/>
  <c r="F4" i="11"/>
  <c r="F15" i="11"/>
  <c r="G15" i="11" s="1"/>
  <c r="AG3" i="3"/>
  <c r="Q3" i="5"/>
  <c r="AI3" i="3"/>
  <c r="AH3" i="3"/>
  <c r="E42" i="8"/>
  <c r="S69" i="9"/>
  <c r="R181" i="9"/>
  <c r="AO473"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D112" i="9" l="1"/>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77" i="12" a="1"/>
  <c r="AL477" i="12" s="1"/>
  <c r="AO477"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Q188" i="12" a="1"/>
  <c r="Q188" i="12" s="1"/>
  <c r="S188"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S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S371" i="12" s="1"/>
  <c r="L390" i="12"/>
  <c r="S390" i="12" s="1"/>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S333" i="12"/>
  <c r="J185" i="12"/>
  <c r="D6" i="14"/>
  <c r="D8" i="14"/>
  <c r="S265" i="12"/>
  <c r="S337" i="12"/>
  <c r="D21" i="8"/>
  <c r="D27" i="8" s="1"/>
  <c r="D30" i="8"/>
  <c r="R308" i="9"/>
  <c r="R300" i="12"/>
  <c r="R298" i="12"/>
  <c r="E11" i="8"/>
  <c r="D64" i="8"/>
  <c r="E40" i="8"/>
  <c r="E38" i="8"/>
  <c r="R302" i="9"/>
  <c r="R298" i="9"/>
  <c r="R301" i="12"/>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66" i="9"/>
  <c r="AF446" i="9"/>
  <c r="AH446" i="9" s="1"/>
  <c r="AI446" i="9" s="1"/>
  <c r="S139" i="9"/>
  <c r="S147" i="9"/>
  <c r="S200" i="9"/>
  <c r="K15" i="12"/>
  <c r="S64"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AO440" i="12"/>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12" i="12"/>
  <c r="K99" i="12"/>
  <c r="R99" i="12"/>
  <c r="S348" i="12"/>
  <c r="S344" i="12"/>
  <c r="S216" i="12"/>
  <c r="V207" i="12"/>
  <c r="D5" i="14"/>
  <c r="S296" i="12"/>
  <c r="R303" i="9"/>
  <c r="S248" i="9"/>
  <c r="E7" i="8"/>
  <c r="S245" i="12"/>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78" i="12"/>
  <c r="S201" i="12"/>
  <c r="V206" i="12"/>
  <c r="S206" i="12"/>
  <c r="R360" i="9"/>
  <c r="E58" i="8"/>
  <c r="E52" i="8"/>
  <c r="R297" i="9"/>
  <c r="S6" i="10"/>
  <c r="R172" i="9"/>
  <c r="AO449" i="9"/>
  <c r="AO479" i="9"/>
  <c r="AO425" i="9"/>
  <c r="AO426" i="9"/>
  <c r="AO451" i="9"/>
  <c r="AO495" i="9"/>
  <c r="AO478" i="9"/>
  <c r="AO497" i="9"/>
  <c r="AO427" i="9"/>
  <c r="AO47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S295" i="12"/>
  <c r="L122" i="12"/>
  <c r="S323" i="12"/>
  <c r="S222" i="12"/>
  <c r="V208" i="12"/>
  <c r="AR474" i="12"/>
  <c r="E41" i="8"/>
  <c r="R307"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L242" i="12"/>
  <c r="S270" i="12"/>
  <c r="K266" i="12"/>
  <c r="L245" i="12"/>
  <c r="L250" i="12"/>
  <c r="S244" i="12"/>
  <c r="S142" i="12"/>
  <c r="C41" i="8"/>
  <c r="J362" i="9"/>
  <c r="K362" i="9" s="1"/>
  <c r="K360" i="9"/>
  <c r="B14" i="14"/>
  <c r="K307" i="12"/>
  <c r="AR455" i="12"/>
  <c r="AN455" i="12"/>
  <c r="AO455"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K23" i="21" l="1"/>
  <c r="S370" i="12"/>
  <c r="S386" i="12"/>
  <c r="S380" i="12"/>
  <c r="R302" i="12"/>
  <c r="Q179" i="12"/>
  <c r="S178" i="12"/>
  <c r="S388" i="12"/>
  <c r="S389" i="12"/>
  <c r="R303" i="12"/>
  <c r="S394" i="12"/>
  <c r="S381" i="12"/>
  <c r="J23" i="21"/>
  <c r="L23" i="21" s="1"/>
  <c r="M23" i="21" s="1"/>
  <c r="L6" i="21"/>
  <c r="M6" i="21" s="1"/>
  <c r="J33" i="10"/>
  <c r="J34" i="10" s="1"/>
  <c r="N83" i="9"/>
  <c r="P300" i="12"/>
  <c r="AN496" i="12"/>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S157" i="12"/>
  <c r="AN495" i="12"/>
  <c r="R296" i="12"/>
  <c r="S175" i="12"/>
  <c r="S373" i="12"/>
  <c r="AN494" i="12"/>
  <c r="AH440" i="12"/>
  <c r="AN497" i="12"/>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AN479" i="12" l="1"/>
  <c r="AN446" i="12"/>
  <c r="AO446" i="12" s="1"/>
  <c r="AN424" i="12"/>
  <c r="AO424" i="12" s="1"/>
  <c r="X466" i="9"/>
  <c r="N27" i="9"/>
  <c r="N85" i="9" s="1"/>
  <c r="AN441" i="12"/>
  <c r="AO441" i="12" s="1"/>
  <c r="N6" i="10"/>
  <c r="L24" i="21"/>
  <c r="M24" i="21" s="1"/>
  <c r="S304" i="12"/>
  <c r="S305" i="12" s="1"/>
  <c r="AN425" i="12"/>
  <c r="AN418" i="12"/>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N28" i="9" l="1"/>
  <c r="E108" i="12"/>
  <c r="P72" i="12"/>
  <c r="X407" i="9"/>
  <c r="AF407" i="9"/>
  <c r="AD407" i="9" s="1"/>
  <c r="P41" i="12"/>
  <c r="S27" i="12"/>
  <c r="S28" i="12" s="1"/>
  <c r="Q85" i="12"/>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Z488" i="12" s="1"/>
  <c r="Y488" i="12" s="1"/>
  <c r="U27" i="12"/>
  <c r="X433" i="12"/>
  <c r="S399" i="12"/>
  <c r="X481" i="12"/>
  <c r="AJ468" i="12"/>
  <c r="AJ419" i="12"/>
  <c r="AJ466" i="12"/>
  <c r="AL483" i="12"/>
  <c r="AL489" i="12" s="1"/>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L498" i="12" l="1"/>
  <c r="AL488" i="12"/>
  <c r="AK488" i="12" s="1"/>
  <c r="AK498" i="9"/>
  <c r="Y498" i="9"/>
  <c r="Y483" i="12"/>
  <c r="AK483" i="12"/>
  <c r="AJ407" i="12"/>
  <c r="Y489" i="12"/>
  <c r="Z498" i="12"/>
  <c r="AK498"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<sst xmlns="http://schemas.openxmlformats.org/spreadsheetml/2006/main" count="18164" uniqueCount="3961">
  <si>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</si>
  <si>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</si>
  <si>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</si>
  <si>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</si>
  <si>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</si>
  <si>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</si>
  <si>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</si>
  <si>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</si>
  <si>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</si>
  <si>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</si>
  <si>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</si>
  <si>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</si>
  <si>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</si>
  <si>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</si>
  <si>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</si>
  <si>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</si>
  <si>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</si>
  <si>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</si>
  <si>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</si>
  <si>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</si>
  <si>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</si>
  <si>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</si>
  <si>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</si>
  <si>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</si>
  <si>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</si>
  <si>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</si>
  <si>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</si>
  <si>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</si>
  <si>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</si>
  <si>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</si>
  <si>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</si>
  <si>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</si>
  <si>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</si>
  <si>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</si>
  <si>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</si>
  <si>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</si>
  <si>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</si>
  <si>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</si>
  <si>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</si>
  <si>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</si>
  <si>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</si>
  <si>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</si>
  <si>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</si>
  <si>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</si>
  <si>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</si>
  <si>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</si>
  <si>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</si>
  <si>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</si>
  <si>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</si>
  <si>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</si>
  <si>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</si>
  <si>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</si>
  <si>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</si>
  <si>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</si>
  <si>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</si>
  <si>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</si>
  <si>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</si>
  <si>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</si>
  <si>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</si>
  <si>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</si>
  <si>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</si>
  <si>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</si>
  <si>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</si>
  <si>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</si>
  <si>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</si>
  <si>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</si>
  <si>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</si>
  <si>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</si>
  <si>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</si>
  <si>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</si>
  <si>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</si>
  <si>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</si>
  <si>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</si>
  <si>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</si>
  <si>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</si>
  <si>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</si>
  <si>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</si>
  <si>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</si>
  <si>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</si>
  <si>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</si>
  <si>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</si>
  <si>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</si>
  <si>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</si>
  <si>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</si>
  <si>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</si>
  <si>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</si>
  <si>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</si>
  <si>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</si>
  <si>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</si>
  <si>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</si>
  <si>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</si>
  <si>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</si>
  <si>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</si>
  <si>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</si>
  <si>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</si>
  <si>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</si>
  <si>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</si>
  <si>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</si>
  <si>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</si>
  <si>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</si>
  <si>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</si>
  <si>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</si>
  <si>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</si>
  <si>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</si>
  <si>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</si>
  <si>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</si>
  <si>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</si>
  <si>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</si>
  <si>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</si>
  <si>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</si>
  <si>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</si>
  <si>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</si>
  <si>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</si>
  <si>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</si>
  <si>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</si>
  <si>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</si>
  <si>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</si>
  <si>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</si>
  <si>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</si>
  <si>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</si>
  <si>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</si>
  <si>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</si>
  <si>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</si>
  <si>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</si>
  <si>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</si>
  <si>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</si>
  <si>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</si>
  <si>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</si>
  <si>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</si>
  <si>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</si>
  <si>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</si>
  <si>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</si>
  <si>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</si>
  <si>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</si>
  <si>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</si>
  <si>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</si>
  <si>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</si>
  <si>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</si>
  <si>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</si>
  <si>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</si>
  <si>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</si>
  <si>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</si>
  <si>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</si>
  <si>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</si>
  <si>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</si>
  <si>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</si>
  <si>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</si>
  <si>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</si>
  <si>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</si>
  <si>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</si>
  <si>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</si>
  <si>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</si>
  <si>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</si>
  <si>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</si>
  <si>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</si>
  <si>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</si>
  <si>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</si>
  <si>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</si>
  <si>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</si>
  <si>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</si>
  <si>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</si>
  <si>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</si>
  <si>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</si>
  <si>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</si>
  <si>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</si>
  <si>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</si>
  <si>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</si>
  <si>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</si>
  <si>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</si>
  <si>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</si>
  <si>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</si>
  <si>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</si>
  <si>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</si>
  <si>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</si>
  <si>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</si>
  <si>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</si>
  <si>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</si>
  <si>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</si>
  <si>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</si>
  <si>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</si>
  <si>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</si>
  <si>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</si>
  <si>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</si>
  <si>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</si>
  <si>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</si>
  <si>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</si>
  <si>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</si>
  <si>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</si>
  <si>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</si>
  <si>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</si>
  <si>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</si>
  <si>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</si>
  <si>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</si>
  <si>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</si>
  <si>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</si>
  <si>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</si>
  <si>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</si>
  <si>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</si>
  <si>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</si>
  <si>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</si>
  <si>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</si>
  <si>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</si>
  <si>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</si>
  <si>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</si>
  <si>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</si>
  <si>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</si>
  <si>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</si>
  <si>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</si>
  <si>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</si>
  <si>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</si>
  <si>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</si>
  <si>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</si>
  <si>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</si>
  <si>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</si>
  <si>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</si>
  <si>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</si>
  <si>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</si>
  <si>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</si>
  <si>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</si>
  <si>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</si>
  <si>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</si>
  <si>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</si>
  <si>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</si>
  <si>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</si>
  <si>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</si>
  <si>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</si>
  <si>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</si>
  <si>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</si>
  <si>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</si>
  <si>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</si>
  <si>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</si>
  <si>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</si>
  <si>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</si>
  <si>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</si>
  <si>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</si>
  <si>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</si>
  <si>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</si>
  <si>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</si>
  <si>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</si>
  <si>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</si>
  <si>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</si>
  <si>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</si>
  <si>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</si>
  <si>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</si>
  <si>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</si>
  <si>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</si>
  <si>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</si>
  <si>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</si>
  <si>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</si>
  <si>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</si>
  <si>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</si>
  <si>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</si>
  <si>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</si>
  <si>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</si>
  <si>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</si>
  <si>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</si>
  <si>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</si>
  <si>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</si>
  <si>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</si>
  <si>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</si>
  <si>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</si>
  <si>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</si>
  <si>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</si>
  <si>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</si>
  <si>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</si>
  <si>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</si>
  <si>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</si>
  <si>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</si>
  <si>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</si>
  <si>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</si>
  <si>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</si>
  <si>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</si>
  <si>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</si>
  <si>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</si>
  <si>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</si>
  <si>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</si>
  <si>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</si>
  <si>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</si>
  <si>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</si>
  <si>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</si>
  <si>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</si>
  <si>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</si>
  <si>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</si>
  <si>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</si>
  <si>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</si>
  <si>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</si>
  <si>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</si>
  <si>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</si>
  <si>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</si>
  <si>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</si>
  <si>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</si>
  <si>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</si>
  <si>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</si>
  <si>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</si>
  <si>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</si>
  <si>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</si>
  <si>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</si>
  <si>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</si>
  <si>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</si>
  <si>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</si>
  <si>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</si>
  <si>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</si>
  <si>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</si>
  <si>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</si>
  <si>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</si>
  <si>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</si>
  <si>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</si>
  <si>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</si>
  <si>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</si>
  <si>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</si>
  <si>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</si>
  <si>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</si>
  <si>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</si>
  <si>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</si>
  <si>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</si>
  <si>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</si>
  <si>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</si>
  <si>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</si>
  <si>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</si>
  <si>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</si>
  <si>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</si>
  <si>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</si>
  <si>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</si>
  <si>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</si>
  <si>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</si>
  <si>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</si>
  <si>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</si>
  <si>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</si>
  <si>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</si>
  <si>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</si>
  <si>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</si>
  <si>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</si>
  <si>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</si>
  <si>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</si>
  <si>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</si>
  <si>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</si>
  <si>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</si>
  <si>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</si>
  <si>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</si>
  <si>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</si>
  <si>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</si>
  <si>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</si>
  <si>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</si>
  <si>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</si>
  <si>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</si>
  <si>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</si>
  <si>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</si>
  <si>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</si>
  <si>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</si>
  <si>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</si>
  <si>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</si>
  <si>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</si>
  <si>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</si>
  <si>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</si>
  <si>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</si>
  <si>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</si>
  <si>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</si>
  <si>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</si>
  <si>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</si>
  <si>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</si>
  <si>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</si>
  <si>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</si>
  <si>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</si>
  <si>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</si>
  <si>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</si>
  <si>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</si>
  <si>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</si>
  <si>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</si>
  <si>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</si>
  <si>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</si>
  <si>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</si>
  <si>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</si>
  <si>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</si>
  <si>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</si>
  <si>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</si>
  <si>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</si>
  <si>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</si>
  <si>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</si>
  <si>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</si>
  <si>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</si>
  <si>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</si>
  <si>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</si>
  <si>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</si>
  <si>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</si>
  <si>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</si>
  <si>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</si>
  <si>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</si>
  <si>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</si>
  <si>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</si>
  <si>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</si>
  <si>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</si>
  <si>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</si>
  <si>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</si>
  <si>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</si>
  <si>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</si>
  <si>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</si>
  <si>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</si>
  <si>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</si>
  <si>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</si>
  <si>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</si>
  <si>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</si>
  <si>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</si>
  <si>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</si>
  <si>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</si>
  <si>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</si>
  <si>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</si>
  <si>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</si>
  <si>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</si>
  <si>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</si>
  <si>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</si>
  <si>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</si>
  <si>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</si>
  <si>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</si>
  <si>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</si>
  <si>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</si>
  <si>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</si>
  <si>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</si>
  <si>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</si>
  <si>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</si>
  <si>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</si>
  <si>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</si>
  <si>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</si>
  <si>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</si>
  <si>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</si>
  <si>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</si>
  <si>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</si>
  <si>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</si>
  <si>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</si>
  <si>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</si>
  <si>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</si>
  <si>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</si>
  <si>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</si>
  <si>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</si>
  <si>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</si>
  <si>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</si>
  <si>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</si>
  <si>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</si>
  <si>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</si>
  <si>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</si>
  <si>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</si>
  <si>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</si>
  <si>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</si>
  <si>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</si>
  <si>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</si>
  <si>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</si>
  <si>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</si>
  <si>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</si>
  <si>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</si>
  <si>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</si>
  <si>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</si>
  <si>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</si>
  <si>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</si>
  <si>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</si>
  <si>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</si>
  <si>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</si>
  <si>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</si>
  <si>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</si>
  <si>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</si>
  <si>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</si>
  <si>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</si>
  <si>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</si>
  <si>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</si>
  <si>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</si>
  <si>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</si>
  <si>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</si>
  <si>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</si>
  <si>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</si>
  <si>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</si>
  <si>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</si>
  <si>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</si>
  <si>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</si>
  <si>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</si>
  <si>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</si>
  <si>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</si>
  <si>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</si>
  <si>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</si>
  <si>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</si>
  <si>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</si>
  <si>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</si>
  <si>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</si>
  <si>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</si>
  <si>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</si>
  <si>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</si>
  <si>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</si>
  <si>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</si>
  <si>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</si>
  <si>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</si>
  <si>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</si>
  <si>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</si>
  <si>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</si>
  <si>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</si>
  <si>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</si>
  <si>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</si>
  <si>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</si>
  <si>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</si>
  <si>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</si>
  <si>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</si>
  <si>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</si>
  <si>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</si>
  <si>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</si>
  <si>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</si>
  <si>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</si>
  <si>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</si>
  <si>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</si>
  <si>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</si>
  <si>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</si>
  <si>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</si>
  <si>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</si>
  <si>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</si>
  <si>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</si>
  <si>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</si>
  <si>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</si>
  <si>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</si>
  <si>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</si>
  <si>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</si>
  <si>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</si>
  <si>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</si>
  <si>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</si>
  <si>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</si>
  <si>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</si>
  <si>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</si>
  <si>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</si>
  <si>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</si>
  <si>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</si>
  <si>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</si>
  <si>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</si>
  <si>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</si>
  <si>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</si>
  <si>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</si>
  <si>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</si>
  <si>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</si>
  <si>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</si>
  <si>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</si>
  <si>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</si>
  <si>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</si>
  <si>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</si>
  <si>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</si>
  <si>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</si>
  <si>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</si>
  <si>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</si>
  <si>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</si>
  <si>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</si>
  <si>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</si>
  <si>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</si>
  <si>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</si>
  <si>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</si>
  <si>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</si>
  <si>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</si>
  <si>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</si>
  <si>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</si>
  <si>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</si>
  <si>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</si>
  <si>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</si>
  <si>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</si>
  <si>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</si>
  <si>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</si>
  <si>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</si>
  <si>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</si>
  <si>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</si>
  <si>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</si>
  <si>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</si>
  <si>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</si>
  <si>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</si>
  <si>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</si>
  <si>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</si>
  <si>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</si>
  <si>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</si>
  <si>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</si>
  <si>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</si>
  <si>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</si>
  <si>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</si>
  <si>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</si>
  <si>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</si>
  <si>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</si>
  <si>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</si>
  <si>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</si>
  <si>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</si>
  <si>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</si>
  <si>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</si>
  <si>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</si>
  <si>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</si>
  <si>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</si>
  <si>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</si>
  <si>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</si>
  <si>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</si>
  <si>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</si>
  <si>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</si>
  <si>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</si>
  <si>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</si>
  <si>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</si>
  <si>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</si>
  <si>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</si>
  <si>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</si>
  <si>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</si>
  <si>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</si>
  <si>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</si>
  <si>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</si>
  <si>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</si>
  <si>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</si>
  <si>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</si>
  <si>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</si>
  <si>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</si>
  <si>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</si>
  <si>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</si>
  <si>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</si>
  <si>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</si>
  <si>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</si>
  <si>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</si>
  <si>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</si>
  <si>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</si>
  <si>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</si>
  <si>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</si>
  <si>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</si>
  <si>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</si>
  <si>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</si>
  <si>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</si>
  <si>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</si>
  <si>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</si>
  <si>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</si>
  <si>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</si>
  <si>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</si>
  <si>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</si>
  <si>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</si>
  <si>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</si>
  <si>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</si>
  <si>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</si>
  <si>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</si>
  <si>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</si>
  <si>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</si>
  <si>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</si>
  <si>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</si>
  <si>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</si>
  <si>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</si>
  <si>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</si>
  <si>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</si>
  <si>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</si>
  <si>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</si>
  <si>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</si>
  <si>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</si>
  <si>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</si>
  <si>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</si>
  <si>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</si>
  <si>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</si>
  <si>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</si>
  <si>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</si>
  <si>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</si>
  <si>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</si>
  <si>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</si>
  <si>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</si>
  <si>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</si>
  <si>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</si>
  <si>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</si>
  <si>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</si>
  <si>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</si>
  <si>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</si>
  <si>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</si>
  <si>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</si>
  <si>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</si>
  <si>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</si>
  <si>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</si>
  <si>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</si>
  <si>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</si>
  <si>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</si>
  <si>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</si>
  <si>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</si>
  <si>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</si>
  <si>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</si>
  <si>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</si>
  <si>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</si>
  <si>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</si>
  <si>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</si>
  <si>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</si>
  <si>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</si>
  <si>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</si>
  <si>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</si>
  <si>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</si>
  <si>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</si>
  <si>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</si>
  <si>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</si>
  <si>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</si>
  <si>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</si>
  <si>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</si>
  <si>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</si>
  <si>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</si>
  <si>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</si>
  <si>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</si>
  <si>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</si>
  <si>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</si>
  <si>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</si>
  <si>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</si>
  <si>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</si>
  <si>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</si>
  <si>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</si>
  <si>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</si>
  <si>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</si>
  <si>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</si>
  <si>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</si>
  <si>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</si>
  <si>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</si>
  <si>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</si>
  <si>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</si>
  <si>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</si>
  <si>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</si>
  <si>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</si>
  <si>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</si>
  <si>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</si>
  <si>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</si>
  <si>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</si>
  <si>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</si>
  <si>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</si>
  <si>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</si>
  <si>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</si>
  <si>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</si>
  <si>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</si>
  <si>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</si>
  <si>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</si>
  <si>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</si>
  <si>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</si>
  <si>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</si>
  <si>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</si>
  <si>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</si>
  <si>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</si>
  <si>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</si>
  <si>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</si>
  <si>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</si>
  <si>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</si>
  <si>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</si>
  <si>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</si>
  <si>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</si>
  <si>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</si>
  <si>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</si>
  <si>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</si>
  <si>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</si>
  <si>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</si>
  <si>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</si>
  <si>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</si>
  <si>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</si>
  <si>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</si>
  <si>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</si>
  <si>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</si>
  <si>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</si>
  <si>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</si>
  <si>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</si>
  <si>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</si>
  <si>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</si>
  <si>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</si>
  <si>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</si>
  <si>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</si>
  <si>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</si>
  <si>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</si>
  <si>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</si>
  <si>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</si>
  <si>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</si>
  <si>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</si>
  <si>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</si>
  <si>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</si>
  <si>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</si>
  <si>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</si>
  <si>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</si>
  <si>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</si>
  <si>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</si>
  <si>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</si>
  <si>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</si>
  <si>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</si>
  <si>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</si>
  <si>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</si>
  <si>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</si>
  <si>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</si>
  <si>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</si>
  <si>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</si>
  <si>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</si>
  <si>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</si>
  <si>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</si>
  <si>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</si>
  <si>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</si>
  <si>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</si>
  <si>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</si>
  <si>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</si>
  <si>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</si>
  <si>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</si>
  <si>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</si>
  <si>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</si>
  <si>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</si>
  <si>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</si>
  <si>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</si>
  <si>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</si>
  <si>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</si>
  <si>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</si>
  <si>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</si>
  <si>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</si>
  <si>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</si>
  <si>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</si>
  <si>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</si>
  <si>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</si>
  <si>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</si>
  <si>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</si>
  <si>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</si>
  <si>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</si>
  <si>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</si>
  <si>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</si>
  <si>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</si>
  <si>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</si>
  <si>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</si>
  <si>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</si>
  <si>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</si>
  <si>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</si>
  <si>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</si>
  <si>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</si>
  <si>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</si>
  <si>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</si>
  <si>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</si>
  <si>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</si>
  <si>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</si>
  <si>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</si>
  <si>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</si>
  <si>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</si>
  <si>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</si>
  <si>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</si>
  <si>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</si>
  <si>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</si>
  <si>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</si>
  <si>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</si>
  <si>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</si>
  <si>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</si>
  <si>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</si>
  <si>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</si>
  <si>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</si>
  <si>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</si>
  <si>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</si>
  <si>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</si>
  <si>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</si>
  <si>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</si>
  <si>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</si>
  <si>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</si>
  <si>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</si>
  <si>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</si>
  <si>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</si>
  <si>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</si>
  <si>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</si>
  <si>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</si>
  <si>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</si>
  <si>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</si>
  <si>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</si>
  <si>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</si>
  <si>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</si>
  <si>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</si>
  <si>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</si>
  <si>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</si>
  <si>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</si>
  <si>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</si>
  <si>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</si>
  <si>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</si>
  <si>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</si>
  <si>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</si>
  <si>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</si>
  <si>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</si>
  <si>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</si>
  <si>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</si>
  <si>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</si>
  <si>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</si>
  <si>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</si>
  <si>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</si>
  <si>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</si>
  <si>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</si>
  <si>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</si>
  <si>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</si>
  <si>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</si>
  <si>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</si>
  <si>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</si>
  <si>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</si>
  <si>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</si>
  <si>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</si>
  <si>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</si>
  <si>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</si>
  <si>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</si>
  <si>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</si>
  <si>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</si>
  <si>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</si>
  <si>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</si>
  <si>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</si>
  <si>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</si>
  <si>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</si>
  <si>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</si>
  <si>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</si>
  <si>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</si>
  <si>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</si>
  <si>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</si>
  <si>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</si>
  <si>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</si>
  <si>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</si>
  <si>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</si>
  <si>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</si>
  <si>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</si>
  <si>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</si>
  <si>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</si>
  <si>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</si>
  <si>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</si>
  <si>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</si>
  <si>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</si>
  <si>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</si>
  <si>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</si>
  <si>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</si>
  <si>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</si>
  <si>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</si>
  <si>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</si>
  <si>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</si>
  <si>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</si>
  <si>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</si>
  <si>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</si>
  <si>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</si>
  <si>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</si>
  <si>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</si>
  <si>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</si>
  <si>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</si>
  <si>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</si>
  <si>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</si>
  <si>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</si>
  <si>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</si>
  <si>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</si>
  <si>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</si>
  <si>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</si>
  <si>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</si>
  <si>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</si>
  <si>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</si>
  <si>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</si>
  <si>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</si>
  <si>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</si>
  <si>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</si>
  <si>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</si>
  <si>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</si>
  <si>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</si>
  <si>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</si>
  <si>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</si>
  <si>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</si>
  <si>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</si>
  <si>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</si>
  <si>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</si>
  <si>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</si>
  <si>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</si>
  <si>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</si>
  <si>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</si>
  <si>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</si>
  <si>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</si>
  <si>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</si>
  <si>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</si>
  <si>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</si>
  <si>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</si>
  <si>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</si>
  <si>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</si>
  <si>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</si>
  <si>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</si>
  <si>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</si>
  <si>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</si>
  <si>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</si>
  <si>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</si>
  <si>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</si>
  <si>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</si>
  <si>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</si>
  <si>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</si>
  <si>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</si>
  <si>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</si>
  <si>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</si>
  <si>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</si>
  <si>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</si>
  <si>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</si>
  <si>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</si>
  <si>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</si>
  <si>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</si>
  <si>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</si>
  <si>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</si>
  <si>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</si>
  <si>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</si>
  <si>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</si>
  <si>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</si>
  <si>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</si>
  <si>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</si>
  <si>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</si>
  <si>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</si>
  <si>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</si>
  <si>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</si>
  <si>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</si>
  <si>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</si>
  <si>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</si>
  <si>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</si>
  <si>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</si>
  <si>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</si>
  <si>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</si>
  <si>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</si>
  <si>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</si>
  <si>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</si>
  <si>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</si>
  <si>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</si>
  <si>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</si>
  <si>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</si>
  <si>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</si>
  <si>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</si>
  <si>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</si>
  <si>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</si>
  <si>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</si>
  <si>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</si>
  <si>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</si>
  <si>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</si>
  <si>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</si>
  <si>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</si>
  <si>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</si>
  <si>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</si>
  <si>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</si>
  <si>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</si>
  <si>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</si>
  <si>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</si>
  <si>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</si>
  <si>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</si>
  <si>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</si>
  <si>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</si>
  <si>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</si>
  <si>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</si>
  <si>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</si>
  <si>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</si>
  <si>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</si>
  <si>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</si>
  <si>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</si>
  <si>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</si>
  <si>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</si>
  <si>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</si>
  <si>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</si>
  <si>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</si>
  <si>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</si>
  <si>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</si>
  <si>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</si>
  <si>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</si>
  <si>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</si>
  <si>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</si>
  <si>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</si>
  <si>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</si>
  <si>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</si>
  <si>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</si>
  <si>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</si>
  <si>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</si>
  <si>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</si>
  <si>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</si>
  <si>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</si>
  <si>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</si>
  <si>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</si>
  <si>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</si>
  <si>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</si>
  <si>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</si>
  <si>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</si>
  <si>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</si>
  <si>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</si>
  <si>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</si>
  <si>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</si>
  <si>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</si>
  <si>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</si>
  <si>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</si>
  <si>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</si>
  <si>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</si>
  <si>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</si>
  <si>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</si>
  <si>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</si>
  <si>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</si>
  <si>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</si>
  <si>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</si>
  <si>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</si>
  <si>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</si>
  <si>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</si>
  <si>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</si>
  <si>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</si>
  <si>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</si>
  <si>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</si>
  <si>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</si>
  <si>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</si>
  <si>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</si>
  <si>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</si>
  <si>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</si>
  <si>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</si>
  <si>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</si>
  <si>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</si>
  <si>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</si>
  <si>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</si>
  <si>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</si>
  <si>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</si>
  <si>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</si>
  <si>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</si>
  <si>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</si>
  <si>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</si>
  <si>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</si>
  <si>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</si>
  <si>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</si>
  <si>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</si>
  <si>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</si>
  <si>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</si>
  <si>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</si>
  <si>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</si>
  <si>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</si>
  <si>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</si>
  <si>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</si>
  <si>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</si>
  <si>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</si>
  <si>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</si>
  <si>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</si>
  <si>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</si>
  <si>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</si>
  <si>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</si>
  <si>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</si>
  <si>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</si>
  <si>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</si>
  <si>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</si>
  <si>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</si>
  <si>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</si>
  <si>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</si>
  <si>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</si>
  <si>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</si>
  <si>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</si>
  <si>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</si>
  <si>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</si>
  <si>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</si>
  <si>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</si>
  <si>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</si>
  <si>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</si>
  <si>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</si>
  <si>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</si>
  <si>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</si>
  <si>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</si>
  <si>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</si>
  <si>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</si>
  <si>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</si>
  <si>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</si>
  <si>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</si>
  <si>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</si>
  <si>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</si>
  <si>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</si>
  <si>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</si>
  <si>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</si>
  <si>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</si>
  <si>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</si>
  <si>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</si>
  <si>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</si>
  <si>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</si>
  <si>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</si>
  <si>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</si>
  <si>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</si>
  <si>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</si>
  <si>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</si>
  <si>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</si>
  <si>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</si>
  <si>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</si>
  <si>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</si>
  <si>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</si>
  <si>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</si>
  <si>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</si>
  <si>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</si>
  <si>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</si>
  <si>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</si>
  <si>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</si>
  <si>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</si>
  <si>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</si>
  <si>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</si>
  <si>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</si>
  <si>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</si>
  <si>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</si>
  <si>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</si>
  <si>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</si>
  <si>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</si>
  <si>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</si>
  <si>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</si>
  <si>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</si>
  <si>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</si>
  <si>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</si>
  <si>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</si>
  <si>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</si>
  <si>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</si>
  <si>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</si>
  <si>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</si>
  <si>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</si>
  <si>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</si>
  <si>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</si>
  <si>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</si>
  <si>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</si>
  <si>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</si>
  <si>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</si>
  <si>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</si>
  <si>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</si>
  <si>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</si>
  <si>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</si>
  <si>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</si>
  <si>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</si>
  <si>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</si>
  <si>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</si>
  <si>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</si>
  <si>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</si>
  <si>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</si>
  <si>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</si>
  <si>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</si>
  <si>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</si>
  <si>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</si>
  <si>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</si>
  <si>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</si>
  <si>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</si>
  <si>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</si>
  <si>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</si>
  <si>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</si>
  <si>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</si>
  <si>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</si>
  <si>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</si>
  <si>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</si>
  <si>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</si>
  <si>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</si>
  <si>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</si>
  <si>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</si>
  <si>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</si>
  <si>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</si>
  <si>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</si>
  <si>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</si>
  <si>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</si>
  <si>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</si>
  <si>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</si>
  <si>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</si>
  <si>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</si>
  <si>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</si>
  <si>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</si>
  <si>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</si>
  <si>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</si>
  <si>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</si>
  <si>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</si>
  <si>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</si>
  <si>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</si>
  <si>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</si>
  <si>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</si>
  <si>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</si>
  <si>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</si>
  <si>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</si>
  <si>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</si>
  <si>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</si>
  <si>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</si>
  <si>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</si>
  <si>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</si>
  <si>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</si>
  <si>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</si>
  <si>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</si>
  <si>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</si>
  <si>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</si>
  <si>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</si>
  <si>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</si>
  <si>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</si>
  <si>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</si>
  <si>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</si>
  <si>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</si>
  <si>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</si>
  <si>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</si>
  <si>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</si>
  <si>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</si>
  <si>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</si>
  <si>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</si>
  <si>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</si>
  <si>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</si>
  <si>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</si>
  <si>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</si>
  <si>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</si>
  <si>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</si>
  <si>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</si>
  <si>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</si>
  <si>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</si>
  <si>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</si>
  <si>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</si>
  <si>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</si>
  <si>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</si>
  <si>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</si>
  <si>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</si>
  <si>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</si>
  <si>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</si>
  <si>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</si>
  <si>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</si>
  <si>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</si>
  <si>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</si>
  <si>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</si>
  <si>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</si>
  <si>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</si>
  <si>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</si>
  <si>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</si>
  <si>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</si>
  <si>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</si>
  <si>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</si>
  <si>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</si>
  <si>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</si>
  <si>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</si>
  <si>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</si>
  <si>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</si>
  <si>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</si>
  <si>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</si>
  <si>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</si>
  <si>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</si>
  <si>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</si>
  <si>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</si>
  <si>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</si>
  <si>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</si>
  <si>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</si>
  <si>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</si>
  <si>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</si>
  <si>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</si>
  <si>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</si>
  <si>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</si>
  <si>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</si>
  <si>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</si>
  <si>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</si>
  <si>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</si>
  <si>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</si>
  <si>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</si>
  <si>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</si>
  <si>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</si>
  <si>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</si>
  <si>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</si>
  <si>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</si>
  <si>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</si>
  <si>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</si>
  <si>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</si>
  <si>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</si>
  <si>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</si>
  <si>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</si>
  <si>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</si>
  <si>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</si>
  <si>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</si>
  <si>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</si>
  <si>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</si>
  <si>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</si>
  <si>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</si>
  <si>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</si>
  <si>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</si>
  <si>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</si>
  <si>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</si>
  <si>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</si>
  <si>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</si>
  <si>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</si>
  <si>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</si>
  <si>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</si>
  <si>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</si>
  <si>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</si>
  <si>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</si>
  <si>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</si>
  <si>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</si>
  <si>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</si>
  <si>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</si>
  <si>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</si>
  <si>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</si>
  <si>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</si>
  <si>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</si>
  <si>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</si>
  <si>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</si>
  <si>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</si>
  <si>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</si>
  <si>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</si>
  <si>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</si>
  <si>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</si>
  <si>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</si>
  <si>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</si>
  <si>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</si>
  <si>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</si>
  <si>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</si>
  <si>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</si>
  <si>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</si>
  <si>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</si>
  <si>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</si>
  <si>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</si>
  <si>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</si>
  <si>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</si>
  <si>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</si>
  <si>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</si>
  <si>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</si>
  <si>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</si>
  <si>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</si>
  <si>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</si>
  <si>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</si>
  <si>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</si>
  <si>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</si>
  <si>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</si>
  <si>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</si>
  <si>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</si>
  <si>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</si>
  <si>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</si>
  <si>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</si>
  <si>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</si>
  <si>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</si>
  <si>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</si>
  <si>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</si>
  <si>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</si>
  <si>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</si>
  <si>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</si>
  <si>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</si>
  <si>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</si>
  <si>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</si>
  <si>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</si>
  <si>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</si>
  <si>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</si>
  <si>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</si>
  <si>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</si>
  <si>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</si>
  <si>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</si>
  <si>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</si>
  <si>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</si>
  <si>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</si>
  <si>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</si>
  <si>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</si>
  <si>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</si>
  <si>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</si>
  <si>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</si>
  <si>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</si>
  <si>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</si>
  <si>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</si>
  <si>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</si>
  <si>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</si>
  <si>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</si>
  <si>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</si>
  <si>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</si>
  <si>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</si>
  <si>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</si>
  <si>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</si>
  <si>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</si>
  <si>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</si>
  <si>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</si>
  <si>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</si>
  <si>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</si>
  <si>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</si>
  <si>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</si>
  <si>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</si>
  <si>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</si>
  <si>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</si>
  <si>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</si>
  <si>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</si>
  <si>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</si>
  <si>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</si>
  <si>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</si>
  <si>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</si>
  <si>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</si>
  <si>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</si>
  <si>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</si>
  <si>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</si>
  <si>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</si>
  <si>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</si>
  <si>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</si>
  <si>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</si>
  <si>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</si>
  <si>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</si>
  <si>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</si>
  <si>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</si>
  <si>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</si>
  <si>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</si>
  <si>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</si>
  <si>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</si>
  <si>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</si>
  <si>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</si>
  <si>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</si>
  <si>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</si>
  <si>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</si>
  <si>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</si>
  <si>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</si>
  <si>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</si>
  <si>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</si>
  <si>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</si>
  <si>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</si>
  <si>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</si>
  <si>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</si>
  <si>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</si>
  <si>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</si>
  <si>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</si>
  <si>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</si>
  <si>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</si>
  <si>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</si>
  <si>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</si>
  <si>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</si>
  <si>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</si>
  <si>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</si>
  <si>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</si>
  <si>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</si>
  <si>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</si>
  <si>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</si>
  <si>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</si>
  <si>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</si>
  <si>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</si>
  <si>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</si>
  <si>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</si>
  <si>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</si>
  <si>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</si>
  <si>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</si>
  <si>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</si>
  <si>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</si>
  <si>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</si>
  <si>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</si>
  <si>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</si>
  <si>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</si>
  <si>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</si>
  <si>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</si>
  <si>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</si>
  <si>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</si>
  <si>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</si>
  <si>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</si>
  <si>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</si>
  <si>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</si>
  <si>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</si>
  <si>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</si>
  <si>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</si>
  <si>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</si>
  <si>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</si>
  <si>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</si>
  <si>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</si>
  <si>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</si>
  <si>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</si>
  <si>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</si>
  <si>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</si>
  <si>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</si>
  <si>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</si>
  <si>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</si>
  <si>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</si>
  <si>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</si>
  <si>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</si>
  <si>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</si>
  <si>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</si>
  <si>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</si>
  <si>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</si>
  <si>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</si>
  <si>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</si>
  <si>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</si>
  <si>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</si>
  <si>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</si>
  <si>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</si>
  <si>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</si>
  <si>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</si>
  <si>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</si>
  <si>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</si>
  <si>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</si>
  <si>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</si>
  <si>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</si>
  <si>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</si>
  <si>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</si>
  <si>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</si>
  <si>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</si>
  <si>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</si>
  <si>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</si>
  <si>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</si>
  <si>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</si>
  <si>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</si>
  <si>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</si>
  <si>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</si>
  <si>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</si>
  <si>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</si>
  <si>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</si>
  <si>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</si>
  <si>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</si>
  <si>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</si>
  <si>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</si>
  <si>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</si>
  <si>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</si>
  <si>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</si>
  <si>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</si>
  <si>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</si>
  <si>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</si>
  <si>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</si>
  <si>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</si>
  <si>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</si>
  <si>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</si>
  <si>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</si>
  <si>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</si>
  <si>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</si>
  <si>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</si>
  <si>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</si>
  <si>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</si>
  <si>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</si>
  <si>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</si>
  <si>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</si>
  <si>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</si>
  <si>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</si>
  <si>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</si>
  <si>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</si>
  <si>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</si>
  <si>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</si>
  <si>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</si>
  <si>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</si>
  <si>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</si>
  <si>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</si>
  <si>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</si>
  <si>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</si>
  <si>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</si>
  <si>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</si>
  <si>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</si>
  <si>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</si>
  <si>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</si>
  <si>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</si>
  <si>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</si>
  <si>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</si>
  <si>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</si>
  <si>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</si>
  <si>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</si>
  <si>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</si>
  <si>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</si>
  <si>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</si>
  <si>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</si>
  <si>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</si>
  <si>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</si>
  <si>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</si>
  <si>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</si>
  <si>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</si>
  <si>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</si>
  <si>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</si>
  <si>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</si>
  <si>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</si>
  <si>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</si>
  <si>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</si>
  <si>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</si>
  <si>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</si>
  <si>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</si>
  <si>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</si>
  <si>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</si>
  <si>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</si>
  <si>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</si>
  <si>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</si>
  <si>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</si>
  <si>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</si>
  <si>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</si>
  <si>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</si>
  <si>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</si>
  <si>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</si>
  <si>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</si>
  <si>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</si>
  <si>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</si>
  <si>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</si>
  <si>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</si>
  <si>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</si>
  <si>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</si>
  <si>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</si>
  <si>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</si>
  <si>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</si>
  <si>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</si>
  <si>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</si>
  <si>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</si>
  <si>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</si>
  <si>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</si>
  <si>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</si>
  <si>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</si>
  <si>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</si>
  <si>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</si>
  <si>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</si>
  <si>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</si>
  <si>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</si>
  <si>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</si>
  <si>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</si>
  <si>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</si>
  <si>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</si>
  <si>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</si>
  <si>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</si>
  <si>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</si>
  <si>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</si>
  <si>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</si>
  <si>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</si>
  <si>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</si>
  <si>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</si>
  <si>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</si>
  <si>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</si>
  <si>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</si>
  <si>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</si>
  <si>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</si>
  <si>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</si>
  <si>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</si>
  <si>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</si>
  <si>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</si>
  <si>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</si>
  <si>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</si>
  <si>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</si>
  <si>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</si>
  <si>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</si>
  <si>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</si>
  <si>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</si>
  <si>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</si>
  <si>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</si>
  <si>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</si>
  <si>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</si>
  <si>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</si>
  <si>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</si>
  <si>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</si>
  <si>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</si>
  <si>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</si>
  <si>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</si>
  <si>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</si>
  <si>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</si>
  <si>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</si>
  <si>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</si>
  <si>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</si>
  <si>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</si>
  <si>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</si>
  <si>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</si>
  <si>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</si>
  <si>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</si>
  <si>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</si>
  <si>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</si>
  <si>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</si>
  <si>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</si>
  <si>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</si>
  <si>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</si>
  <si>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</si>
  <si>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</si>
  <si>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</si>
  <si>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</si>
  <si>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</si>
  <si>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</si>
  <si>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</si>
  <si>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</si>
  <si>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</si>
  <si>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</si>
  <si>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</si>
  <si>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</si>
  <si>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</si>
  <si>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</si>
  <si>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</si>
  <si>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</si>
  <si>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</si>
  <si>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</si>
  <si>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</si>
  <si>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</si>
  <si>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</si>
  <si>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</si>
  <si>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</si>
  <si>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</si>
  <si>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</si>
  <si>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</si>
  <si>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</si>
  <si>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</si>
  <si>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</si>
  <si>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</si>
  <si>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</si>
  <si>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</si>
  <si>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</si>
  <si>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</si>
  <si>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</si>
  <si>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</si>
  <si>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</si>
  <si>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</si>
  <si>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</si>
  <si>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</si>
  <si>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</si>
  <si>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</si>
  <si>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</si>
  <si>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</si>
  <si>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</si>
  <si>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</si>
  <si>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</si>
  <si>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</si>
  <si>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</si>
  <si>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</si>
  <si>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</si>
  <si>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</si>
  <si>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</si>
  <si>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</si>
  <si>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</si>
  <si>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</si>
  <si>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</si>
  <si>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</si>
  <si>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</si>
  <si>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</si>
  <si>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</si>
  <si>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</si>
  <si>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</si>
  <si>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</si>
  <si>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</si>
  <si>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</si>
  <si>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</si>
  <si>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</si>
  <si>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</si>
  <si>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</si>
  <si>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</si>
  <si>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</si>
  <si>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</si>
  <si>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</si>
  <si>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</si>
  <si>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</si>
  <si>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</si>
  <si>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</si>
  <si>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</si>
  <si>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</si>
  <si>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</si>
  <si>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</si>
  <si>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</si>
  <si>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</si>
  <si>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</si>
  <si>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</si>
  <si>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</si>
  <si>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</si>
  <si>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</si>
  <si>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</si>
  <si>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</si>
  <si>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</si>
  <si>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</si>
  <si>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</si>
  <si>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</si>
  <si>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</si>
  <si>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</si>
  <si>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</si>
  <si>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</si>
  <si>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</si>
  <si>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</si>
  <si>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</si>
  <si>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</si>
  <si>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</si>
  <si>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</si>
  <si>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</si>
  <si>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</si>
  <si>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</si>
  <si>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</si>
  <si>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</si>
  <si>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</si>
  <si>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</si>
  <si>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</si>
  <si>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</si>
  <si>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</si>
  <si>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</si>
  <si>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</si>
  <si>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</si>
  <si>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</si>
  <si>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</si>
  <si>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</si>
  <si>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</si>
  <si>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</si>
  <si>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</si>
  <si>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</si>
  <si>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</si>
  <si>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</si>
  <si>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</si>
  <si>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</si>
  <si>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</si>
  <si>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</si>
  <si>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</si>
  <si>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</si>
  <si>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</si>
  <si>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</si>
  <si>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</si>
  <si>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</si>
  <si>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</si>
  <si>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</si>
  <si>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</si>
  <si>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</si>
  <si>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</si>
  <si>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</si>
  <si>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</si>
  <si>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</si>
  <si>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</si>
  <si>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</si>
  <si>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</si>
  <si>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</si>
  <si>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</si>
  <si>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</si>
  <si>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</si>
  <si>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</si>
  <si>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</si>
  <si>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</si>
  <si>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</si>
  <si>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</si>
  <si>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</si>
  <si>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</si>
  <si>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</si>
  <si>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</si>
  <si>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</si>
  <si>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</si>
  <si>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</si>
  <si>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</si>
  <si>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</si>
  <si>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</si>
  <si>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</si>
  <si>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</si>
  <si>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</si>
  <si>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</si>
  <si>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</si>
  <si>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</si>
  <si>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</si>
  <si>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</si>
  <si>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</si>
  <si>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</si>
  <si>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</si>
  <si>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</si>
  <si>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</si>
  <si>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</si>
  <si>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</si>
  <si>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</si>
  <si>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</si>
  <si>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</si>
  <si>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</si>
  <si>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</si>
  <si>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</si>
  <si>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</si>
  <si>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</si>
  <si>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</si>
  <si>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</si>
  <si>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</si>
  <si>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</si>
  <si>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</si>
  <si>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</si>
  <si>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</si>
  <si>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</si>
  <si>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</si>
  <si>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</si>
  <si>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</si>
  <si>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</si>
  <si>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</si>
  <si>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</si>
  <si>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</si>
  <si>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</si>
  <si>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</si>
  <si>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</si>
  <si>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</si>
  <si>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</si>
  <si>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</si>
  <si>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</si>
  <si>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</si>
  <si>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</si>
  <si>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</si>
  <si>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</si>
  <si>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</si>
  <si>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</si>
  <si>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</si>
  <si>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</si>
  <si>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</si>
  <si>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</si>
  <si>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</si>
  <si>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</si>
  <si>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</si>
  <si>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</si>
  <si>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</si>
  <si>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</si>
  <si>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</si>
  <si>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</si>
  <si>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</si>
  <si>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</si>
  <si>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</si>
  <si>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</si>
  <si>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</si>
  <si>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</si>
  <si>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</si>
  <si>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</si>
  <si>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</si>
  <si>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</si>
  <si>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</si>
  <si>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</si>
  <si>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</si>
  <si>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</si>
  <si>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</si>
  <si>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</si>
  <si>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</si>
  <si>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</si>
  <si>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</si>
  <si>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</si>
  <si>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</si>
  <si>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</si>
  <si>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</si>
  <si>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</si>
  <si>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</si>
  <si>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</si>
  <si>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</si>
  <si>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</si>
  <si>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</si>
  <si>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</si>
  <si>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</si>
  <si>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</si>
  <si>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</si>
  <si>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</si>
  <si>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</si>
  <si>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</si>
  <si>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</si>
  <si>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</si>
  <si>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</si>
  <si>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</si>
  <si>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</si>
  <si>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</si>
  <si>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</si>
  <si>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</si>
  <si>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</si>
  <si>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</si>
  <si>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</si>
  <si>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</si>
  <si>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</si>
  <si>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</si>
  <si>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</si>
  <si>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</si>
  <si>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</si>
  <si>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</si>
  <si>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</si>
  <si>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</si>
  <si>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</si>
  <si>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</si>
  <si>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</si>
  <si>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</si>
  <si>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</si>
  <si>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</si>
  <si>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</si>
  <si>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</si>
  <si>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</si>
  <si>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</si>
  <si>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</si>
  <si>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</si>
  <si>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</si>
  <si>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</si>
  <si>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</si>
  <si>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</si>
  <si>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</si>
  <si>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</si>
  <si>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</si>
  <si>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</si>
  <si>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</si>
  <si>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</si>
  <si>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</si>
  <si>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</si>
  <si>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</si>
  <si>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</si>
  <si>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</si>
  <si>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</si>
  <si>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</si>
  <si>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</si>
  <si>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</si>
  <si>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</si>
  <si>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</si>
  <si>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</si>
  <si>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</si>
  <si>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</si>
  <si>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</si>
  <si>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</si>
  <si>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</si>
  <si>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</si>
  <si>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</si>
  <si>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</si>
  <si>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</si>
  <si>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</si>
  <si>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</si>
  <si>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</si>
  <si>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</si>
  <si>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</si>
  <si>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</si>
  <si>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</si>
  <si>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</si>
  <si>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</si>
  <si>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</si>
  <si>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</si>
  <si>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</si>
  <si>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</si>
  <si>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</si>
  <si>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</si>
  <si>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</si>
  <si>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</si>
  <si>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</si>
  <si>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</si>
  <si>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</si>
  <si>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</si>
  <si>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</si>
  <si>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</si>
  <si>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</si>
  <si>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</si>
  <si>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</si>
  <si>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</si>
  <si>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</si>
  <si>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</si>
  <si>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</si>
  <si>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</si>
  <si>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</si>
  <si>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</si>
  <si>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</si>
  <si>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</si>
  <si>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</si>
  <si>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</si>
  <si>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</si>
  <si>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</si>
  <si>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</si>
  <si>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</si>
  <si>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</si>
  <si>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</si>
  <si>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</si>
  <si>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</si>
  <si>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</si>
  <si>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</si>
  <si>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</si>
  <si>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</si>
  <si>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</si>
  <si>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</si>
  <si>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</si>
  <si>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</si>
  <si>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</si>
  <si>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</si>
  <si>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</si>
  <si>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</si>
  <si>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</si>
  <si>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</si>
  <si>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</si>
  <si>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</si>
  <si>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</si>
  <si>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</si>
  <si>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</si>
  <si>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</si>
  <si>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</si>
  <si>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</si>
  <si>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</si>
  <si>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</si>
  <si>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</si>
  <si>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</si>
  <si>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</si>
  <si>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</si>
  <si>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</si>
  <si>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</si>
  <si>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</si>
  <si>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</si>
  <si>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</si>
  <si>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</si>
  <si>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</si>
  <si>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</si>
  <si>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</si>
  <si>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</si>
  <si>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</si>
  <si>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</si>
  <si>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</si>
  <si>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</si>
  <si>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</si>
  <si>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</si>
  <si>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</si>
  <si>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</si>
  <si>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</si>
  <si>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</si>
  <si>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</si>
  <si>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</si>
  <si>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</si>
  <si>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</si>
  <si>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</si>
  <si>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</si>
  <si>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</si>
  <si>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</si>
  <si>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</si>
  <si>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</si>
  <si>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</si>
  <si>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</si>
  <si>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</si>
  <si>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</si>
  <si>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</si>
  <si>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</si>
  <si>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</si>
  <si>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</si>
  <si>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</si>
  <si>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</si>
  <si>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</si>
  <si>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</si>
  <si>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</si>
  <si>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</si>
  <si>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</si>
  <si>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</si>
  <si>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</si>
  <si>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</si>
  <si>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</si>
  <si>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</si>
  <si>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</si>
  <si>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</si>
  <si>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</si>
  <si>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</si>
  <si>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</si>
  <si>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</si>
  <si>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</si>
  <si>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</si>
  <si>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</si>
  <si>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</si>
  <si>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</si>
  <si>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</si>
  <si>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</si>
  <si>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</si>
  <si>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</si>
  <si>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</si>
  <si>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</si>
  <si>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</si>
  <si>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</si>
  <si>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</si>
  <si>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</si>
  <si>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</si>
  <si>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</si>
  <si>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</si>
  <si>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</si>
  <si>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</si>
  <si>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</si>
  <si>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</si>
  <si>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</si>
  <si>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</si>
  <si>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</si>
  <si>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</si>
  <si>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</si>
  <si>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</si>
  <si>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</si>
  <si>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</si>
  <si>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</si>
  <si>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</si>
  <si>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</si>
  <si>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</si>
  <si>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</si>
  <si>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</si>
  <si>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</si>
  <si>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</si>
  <si>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</si>
  <si>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</si>
  <si>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</si>
  <si>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</si>
  <si>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</si>
  <si>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</si>
  <si>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</si>
  <si>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</si>
  <si>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</si>
  <si>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</si>
  <si>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</si>
  <si>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</si>
  <si>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</si>
  <si>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</si>
  <si>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</si>
  <si>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</si>
  <si>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</si>
  <si>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</si>
  <si>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</si>
  <si>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</si>
  <si>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</si>
  <si>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</si>
  <si>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</si>
  <si>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</si>
  <si>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</si>
  <si>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</si>
  <si>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</si>
  <si>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</si>
  <si>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</si>
  <si>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</si>
  <si>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</si>
  <si>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</si>
  <si>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</si>
  <si>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</si>
  <si>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</si>
  <si>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</si>
  <si>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</si>
  <si>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</si>
  <si>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</si>
  <si>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</si>
  <si>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</si>
  <si>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</si>
  <si>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</si>
  <si>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</si>
  <si>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</si>
  <si>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</si>
  <si>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</si>
  <si>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</si>
  <si>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</si>
  <si>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</si>
  <si>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</si>
  <si>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</si>
  <si>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</si>
  <si>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</si>
  <si>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</si>
  <si>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</si>
  <si>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</si>
  <si>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</si>
  <si>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</si>
  <si>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</si>
  <si>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</si>
  <si>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</si>
  <si>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</si>
  <si>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</si>
  <si>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</si>
  <si>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</si>
  <si>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</si>
  <si>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</si>
  <si>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</si>
  <si>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</si>
  <si>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</si>
  <si>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</si>
  <si>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</si>
  <si>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</si>
  <si>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</si>
  <si>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</si>
  <si>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</si>
  <si>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</si>
  <si>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</si>
  <si>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</si>
  <si>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</si>
  <si>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</si>
  <si>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</si>
  <si>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</si>
  <si>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</si>
  <si>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</si>
  <si>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</si>
  <si>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</si>
  <si>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</si>
  <si>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</si>
  <si>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</si>
  <si>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</si>
  <si>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</si>
  <si>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</si>
  <si>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</si>
  <si>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</si>
  <si>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</si>
  <si>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</si>
  <si>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</si>
  <si>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</si>
  <si>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</si>
  <si>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</si>
  <si>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</si>
  <si>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</si>
  <si>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</si>
  <si>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</si>
  <si>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</si>
  <si>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</si>
  <si>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</si>
  <si>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</si>
  <si>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</si>
  <si>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</si>
  <si>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</si>
  <si>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</si>
  <si>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</si>
  <si>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</si>
  <si>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</si>
  <si>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</si>
  <si>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</si>
  <si>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</si>
  <si>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</si>
  <si>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</si>
  <si>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</si>
  <si>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</si>
  <si>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</si>
  <si>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</si>
  <si>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</si>
  <si>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</si>
  <si>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</si>
  <si>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</si>
  <si>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</si>
  <si>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</si>
  <si>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</si>
  <si>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</si>
  <si>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</si>
  <si>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</si>
  <si>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</si>
  <si>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</si>
  <si>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</si>
  <si>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</si>
  <si>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</si>
  <si>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</si>
  <si>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</si>
  <si>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</si>
  <si>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</si>
  <si>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</si>
  <si>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</si>
  <si>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</si>
  <si>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</si>
  <si>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</si>
  <si>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</si>
  <si>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</si>
  <si>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</si>
  <si>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</si>
  <si>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</si>
  <si>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</si>
  <si>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</si>
  <si>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</si>
  <si>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</si>
  <si>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</si>
  <si>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</si>
  <si>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</si>
  <si>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</si>
  <si>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</si>
  <si>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</si>
  <si>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</si>
  <si>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</si>
  <si>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</si>
  <si>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</si>
  <si>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</si>
  <si>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</si>
  <si>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</si>
  <si>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</si>
  <si>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</si>
  <si>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</si>
  <si>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</si>
  <si>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</si>
  <si>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</si>
  <si>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</si>
  <si>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</si>
  <si>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</si>
  <si>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</si>
  <si>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</si>
  <si>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</si>
  <si>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</si>
  <si>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</si>
  <si>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</si>
  <si>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</si>
  <si>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</si>
  <si>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</si>
  <si>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</si>
  <si>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</si>
  <si>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</si>
  <si>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</si>
  <si>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</si>
  <si>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</si>
  <si>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</si>
  <si>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</si>
  <si>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</si>
  <si>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</si>
  <si>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</si>
  <si>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</si>
  <si>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</si>
  <si>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</si>
  <si>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</si>
  <si>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</si>
  <si>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</si>
  <si>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</si>
  <si>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</si>
  <si>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</si>
  <si>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</si>
  <si>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</si>
  <si>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</si>
  <si>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</si>
  <si>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</si>
  <si>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</si>
  <si>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</si>
  <si>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</si>
  <si>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</si>
  <si>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</si>
  <si>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</si>
  <si>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</si>
  <si>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</si>
  <si>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</si>
  <si>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</si>
  <si>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</si>
  <si>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</si>
  <si>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</si>
  <si>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</si>
  <si>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</si>
  <si>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</si>
  <si>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</si>
  <si>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</si>
  <si>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</si>
  <si>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</si>
  <si>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</si>
  <si>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</si>
  <si>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</si>
  <si>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</si>
  <si>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</si>
  <si>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</si>
  <si>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</si>
  <si>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</si>
  <si>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</si>
  <si>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</si>
  <si>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</si>
  <si>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</si>
  <si>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</si>
  <si>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</si>
  <si>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</si>
  <si>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</si>
  <si>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</si>
  <si>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</si>
  <si>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</si>
  <si>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</si>
  <si>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</si>
  <si>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</si>
  <si>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</si>
  <si>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</si>
  <si>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</si>
  <si>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</si>
  <si>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</si>
  <si>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</si>
  <si>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</si>
  <si>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</si>
  <si>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</si>
  <si>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</si>
  <si>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</si>
  <si>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</si>
  <si>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</si>
  <si>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</si>
  <si>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</si>
  <si>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</si>
  <si>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</si>
  <si>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</si>
  <si>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</si>
  <si>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</si>
  <si>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</si>
  <si>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</si>
  <si>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</si>
  <si>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</si>
  <si>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</si>
  <si>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</si>
  <si>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</si>
  <si>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</si>
  <si>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</si>
  <si>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</si>
  <si>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</si>
  <si>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</si>
  <si>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</si>
  <si>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</si>
  <si>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</si>
  <si>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</si>
  <si>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</si>
  <si>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</si>
  <si>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</si>
  <si>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</si>
  <si>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</si>
  <si>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</si>
  <si>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</si>
  <si>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</si>
  <si>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</si>
  <si>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</si>
  <si>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</si>
  <si>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</si>
  <si>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</si>
  <si>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</si>
  <si>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</si>
  <si>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</si>
  <si>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</si>
  <si>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</si>
  <si>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</si>
  <si>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</si>
  <si>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</si>
  <si>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</si>
  <si>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</si>
  <si>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</si>
  <si>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</si>
  <si>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</si>
  <si>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</si>
  <si>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</si>
  <si>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</si>
  <si>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</si>
  <si>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</si>
  <si>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</si>
  <si>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</si>
  <si>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</si>
  <si>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</si>
  <si>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</si>
  <si>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</si>
  <si>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</si>
  <si>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</si>
  <si>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</si>
  <si>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</si>
  <si>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</si>
  <si>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</si>
  <si>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</si>
  <si>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</si>
  <si>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</si>
  <si>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</si>
  <si>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</si>
  <si>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</si>
  <si>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</si>
  <si>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</si>
  <si>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</si>
  <si>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</si>
  <si>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</si>
  <si>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</si>
  <si>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</si>
  <si>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</si>
  <si>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</si>
  <si>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</si>
  <si>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</si>
  <si>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</si>
  <si>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</si>
  <si>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</si>
  <si>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</si>
  <si>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</si>
  <si>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</si>
  <si>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</si>
  <si>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</si>
  <si>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</si>
  <si>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</si>
  <si>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</si>
  <si>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</si>
  <si>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</si>
  <si>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</si>
  <si>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</si>
  <si>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</si>
  <si>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</si>
  <si>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</si>
  <si>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</si>
  <si>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</si>
  <si>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</si>
  <si>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</si>
  <si>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</si>
  <si>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</si>
  <si>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</si>
  <si>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</si>
  <si>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</si>
  <si>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</si>
  <si>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</si>
  <si>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</si>
  <si>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</si>
  <si>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</si>
  <si>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</si>
  <si>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</si>
  <si>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</si>
  <si>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</si>
  <si>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</si>
  <si>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</si>
  <si>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</si>
  <si>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</si>
  <si>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</si>
  <si>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</si>
  <si>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</si>
  <si>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</si>
  <si>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</si>
  <si>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</si>
  <si>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</si>
  <si>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</si>
  <si>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</si>
  <si>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</si>
  <si>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</si>
  <si>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</si>
  <si>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</si>
  <si>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</si>
  <si>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</si>
  <si>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</si>
  <si>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</si>
  <si>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</si>
  <si>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</si>
  <si>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</si>
  <si>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</si>
  <si>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</si>
  <si>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</si>
  <si>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</si>
  <si>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</si>
  <si>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</si>
  <si>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</si>
  <si>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</si>
  <si>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</si>
  <si>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</si>
  <si>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</si>
  <si>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</si>
  <si>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</si>
  <si>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</si>
  <si>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</si>
  <si>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</si>
  <si>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</si>
  <si>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</si>
  <si>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</si>
  <si>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</si>
  <si>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</si>
  <si>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</si>
  <si>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</si>
  <si>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</si>
  <si>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</si>
  <si>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</si>
  <si>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</si>
  <si>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</si>
  <si>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</si>
  <si>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</si>
  <si>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</si>
  <si>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</si>
  <si>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</si>
  <si>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</si>
  <si>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</si>
  <si>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</si>
  <si>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</si>
  <si>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</si>
  <si>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</si>
  <si>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</si>
  <si>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</si>
  <si>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</si>
  <si>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</si>
  <si>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</si>
  <si>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</si>
  <si>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</si>
  <si>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</si>
  <si>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</si>
  <si>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</si>
  <si>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</si>
  <si>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</si>
  <si>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</si>
  <si>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</si>
  <si>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</si>
  <si>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</si>
  <si>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</si>
  <si>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</si>
  <si>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</si>
  <si>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</si>
  <si>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</si>
  <si>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</si>
  <si>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</si>
  <si>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</si>
  <si>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</si>
  <si>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</si>
  <si>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</si>
  <si>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</si>
  <si>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</si>
  <si>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</si>
  <si>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</si>
  <si>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</si>
  <si>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</si>
  <si>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</si>
  <si>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</si>
  <si>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</si>
  <si>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</si>
  <si>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</si>
  <si>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</si>
  <si>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</si>
  <si>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</si>
  <si>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</si>
  <si>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</si>
  <si>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</si>
  <si>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</si>
  <si>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</si>
  <si>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</si>
  <si>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</si>
  <si>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</si>
  <si>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</si>
  <si>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</si>
  <si>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</si>
  <si>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</si>
  <si>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</si>
  <si>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</si>
  <si>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</si>
  <si>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</si>
  <si>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</si>
  <si>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</si>
  <si>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</si>
  <si>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</si>
  <si>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</si>
  <si>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</si>
  <si>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</si>
  <si>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</si>
  <si>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</si>
  <si>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</si>
  <si>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</si>
  <si>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</si>
  <si>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</si>
  <si>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</si>
  <si>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</si>
  <si>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</si>
  <si>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</si>
  <si>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</si>
  <si>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</si>
  <si>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</si>
  <si>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</si>
  <si>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</si>
  <si>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</si>
  <si>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</si>
  <si>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</si>
  <si>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</si>
  <si>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</si>
  <si>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</si>
  <si>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</si>
  <si>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</si>
  <si>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</si>
  <si>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</si>
  <si>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</si>
  <si>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</si>
  <si>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</si>
  <si>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</si>
  <si>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</si>
  <si>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</si>
  <si>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</si>
  <si>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</si>
  <si>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</si>
  <si>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</si>
  <si>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</si>
  <si>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</si>
  <si>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</si>
  <si>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</si>
  <si>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</si>
  <si>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</si>
  <si>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</si>
  <si>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</si>
  <si>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</si>
  <si>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</si>
  <si>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</si>
  <si>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</si>
  <si>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</si>
  <si>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</si>
  <si>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</si>
  <si>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</si>
  <si>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</si>
  <si>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</si>
  <si>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</si>
  <si>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</si>
  <si>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</si>
  <si>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</si>
  <si>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</si>
  <si>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</si>
  <si>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</si>
  <si>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</si>
  <si>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</si>
  <si>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</si>
  <si>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</si>
  <si>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</si>
  <si>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</si>
  <si>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</si>
  <si>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</si>
  <si>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</si>
  <si>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</si>
  <si>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</si>
  <si>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</si>
  <si>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</si>
  <si>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</si>
  <si>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</si>
  <si>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</si>
  <si>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</si>
  <si>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</si>
  <si>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</si>
  <si>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</si>
  <si>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</si>
  <si>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</si>
  <si>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</si>
  <si>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</si>
  <si>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</si>
  <si>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</si>
  <si>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</si>
  <si>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</si>
  <si>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</si>
  <si>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</si>
  <si>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</si>
  <si>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</si>
  <si>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</si>
  <si>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</si>
  <si>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</si>
  <si>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</si>
  <si>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</si>
  <si>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</si>
  <si>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</si>
  <si>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</si>
  <si>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</si>
  <si>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</si>
  <si>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</si>
  <si>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</si>
  <si>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</si>
  <si>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</si>
  <si>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</si>
  <si>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</si>
  <si>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</si>
  <si>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</si>
  <si>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</si>
  <si>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</si>
  <si>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</si>
  <si>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</si>
  <si>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</si>
  <si>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</si>
  <si>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</si>
  <si>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</si>
  <si>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</si>
  <si>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</si>
  <si>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</si>
  <si>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</si>
  <si>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</si>
  <si>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</si>
  <si>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</si>
  <si>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</si>
  <si>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</si>
  <si>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</si>
  <si>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</si>
  <si>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</si>
  <si>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</si>
  <si>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</si>
  <si>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</si>
  <si>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</si>
  <si>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</si>
  <si>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</si>
  <si>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</si>
  <si>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</si>
  <si>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</si>
  <si>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</si>
  <si>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</si>
  <si>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</si>
  <si>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</si>
  <si>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</si>
  <si>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</si>
  <si>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</si>
  <si>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</si>
  <si>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</si>
  <si>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</si>
  <si>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</si>
  <si>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</si>
  <si>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</si>
  <si>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</si>
  <si>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</si>
  <si>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</si>
  <si>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</si>
  <si>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</si>
  <si>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</si>
  <si>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</si>
  <si>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</si>
  <si>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</si>
  <si>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</si>
  <si>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</si>
  <si>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</si>
  <si>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</si>
  <si>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</si>
  <si>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</si>
  <si>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</si>
  <si>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</si>
  <si>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</si>
  <si>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</si>
  <si>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</si>
  <si>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</si>
  <si>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</si>
  <si>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</si>
  <si>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</si>
  <si>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</si>
  <si>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</si>
  <si>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</si>
  <si>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</si>
  <si>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</si>
  <si>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</si>
  <si>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</si>
  <si>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</si>
  <si>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</si>
  <si>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</si>
  <si>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</si>
  <si>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</si>
  <si>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</si>
  <si>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</si>
  <si>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</si>
  <si>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</si>
  <si>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</si>
  <si>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</si>
  <si>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</si>
  <si>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</si>
  <si>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</si>
  <si>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</si>
  <si>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</si>
  <si>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</si>
  <si>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</si>
  <si>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</si>
  <si>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</si>
  <si>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</si>
  <si>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</si>
  <si>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</si>
  <si>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</si>
  <si>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</si>
  <si>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</si>
  <si>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</si>
  <si>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</si>
  <si>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</si>
  <si>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</si>
  <si>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</si>
  <si>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</si>
  <si>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</si>
  <si>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</si>
  <si>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</si>
  <si>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</si>
  <si>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</si>
  <si>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</si>
  <si>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</si>
  <si>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</si>
  <si>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</si>
  <si>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</si>
  <si>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</si>
  <si>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</si>
  <si>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</si>
  <si>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</si>
  <si>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</si>
  <si>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</si>
  <si>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</si>
  <si>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</si>
  <si>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</si>
  <si>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</si>
  <si>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</si>
  <si>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</si>
  <si>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</si>
  <si>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</si>
  <si>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</si>
  <si>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</si>
  <si>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</si>
  <si>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</si>
  <si>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</si>
  <si>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</si>
  <si>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</si>
  <si>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</si>
  <si>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</si>
  <si>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</si>
  <si>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</si>
  <si>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</si>
  <si>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</si>
  <si>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</si>
  <si>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</si>
  <si>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</si>
  <si>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</si>
  <si>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</si>
  <si>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</si>
  <si>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</si>
  <si>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</si>
  <si>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</si>
  <si>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</si>
  <si>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</si>
  <si>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</si>
  <si>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</si>
  <si>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</si>
  <si>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</si>
  <si>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</si>
  <si>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</si>
  <si>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</si>
  <si>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</si>
  <si>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</si>
  <si>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</si>
  <si>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</si>
  <si>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</si>
  <si>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</si>
  <si>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</si>
  <si>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</si>
  <si>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</si>
  <si>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</si>
  <si>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</si>
  <si>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</si>
  <si>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</si>
  <si>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</si>
  <si>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</si>
  <si>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</si>
  <si>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</si>
  <si>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</si>
  <si>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</si>
  <si>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</si>
  <si>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</si>
  <si>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</si>
  <si>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</si>
  <si>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</si>
  <si>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</si>
  <si>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</si>
  <si>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</si>
  <si>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</si>
  <si>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</si>
  <si>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</si>
  <si>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</si>
  <si>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</si>
  <si>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</si>
  <si>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</si>
  <si>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</si>
  <si>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</si>
  <si>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</si>
  <si>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</si>
  <si>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</si>
  <si>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</si>
  <si>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</si>
  <si>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</si>
  <si>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</si>
  <si>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</si>
  <si>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</si>
  <si>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</si>
  <si>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</si>
  <si>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</si>
  <si>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</si>
  <si>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</si>
  <si>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</si>
  <si>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</si>
  <si>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</si>
  <si>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</si>
  <si>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</si>
  <si>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</si>
  <si>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</si>
  <si>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</si>
  <si>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</si>
  <si>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</si>
  <si>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</si>
  <si>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</si>
  <si>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</si>
  <si>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</si>
  <si>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</si>
  <si>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</si>
  <si>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</si>
  <si>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</si>
  <si>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</si>
  <si>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</si>
  <si>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</si>
  <si>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</si>
  <si>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</si>
  <si>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</si>
  <si>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</si>
  <si>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</si>
  <si>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</si>
  <si>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</si>
  <si>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</si>
  <si>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</si>
  <si>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</si>
  <si>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</si>
  <si>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</si>
  <si>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</si>
  <si>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</si>
  <si>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</si>
  <si>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</si>
  <si>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</si>
  <si>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</si>
  <si>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</si>
  <si>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</si>
  <si>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</si>
  <si>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</si>
  <si>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</si>
  <si>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</si>
  <si>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</si>
  <si>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</si>
  <si>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</si>
  <si>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</si>
  <si>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</si>
  <si>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</si>
  <si>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</si>
  <si>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</si>
  <si>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</si>
  <si>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</si>
  <si>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</si>
  <si>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</si>
  <si>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</si>
  <si>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</si>
  <si>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</si>
  <si>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</si>
  <si>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</si>
  <si>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</si>
  <si>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</si>
  <si>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</si>
  <si>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</si>
  <si>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</si>
  <si>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</si>
  <si>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</si>
  <si>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</si>
  <si>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</si>
  <si>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</si>
  <si>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</si>
  <si>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</si>
  <si>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</si>
  <si>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</si>
  <si>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</si>
  <si>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</si>
  <si>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</si>
  <si>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</si>
  <si>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</si>
  <si>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</si>
  <si>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</si>
  <si>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</si>
  <si>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</si>
  <si>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</si>
  <si>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</si>
  <si>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</si>
  <si>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</si>
  <si>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</si>
  <si>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</si>
  <si>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</si>
  <si>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</si>
  <si>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</si>
  <si>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</si>
  <si>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</si>
  <si>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</si>
  <si>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</si>
  <si>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</si>
  <si>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</si>
  <si>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</si>
  <si>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</si>
  <si>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</si>
  <si>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</si>
  <si>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</si>
  <si>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</si>
  <si>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</si>
  <si>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</si>
  <si>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</si>
  <si>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</si>
  <si>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</si>
  <si>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</si>
  <si>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</si>
  <si>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</si>
  <si>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</si>
  <si>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</si>
  <si>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</si>
  <si>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</si>
  <si>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</si>
  <si>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</si>
  <si>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</si>
  <si>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</si>
  <si>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</si>
  <si>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</si>
  <si>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</si>
  <si>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</si>
  <si>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</si>
  <si>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</si>
  <si>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</si>
  <si>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</si>
  <si>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</si>
  <si>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</si>
  <si>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</si>
  <si>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</si>
  <si>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</si>
  <si>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</si>
  <si>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</si>
  <si>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</si>
  <si>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</si>
  <si>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</si>
  <si>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</si>
  <si>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</si>
  <si>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</si>
  <si>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</si>
  <si>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</si>
  <si>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</si>
  <si>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</si>
  <si>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</si>
  <si>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</si>
  <si>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</si>
  <si>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</si>
  <si>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</si>
  <si>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</si>
  <si>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</si>
  <si>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</si>
  <si>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</si>
  <si>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</si>
  <si>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</si>
  <si>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</si>
  <si>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</si>
  <si>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</si>
  <si>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</si>
  <si>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</si>
  <si>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</si>
  <si>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</si>
  <si>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</si>
  <si>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</si>
  <si>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</si>
  <si>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</si>
  <si>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</si>
  <si>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</si>
  <si>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</si>
  <si>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</si>
  <si>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</si>
  <si>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</si>
  <si>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</si>
  <si>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</si>
  <si>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</si>
  <si>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</si>
  <si>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</si>
  <si>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</si>
  <si>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</si>
  <si>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</si>
  <si>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</si>
  <si>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</si>
  <si>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</si>
  <si>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</si>
  <si>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</si>
  <si>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</si>
  <si>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</si>
  <si>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</si>
  <si>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</si>
  <si>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</si>
  <si>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</si>
  <si>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</si>
  <si>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</si>
  <si>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</si>
  <si>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</si>
  <si>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</si>
  <si>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</si>
  <si>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</si>
  <si>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</si>
  <si>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</si>
  <si>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</si>
  <si>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</si>
  <si>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</si>
  <si>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</si>
  <si>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</si>
  <si>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</si>
  <si>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</si>
  <si>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</si>
  <si>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</si>
  <si>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</si>
  <si>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</si>
  <si>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</si>
  <si>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</si>
  <si>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</si>
  <si>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</si>
  <si>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</si>
  <si>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</si>
  <si>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</si>
  <si>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</si>
  <si>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</si>
  <si>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</si>
  <si>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</si>
  <si>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</si>
  <si>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</si>
  <si>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</si>
  <si>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</si>
  <si>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</si>
  <si>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</si>
  <si>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</si>
  <si>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</si>
  <si>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</si>
  <si>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</si>
  <si>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</si>
  <si>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</si>
  <si>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</si>
  <si>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</si>
  <si>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</si>
  <si>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</si>
  <si>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</si>
  <si>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</si>
  <si>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</si>
  <si>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</si>
  <si>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</si>
  <si>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</si>
  <si>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</si>
  <si>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</si>
  <si>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</si>
  <si>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</si>
  <si>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</si>
  <si>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</si>
  <si>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</si>
  <si>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</si>
  <si>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</si>
  <si>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</si>
  <si>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</si>
  <si>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</si>
  <si>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</si>
  <si>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</si>
  <si>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</si>
  <si>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</si>
  <si>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</si>
  <si>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</si>
  <si>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</si>
  <si>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</si>
  <si>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</si>
  <si>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</si>
  <si>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</si>
  <si>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</si>
  <si>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</si>
  <si>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</si>
  <si>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</si>
  <si>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</si>
  <si>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</si>
  <si>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</si>
  <si>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</si>
  <si>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</si>
  <si>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</si>
  <si>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</si>
  <si>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</si>
  <si>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</si>
  <si>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</si>
  <si>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</si>
  <si>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</si>
  <si>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</si>
  <si>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</si>
  <si>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</si>
  <si>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</si>
  <si>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</si>
  <si>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</si>
  <si>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</si>
  <si>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</si>
  <si>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</si>
  <si>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</si>
  <si>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</si>
  <si>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</si>
  <si>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</si>
  <si>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</si>
  <si>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</si>
  <si>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</si>
  <si>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</si>
  <si>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</si>
  <si>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</si>
  <si>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</si>
  <si>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</si>
  <si>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</si>
  <si>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</si>
  <si>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</si>
  <si>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</si>
  <si>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</si>
  <si>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</si>
  <si>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</si>
  <si>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</si>
  <si>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</si>
  <si>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</si>
  <si>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</si>
  <si>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</si>
  <si>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</si>
  <si>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</si>
  <si>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</si>
  <si>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</si>
  <si>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</si>
  <si>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</si>
  <si>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</si>
  <si>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</si>
  <si>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</si>
  <si>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</si>
  <si>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</si>
  <si>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</si>
  <si>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</si>
  <si>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</si>
  <si>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</si>
  <si>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</si>
  <si>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</si>
  <si>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</si>
  <si>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</si>
  <si>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</si>
  <si>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</si>
  <si>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</si>
  <si>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</si>
  <si>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</si>
  <si>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</si>
  <si>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</si>
  <si>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</si>
  <si>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</si>
  <si>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</si>
  <si>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</si>
  <si>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</si>
  <si>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</si>
  <si>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</si>
  <si>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</si>
  <si>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</si>
  <si>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</si>
  <si>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</si>
  <si>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</si>
  <si>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</si>
  <si>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</si>
  <si>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</si>
  <si>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</si>
  <si>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</si>
  <si>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</si>
  <si>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</si>
  <si>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</si>
  <si>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</si>
  <si>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</si>
  <si>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</si>
  <si>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</si>
  <si>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</si>
  <si>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</si>
  <si>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</si>
  <si>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</si>
  <si>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</si>
  <si>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</si>
  <si>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</si>
  <si>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</si>
  <si>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</si>
  <si>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</si>
  <si>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</si>
  <si>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</si>
  <si>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</si>
  <si>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</si>
  <si>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</si>
  <si>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</si>
  <si>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</si>
  <si>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</si>
  <si>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</si>
  <si>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</si>
  <si>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</si>
  <si>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</si>
  <si>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</si>
  <si>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</si>
  <si>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</si>
  <si>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</si>
  <si>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</si>
  <si>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</si>
  <si>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</si>
  <si>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</si>
  <si>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</si>
  <si>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</si>
  <si>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</si>
  <si>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</si>
  <si>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</si>
  <si>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</si>
  <si>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</si>
  <si>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</si>
  <si>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</si>
  <si>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</si>
  <si>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</si>
  <si>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</si>
  <si>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</si>
  <si>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</si>
  <si>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</si>
  <si>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</si>
  <si>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</si>
  <si>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</si>
  <si>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</si>
  <si>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</si>
  <si>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</si>
  <si>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</si>
  <si>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</si>
  <si>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</si>
  <si>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</si>
  <si>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</si>
  <si>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</si>
  <si>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</si>
  <si>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</si>
  <si>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</si>
  <si>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</si>
  <si>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</si>
  <si>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</si>
  <si>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</si>
  <si>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</si>
  <si>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</si>
  <si>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</si>
  <si>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</si>
  <si>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</si>
  <si>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</si>
  <si>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</si>
  <si>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</si>
  <si>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</si>
  <si>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</si>
  <si>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</si>
  <si>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</si>
  <si>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</si>
  <si>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</si>
  <si>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</si>
  <si>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</si>
  <si>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</si>
  <si>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</si>
  <si>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</si>
  <si>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</si>
  <si>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</si>
  <si>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</si>
  <si>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</si>
  <si>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</si>
  <si>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</si>
  <si>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</si>
  <si>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</si>
  <si>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</si>
  <si>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</si>
  <si>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</si>
  <si>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</si>
  <si>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</si>
  <si>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</si>
  <si>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</si>
  <si>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</si>
  <si>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</si>
  <si>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</si>
  <si>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</si>
  <si>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</si>
  <si>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</si>
  <si>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</si>
  <si>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</si>
  <si>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</si>
  <si>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</si>
  <si>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</si>
  <si>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</si>
  <si>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</si>
  <si>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</si>
  <si>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</si>
  <si>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</si>
  <si>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</si>
  <si>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</si>
  <si>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</si>
  <si>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</si>
  <si>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</si>
  <si>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</si>
  <si>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</si>
  <si>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</si>
  <si>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</si>
  <si>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</si>
  <si>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</si>
  <si>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</si>
  <si>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</si>
  <si>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</si>
  <si>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</si>
  <si>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</si>
  <si>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</si>
  <si>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</si>
  <si>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</si>
  <si>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</si>
  <si>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</si>
  <si>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</si>
  <si>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</si>
  <si>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</si>
  <si>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</si>
  <si>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</si>
  <si>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</si>
  <si>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</si>
  <si>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</si>
  <si>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</si>
  <si>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</si>
  <si>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</si>
  <si>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</si>
  <si>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</si>
  <si>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</si>
  <si>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</si>
  <si>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</si>
  <si>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</si>
  <si>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</si>
  <si>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</si>
  <si>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</si>
  <si>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</si>
  <si>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</si>
  <si>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</si>
  <si>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</si>
  <si>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</si>
  <si>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</si>
  <si>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</si>
  <si>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</si>
  <si>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</si>
  <si>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</si>
  <si>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</si>
  <si>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</si>
  <si>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</si>
  <si>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</si>
  <si>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</si>
  <si>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</si>
  <si>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</si>
  <si>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</si>
  <si>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</si>
  <si>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</si>
  <si>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</si>
  <si>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</si>
  <si>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</si>
  <si>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</si>
  <si>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</si>
  <si>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</si>
  <si>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</si>
  <si>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</si>
  <si>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</si>
  <si>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</si>
  <si>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</si>
  <si>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</si>
  <si>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</si>
  <si>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</si>
  <si>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</si>
  <si>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</si>
  <si>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</si>
  <si>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</si>
  <si>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</si>
  <si>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</si>
  <si>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</si>
  <si>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</si>
  <si>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</si>
  <si>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</si>
  <si>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</si>
  <si>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</si>
  <si>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</si>
  <si>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</si>
  <si>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</si>
  <si>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</si>
  <si>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</si>
  <si>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</si>
  <si>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</si>
  <si>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</si>
  <si>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</si>
  <si>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</si>
  <si>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</si>
  <si>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</si>
  <si>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</si>
  <si>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</si>
  <si>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</si>
  <si>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</si>
  <si>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</si>
  <si>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</si>
  <si>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</si>
  <si>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</si>
  <si>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</si>
  <si>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</si>
  <si>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</si>
  <si>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</si>
  <si>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</si>
  <si>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</si>
  <si>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</si>
  <si>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</si>
  <si>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</si>
  <si>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</si>
  <si>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</si>
  <si>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</si>
  <si>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</si>
  <si>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</si>
  <si>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</si>
  <si>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</si>
  <si>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</si>
  <si>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</si>
  <si>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</si>
  <si>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</si>
  <si>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</si>
  <si>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</si>
  <si>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</si>
  <si>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</si>
  <si>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</si>
  <si>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</si>
  <si>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</si>
  <si>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</si>
  <si>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</si>
  <si>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</si>
  <si>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</si>
  <si>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</si>
  <si>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</si>
  <si>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</si>
  <si>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</si>
  <si>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</si>
  <si>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</si>
  <si>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</si>
  <si>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</si>
  <si>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</si>
  <si>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</si>
  <si>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</si>
  <si>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</si>
  <si>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</si>
  <si>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</si>
  <si>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</si>
  <si>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</si>
  <si>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</si>
  <si>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</si>
  <si>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</si>
  <si>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</si>
  <si>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</si>
  <si>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</si>
  <si>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</si>
  <si>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</si>
  <si>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</si>
  <si>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</si>
  <si>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</si>
  <si>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</si>
  <si>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</si>
  <si>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</si>
  <si>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</si>
  <si>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</si>
  <si>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</si>
  <si>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</si>
  <si>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</si>
  <si>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</si>
  <si>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</si>
  <si>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</si>
  <si>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</si>
  <si>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</si>
  <si>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</si>
  <si>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</si>
  <si>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</si>
  <si>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</si>
  <si>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</si>
  <si>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</si>
  <si>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</si>
  <si>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</si>
  <si>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</si>
  <si>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</si>
  <si>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</si>
  <si>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</si>
  <si>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</si>
  <si>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</si>
  <si>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</si>
  <si>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</si>
  <si>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</si>
  <si>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</si>
  <si>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</si>
  <si>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</si>
  <si>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</si>
  <si>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</si>
  <si>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</si>
  <si>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</si>
  <si>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</si>
  <si>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</si>
  <si>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</si>
  <si>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</si>
  <si>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</si>
  <si>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</si>
  <si>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</si>
  <si>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</si>
  <si>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</si>
  <si>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</si>
  <si>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</si>
  <si>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</si>
  <si>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</si>
  <si>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</si>
  <si>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</si>
  <si>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</si>
  <si>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</si>
  <si>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</si>
  <si>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</si>
  <si>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</si>
  <si>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</si>
  <si>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</si>
  <si>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</si>
  <si>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</si>
  <si>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</si>
  <si>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</si>
  <si>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</si>
  <si>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</si>
  <si>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</si>
  <si>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</si>
  <si>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</si>
  <si>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</si>
  <si>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</si>
  <si>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</si>
  <si>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</si>
  <si>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</si>
  <si>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</si>
  <si>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</si>
  <si>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</si>
  <si>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</si>
  <si>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</si>
  <si>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</si>
  <si>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</si>
  <si>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</si>
  <si>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</si>
  <si>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</si>
  <si>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</si>
  <si>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</si>
  <si>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</si>
  <si>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</si>
  <si>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</si>
  <si>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</si>
  <si>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</si>
  <si>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</si>
  <si>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</si>
  <si>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</si>
  <si>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</si>
  <si>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</si>
  <si>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</si>
  <si>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</si>
  <si>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</si>
  <si>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</si>
  <si>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</si>
  <si>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</si>
  <si>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</si>
  <si>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</si>
  <si>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</si>
  <si>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</si>
  <si>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</si>
  <si>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</si>
  <si>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</si>
  <si>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</si>
  <si>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</si>
  <si>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</si>
  <si>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</si>
  <si>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</si>
  <si>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</si>
  <si>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</si>
  <si>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</si>
  <si>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</si>
  <si>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</si>
  <si>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</si>
  <si>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</si>
  <si>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</si>
  <si>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</si>
  <si>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</si>
  <si>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</si>
  <si>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</si>
  <si>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</si>
  <si>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</si>
  <si>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</si>
  <si>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</si>
  <si>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</si>
  <si>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</si>
  <si>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</si>
  <si>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</si>
  <si>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</si>
  <si>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</si>
  <si>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</si>
  <si>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</si>
  <si>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</si>
  <si>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</si>
  <si>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</si>
  <si>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</si>
  <si>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</si>
  <si>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</si>
  <si>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</si>
  <si>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</si>
  <si>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</si>
  <si>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</si>
  <si>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</si>
  <si>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</si>
  <si>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</si>
  <si>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</si>
  <si>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</si>
  <si>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</si>
  <si>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</si>
  <si>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</si>
  <si>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</si>
  <si>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</si>
  <si>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</si>
  <si>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</si>
  <si>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</si>
  <si>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</si>
  <si>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</si>
  <si>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</si>
  <si>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</si>
  <si>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</si>
  <si>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</si>
  <si>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</si>
  <si>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</si>
  <si>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</si>
  <si>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</si>
  <si>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</si>
  <si>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</si>
  <si>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</si>
  <si>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</si>
  <si>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</si>
  <si>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</si>
  <si>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</si>
  <si>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</si>
  <si>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</si>
  <si>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</si>
  <si>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</si>
  <si>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</si>
  <si>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</si>
  <si>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</si>
  <si>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</si>
  <si>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</si>
  <si>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</si>
  <si>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</si>
  <si>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</si>
  <si>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</si>
  <si>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</si>
  <si>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</si>
  <si>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</si>
  <si>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</si>
  <si>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</si>
  <si>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</si>
  <si>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</si>
  <si>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</si>
  <si>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</si>
  <si>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</si>
  <si>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</si>
  <si>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</si>
  <si>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</si>
  <si>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</si>
  <si>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</si>
  <si>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</si>
  <si>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</si>
  <si>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</si>
  <si>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</si>
  <si>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</si>
  <si>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</si>
  <si>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</si>
  <si>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</si>
  <si>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</si>
  <si>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</si>
  <si>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</si>
  <si>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</si>
  <si>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</si>
  <si>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</si>
  <si>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</si>
  <si>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</si>
  <si>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</si>
  <si>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</si>
  <si>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</si>
  <si>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</si>
  <si>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</si>
  <si>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</si>
  <si>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</si>
  <si>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</si>
  <si>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</si>
  <si>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</si>
  <si>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</si>
  <si>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</si>
  <si>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</si>
  <si>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</si>
  <si>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</si>
  <si>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</si>
  <si>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</si>
  <si>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</si>
  <si>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</si>
  <si>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</si>
  <si>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</si>
  <si>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</si>
  <si>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</si>
  <si>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</si>
  <si>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</si>
  <si>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</si>
  <si>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</si>
  <si>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</si>
  <si>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</si>
  <si>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</si>
  <si>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</si>
  <si>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</si>
  <si>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</si>
  <si>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</si>
  <si>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</si>
  <si>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</si>
  <si>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BEAUVAIS</t>
  </si>
  <si>
    <t>CONSEILLER VENTE</t>
  </si>
  <si>
    <t>DG</t>
  </si>
  <si>
    <t>BRIN</t>
  </si>
  <si>
    <t>JUAN ANDRES</t>
  </si>
  <si>
    <t>CABALLERO</t>
  </si>
  <si>
    <t>940</t>
  </si>
  <si>
    <t>BAIIA Corpo</t>
  </si>
  <si>
    <t>3VW2T7BU3RM075842</t>
  </si>
  <si>
    <t>PARADIS</t>
  </si>
  <si>
    <t>ALEXANDRE</t>
  </si>
  <si>
    <t>DIRECTEUR ADJ VENTE</t>
  </si>
  <si>
    <t>Valet prestigue (Non prevu)</t>
  </si>
  <si>
    <t>C/V - AUTRES PNEUS</t>
  </si>
  <si>
    <t>5786</t>
  </si>
  <si>
    <t>1V2FR2CAXSC508007</t>
  </si>
  <si>
    <t>WVWEB7CD6RW226609</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</si>
  <si>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</si>
  <si>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</si>
  <si>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</si>
  <si>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</si>
  <si>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</si>
  <si>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</si>
  <si>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</si>
  <si>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WVWFB7CD4RW174059</t>
  </si>
  <si>
    <t>AMORT. CUM. AMEL. LOCAT. CPO</t>
  </si>
  <si>
    <t>1735</t>
  </si>
  <si>
    <t>AMORT.CUMUL.PROJET VOLKS</t>
  </si>
  <si>
    <t>1741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</si>
</sst>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7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21">
    <xf numFmtId="0" fontId="0" fillId="0" borderId="0"/>
    <xf numFmtId="43" fontId="103" fillId="0" borderId="0" applyFont="0" applyFill="0" applyBorder="0" applyAlignment="0" applyProtection="0"/>
    <xf numFmtId="9" fontId="103" fillId="0" borderId="0" applyFont="0" applyFill="0" applyBorder="0" applyAlignment="0" applyProtection="0"/>
    <xf numFmtId="168" fontId="165" fillId="0" borderId="0"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8"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8" fillId="0" borderId="1"/>
    <xf numFmtId="165"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165" fontId="66"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4" fillId="0" borderId="1"/>
    <xf numFmtId="165" fontId="64" fillId="0" borderId="1" applyFont="0" applyFill="0" applyBorder="0" applyAlignment="0" applyProtection="0"/>
    <xf numFmtId="0" fontId="63" fillId="0" borderId="1"/>
    <xf numFmtId="165" fontId="63" fillId="0" borderId="1" applyFont="0" applyFill="0" applyBorder="0" applyAlignment="0" applyProtection="0"/>
    <xf numFmtId="0" fontId="62" fillId="0" borderId="1"/>
    <xf numFmtId="165" fontId="62"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0" fillId="0" borderId="1"/>
    <xf numFmtId="165" fontId="60" fillId="0" borderId="1" applyFont="0" applyFill="0" applyBorder="0" applyAlignment="0" applyProtection="0"/>
    <xf numFmtId="0" fontId="59" fillId="0" borderId="1"/>
    <xf numFmtId="165" fontId="59" fillId="0" borderId="1" applyFont="0" applyFill="0" applyBorder="0" applyAlignment="0" applyProtection="0"/>
    <xf numFmtId="0" fontId="58" fillId="0" borderId="1"/>
    <xf numFmtId="0" fontId="58" fillId="0" borderId="1"/>
    <xf numFmtId="9" fontId="58" fillId="0" borderId="1" applyFont="0" applyFill="0" applyBorder="0" applyAlignment="0" applyProtection="0"/>
    <xf numFmtId="44" fontId="58" fillId="0" borderId="1" applyFont="0" applyFill="0" applyBorder="0" applyAlignment="0" applyProtection="0"/>
    <xf numFmtId="0" fontId="57" fillId="0" borderId="1"/>
    <xf numFmtId="165" fontId="57" fillId="0" borderId="1" applyFont="0" applyFill="0" applyBorder="0" applyAlignment="0" applyProtection="0"/>
    <xf numFmtId="0" fontId="56" fillId="0" borderId="1"/>
    <xf numFmtId="0" fontId="55" fillId="0" borderId="1"/>
    <xf numFmtId="0" fontId="54" fillId="0" borderId="1"/>
    <xf numFmtId="0" fontId="53" fillId="0" borderId="1"/>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5" fontId="52" fillId="0" borderId="1" applyFont="0" applyFill="0" applyBorder="0" applyAlignment="0" applyProtection="0"/>
    <xf numFmtId="9"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168"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9" fontId="52" fillId="0" borderId="1" applyFont="0" applyFill="0" applyBorder="0" applyAlignment="0" applyProtection="0"/>
    <xf numFmtId="164" fontId="52" fillId="0" borderId="1" applyFont="0" applyFill="0" applyBorder="0" applyAlignment="0" applyProtection="0"/>
    <xf numFmtId="0" fontId="52" fillId="0" borderId="1"/>
    <xf numFmtId="165" fontId="52" fillId="0" borderId="1" applyFont="0" applyFill="0" applyBorder="0" applyAlignment="0" applyProtection="0"/>
    <xf numFmtId="0" fontId="52" fillId="0" borderId="1"/>
    <xf numFmtId="0" fontId="52" fillId="0" borderId="1"/>
    <xf numFmtId="0" fontId="52" fillId="0" borderId="1"/>
    <xf numFmtId="0" fontId="52" fillId="0" borderId="1"/>
    <xf numFmtId="0" fontId="175" fillId="0" borderId="0" applyNumberFormat="0" applyFill="0" applyBorder="0" applyAlignment="0" applyProtection="0"/>
    <xf numFmtId="0" fontId="51" fillId="0" borderId="1"/>
    <xf numFmtId="0" fontId="50" fillId="0" borderId="1"/>
    <xf numFmtId="0" fontId="49" fillId="0" borderId="1"/>
    <xf numFmtId="0" fontId="48" fillId="0" borderId="1"/>
    <xf numFmtId="0" fontId="47" fillId="0" borderId="1"/>
    <xf numFmtId="0" fontId="45" fillId="0" borderId="1"/>
    <xf numFmtId="0" fontId="44" fillId="0" borderId="1"/>
    <xf numFmtId="0" fontId="43"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5">
    <xf numFmtId="0" fontId="0" fillId="0" borderId="0" xfId="0"/>
    <xf numFmtId="0" fontId="100" fillId="0" borderId="0" xfId="0" applyFont="1"/>
    <xf numFmtId="0" fontId="101" fillId="2" borderId="1" xfId="0" applyFont="1" applyFill="1" applyBorder="1" applyAlignment="1">
      <alignment horizontal="center"/>
    </xf>
    <xf numFmtId="0" fontId="101" fillId="0" borderId="0" xfId="0" applyFont="1"/>
    <xf numFmtId="0" fontId="102" fillId="0" borderId="0" xfId="0" applyFont="1" applyAlignment="1">
      <alignment horizontal="center"/>
    </xf>
    <xf numFmtId="0" fontId="103" fillId="0" borderId="0" xfId="0" applyFont="1"/>
    <xf numFmtId="0" fontId="100" fillId="0" borderId="0" xfId="0" applyFont="1" applyAlignment="1">
      <alignment horizontal="center"/>
    </xf>
    <xf numFmtId="169" fontId="101" fillId="0" borderId="0" xfId="0" applyNumberFormat="1" applyFont="1" applyAlignment="1">
      <alignment horizontal="center"/>
    </xf>
    <xf numFmtId="0" fontId="104" fillId="0" borderId="0" xfId="0" applyFont="1" applyAlignment="1">
      <alignment horizontal="left"/>
    </xf>
    <xf numFmtId="0" fontId="105" fillId="0" borderId="0" xfId="0" applyFont="1" applyAlignment="1">
      <alignment horizontal="center"/>
    </xf>
    <xf numFmtId="0" fontId="105" fillId="0" borderId="0" xfId="0" applyFont="1" applyAlignment="1">
      <alignment horizontal="right"/>
    </xf>
    <xf numFmtId="0" fontId="104" fillId="0" borderId="0" xfId="0" applyFont="1"/>
    <xf numFmtId="0" fontId="101" fillId="0" borderId="2" xfId="0" applyFont="1" applyBorder="1"/>
    <xf numFmtId="0" fontId="106" fillId="0" borderId="3" xfId="0" applyFont="1" applyBorder="1"/>
    <xf numFmtId="170" fontId="106" fillId="0" borderId="4" xfId="0" applyNumberFormat="1" applyFont="1" applyBorder="1"/>
    <xf numFmtId="171" fontId="106" fillId="0" borderId="0" xfId="0" applyNumberFormat="1" applyFont="1"/>
    <xf numFmtId="171" fontId="106" fillId="0" borderId="5" xfId="0" applyNumberFormat="1" applyFont="1" applyBorder="1"/>
    <xf numFmtId="0" fontId="107" fillId="0" borderId="6" xfId="0" applyFont="1" applyBorder="1"/>
    <xf numFmtId="170" fontId="107" fillId="0" borderId="7" xfId="0" applyNumberFormat="1" applyFont="1" applyBorder="1"/>
    <xf numFmtId="171" fontId="107" fillId="0" borderId="0" xfId="0" applyNumberFormat="1" applyFont="1"/>
    <xf numFmtId="0" fontId="106" fillId="0" borderId="8" xfId="0" applyFont="1" applyBorder="1"/>
    <xf numFmtId="170" fontId="106" fillId="0" borderId="9" xfId="0" applyNumberFormat="1" applyFont="1" applyBorder="1"/>
    <xf numFmtId="0" fontId="107" fillId="0" borderId="8" xfId="0" applyFont="1" applyBorder="1"/>
    <xf numFmtId="0" fontId="107" fillId="3" borderId="10" xfId="0" applyFont="1" applyFill="1" applyBorder="1"/>
    <xf numFmtId="170" fontId="107" fillId="3" borderId="11" xfId="0" applyNumberFormat="1" applyFont="1" applyFill="1" applyBorder="1"/>
    <xf numFmtId="0" fontId="107" fillId="3" borderId="12" xfId="0" applyFont="1" applyFill="1" applyBorder="1"/>
    <xf numFmtId="170" fontId="107" fillId="3" borderId="13" xfId="0" applyNumberFormat="1" applyFont="1" applyFill="1" applyBorder="1"/>
    <xf numFmtId="0" fontId="107" fillId="0" borderId="0" xfId="0" applyFont="1"/>
    <xf numFmtId="170" fontId="106" fillId="0" borderId="7" xfId="0" applyNumberFormat="1" applyFont="1" applyBorder="1"/>
    <xf numFmtId="171" fontId="101" fillId="0" borderId="0" xfId="0" applyNumberFormat="1" applyFont="1"/>
    <xf numFmtId="0" fontId="101" fillId="0" borderId="8" xfId="0" applyFont="1" applyBorder="1"/>
    <xf numFmtId="170" fontId="101" fillId="0" borderId="9" xfId="0" applyNumberFormat="1" applyFont="1" applyBorder="1"/>
    <xf numFmtId="172" fontId="101" fillId="0" borderId="0" xfId="0" applyNumberFormat="1" applyFont="1"/>
    <xf numFmtId="0" fontId="101" fillId="0" borderId="0" xfId="0" applyFont="1" applyAlignment="1">
      <alignment horizontal="center"/>
    </xf>
    <xf numFmtId="0" fontId="109" fillId="0" borderId="0" xfId="0" applyFont="1" applyAlignment="1">
      <alignment horizontal="center"/>
    </xf>
    <xf numFmtId="0" fontId="105" fillId="4" borderId="15" xfId="0" applyFont="1" applyFill="1" applyBorder="1" applyAlignment="1">
      <alignment horizontal="center"/>
    </xf>
    <xf numFmtId="0" fontId="105" fillId="0" borderId="0" xfId="0" applyFont="1"/>
    <xf numFmtId="173" fontId="110" fillId="0" borderId="0" xfId="0" applyNumberFormat="1" applyFont="1" applyAlignment="1">
      <alignment horizontal="left"/>
    </xf>
    <xf numFmtId="0" fontId="110" fillId="0" borderId="0" xfId="0" applyFont="1"/>
    <xf numFmtId="0" fontId="111" fillId="0" borderId="0" xfId="0" applyFont="1" applyAlignment="1">
      <alignment horizontal="center"/>
    </xf>
    <xf numFmtId="0" fontId="104" fillId="5" borderId="16" xfId="0" applyFont="1" applyFill="1" applyBorder="1" applyAlignment="1">
      <alignment horizontal="center"/>
    </xf>
    <xf numFmtId="0" fontId="111" fillId="0" borderId="0" xfId="0" applyFont="1"/>
    <xf numFmtId="0" fontId="111" fillId="5" borderId="19" xfId="0" applyFont="1" applyFill="1" applyBorder="1"/>
    <xf numFmtId="0" fontId="111" fillId="5" borderId="22" xfId="0" applyFont="1" applyFill="1" applyBorder="1"/>
    <xf numFmtId="0" fontId="111" fillId="5" borderId="20" xfId="0" applyFont="1" applyFill="1" applyBorder="1"/>
    <xf numFmtId="0" fontId="104" fillId="5" borderId="19" xfId="0" applyFont="1" applyFill="1" applyBorder="1"/>
    <xf numFmtId="0" fontId="104" fillId="5" borderId="22" xfId="0" applyFont="1" applyFill="1" applyBorder="1"/>
    <xf numFmtId="0" fontId="104" fillId="5" borderId="20" xfId="0" applyFont="1" applyFill="1" applyBorder="1"/>
    <xf numFmtId="0" fontId="111" fillId="5" borderId="1" xfId="0" applyFont="1" applyFill="1" applyBorder="1"/>
    <xf numFmtId="0" fontId="104" fillId="5" borderId="10" xfId="0" applyFont="1" applyFill="1" applyBorder="1"/>
    <xf numFmtId="0" fontId="104" fillId="5" borderId="12" xfId="0" applyFont="1" applyFill="1" applyBorder="1"/>
    <xf numFmtId="0" fontId="104" fillId="5" borderId="1" xfId="0" applyFont="1" applyFill="1" applyBorder="1"/>
    <xf numFmtId="0" fontId="104" fillId="5" borderId="20" xfId="0" applyFont="1" applyFill="1" applyBorder="1" applyAlignment="1">
      <alignment horizontal="left"/>
    </xf>
    <xf numFmtId="0" fontId="104" fillId="5" borderId="28" xfId="0" applyFont="1" applyFill="1" applyBorder="1"/>
    <xf numFmtId="0" fontId="112" fillId="5" borderId="20" xfId="0" applyFont="1" applyFill="1" applyBorder="1"/>
    <xf numFmtId="0" fontId="112" fillId="5" borderId="22" xfId="0" applyFont="1" applyFill="1" applyBorder="1"/>
    <xf numFmtId="0" fontId="104" fillId="5" borderId="31" xfId="0" applyFont="1" applyFill="1" applyBorder="1"/>
    <xf numFmtId="0" fontId="104" fillId="5" borderId="32" xfId="0" applyFont="1" applyFill="1" applyBorder="1"/>
    <xf numFmtId="0" fontId="113" fillId="5" borderId="1" xfId="0" applyFont="1" applyFill="1" applyBorder="1"/>
    <xf numFmtId="0" fontId="113" fillId="0" borderId="0" xfId="0" applyFont="1"/>
    <xf numFmtId="0" fontId="110" fillId="5" borderId="1" xfId="0" applyFont="1" applyFill="1" applyBorder="1"/>
    <xf numFmtId="0" fontId="105" fillId="5" borderId="1" xfId="0" applyFont="1" applyFill="1" applyBorder="1"/>
    <xf numFmtId="173" fontId="110" fillId="5" borderId="1" xfId="0" applyNumberFormat="1" applyFont="1" applyFill="1" applyBorder="1" applyAlignment="1">
      <alignment horizontal="left"/>
    </xf>
    <xf numFmtId="0" fontId="112" fillId="5" borderId="19" xfId="0" applyFont="1" applyFill="1" applyBorder="1"/>
    <xf numFmtId="0" fontId="104" fillId="5" borderId="33" xfId="0" applyFont="1" applyFill="1" applyBorder="1"/>
    <xf numFmtId="0" fontId="104" fillId="5" borderId="34" xfId="0" applyFont="1" applyFill="1" applyBorder="1"/>
    <xf numFmtId="0" fontId="104" fillId="5" borderId="37" xfId="0" applyFont="1" applyFill="1" applyBorder="1"/>
    <xf numFmtId="0" fontId="114" fillId="5" borderId="1" xfId="0" applyFont="1" applyFill="1" applyBorder="1" applyAlignment="1">
      <alignment horizontal="center" vertical="center"/>
    </xf>
    <xf numFmtId="0" fontId="114" fillId="5" borderId="22" xfId="0" applyFont="1" applyFill="1" applyBorder="1"/>
    <xf numFmtId="0" fontId="114" fillId="5" borderId="20" xfId="0" applyFont="1" applyFill="1" applyBorder="1"/>
    <xf numFmtId="0" fontId="114" fillId="5" borderId="28" xfId="0" applyFont="1" applyFill="1" applyBorder="1"/>
    <xf numFmtId="0" fontId="114" fillId="5" borderId="19" xfId="0" applyFont="1" applyFill="1" applyBorder="1"/>
    <xf numFmtId="0" fontId="114" fillId="5" borderId="37" xfId="0" applyFont="1" applyFill="1" applyBorder="1"/>
    <xf numFmtId="0" fontId="114" fillId="5" borderId="40" xfId="0" applyFont="1" applyFill="1" applyBorder="1"/>
    <xf numFmtId="0" fontId="110" fillId="5" borderId="41" xfId="0" applyFont="1" applyFill="1" applyBorder="1"/>
    <xf numFmtId="0" fontId="112" fillId="5" borderId="41" xfId="0" applyFont="1" applyFill="1" applyBorder="1"/>
    <xf numFmtId="0" fontId="111" fillId="5" borderId="41" xfId="0" applyFont="1" applyFill="1" applyBorder="1"/>
    <xf numFmtId="0" fontId="111" fillId="5" borderId="42" xfId="0" applyFont="1" applyFill="1" applyBorder="1"/>
    <xf numFmtId="0" fontId="114" fillId="5" borderId="43" xfId="0" applyFont="1" applyFill="1" applyBorder="1"/>
    <xf numFmtId="0" fontId="115" fillId="6" borderId="1" xfId="0" applyFont="1" applyFill="1" applyBorder="1"/>
    <xf numFmtId="0" fontId="110" fillId="6" borderId="1" xfId="0" applyFont="1" applyFill="1" applyBorder="1"/>
    <xf numFmtId="0" fontId="116" fillId="6" borderId="1" xfId="0" applyFont="1" applyFill="1" applyBorder="1"/>
    <xf numFmtId="0" fontId="117" fillId="6" borderId="1" xfId="0" applyFont="1" applyFill="1" applyBorder="1" applyAlignment="1">
      <alignment horizontal="center" vertical="center"/>
    </xf>
    <xf numFmtId="0" fontId="110" fillId="6" borderId="1" xfId="0" applyFont="1" applyFill="1" applyBorder="1" applyAlignment="1">
      <alignment horizontal="center" vertical="center"/>
    </xf>
    <xf numFmtId="0" fontId="115" fillId="6" borderId="1" xfId="0" applyFont="1" applyFill="1" applyBorder="1" applyAlignment="1">
      <alignment horizontal="center"/>
    </xf>
    <xf numFmtId="0" fontId="110" fillId="6" borderId="1" xfId="0" applyFont="1" applyFill="1" applyBorder="1" applyAlignment="1">
      <alignment horizontal="center"/>
    </xf>
    <xf numFmtId="0" fontId="118" fillId="6" borderId="1" xfId="0" applyFont="1" applyFill="1" applyBorder="1" applyAlignment="1">
      <alignment horizontal="center"/>
    </xf>
    <xf numFmtId="175" fontId="110" fillId="6" borderId="1" xfId="0" applyNumberFormat="1" applyFont="1" applyFill="1" applyBorder="1"/>
    <xf numFmtId="37" fontId="110" fillId="6" borderId="1" xfId="0" applyNumberFormat="1" applyFont="1" applyFill="1" applyBorder="1"/>
    <xf numFmtId="175" fontId="115" fillId="6" borderId="1" xfId="0" applyNumberFormat="1" applyFont="1" applyFill="1" applyBorder="1"/>
    <xf numFmtId="37" fontId="115" fillId="6" borderId="1" xfId="0" applyNumberFormat="1" applyFont="1" applyFill="1" applyBorder="1"/>
    <xf numFmtId="0" fontId="119" fillId="6" borderId="1" xfId="0" applyFont="1" applyFill="1" applyBorder="1"/>
    <xf numFmtId="0" fontId="118" fillId="6" borderId="1" xfId="0" applyFont="1" applyFill="1" applyBorder="1" applyAlignment="1">
      <alignment horizontal="left"/>
    </xf>
    <xf numFmtId="0" fontId="120" fillId="6" borderId="1" xfId="0" applyFont="1" applyFill="1" applyBorder="1"/>
    <xf numFmtId="37" fontId="110" fillId="0" borderId="0" xfId="0" applyNumberFormat="1" applyFont="1"/>
    <xf numFmtId="0" fontId="121" fillId="0" borderId="0" xfId="0" applyFont="1"/>
    <xf numFmtId="0" fontId="122" fillId="0" borderId="0" xfId="0" applyFont="1"/>
    <xf numFmtId="0" fontId="123" fillId="0" borderId="0" xfId="0" applyFont="1" applyAlignment="1">
      <alignment horizontal="center"/>
    </xf>
    <xf numFmtId="0" fontId="100" fillId="7" borderId="1" xfId="0" applyFont="1" applyFill="1" applyBorder="1" applyAlignment="1">
      <alignment horizontal="center"/>
    </xf>
    <xf numFmtId="0" fontId="100" fillId="8" borderId="45" xfId="0" applyFont="1" applyFill="1" applyBorder="1" applyAlignment="1">
      <alignment horizontal="center" vertical="center" wrapText="1"/>
    </xf>
    <xf numFmtId="0" fontId="100" fillId="8" borderId="46" xfId="0" applyFont="1" applyFill="1" applyBorder="1" applyAlignment="1">
      <alignment horizontal="center" vertical="center" wrapText="1"/>
    </xf>
    <xf numFmtId="0" fontId="100" fillId="8" borderId="47" xfId="0" applyFont="1" applyFill="1" applyBorder="1" applyAlignment="1">
      <alignment horizontal="center" vertical="center" wrapText="1"/>
    </xf>
    <xf numFmtId="0" fontId="100" fillId="8" borderId="48" xfId="0" applyFont="1" applyFill="1" applyBorder="1" applyAlignment="1">
      <alignment horizontal="center" vertical="center" wrapText="1"/>
    </xf>
    <xf numFmtId="169" fontId="124" fillId="9" borderId="52" xfId="0" applyNumberFormat="1" applyFont="1" applyFill="1" applyBorder="1" applyAlignment="1">
      <alignment horizontal="center" vertical="center"/>
    </xf>
    <xf numFmtId="169" fontId="124" fillId="9" borderId="53" xfId="0" applyNumberFormat="1" applyFont="1" applyFill="1" applyBorder="1" applyAlignment="1">
      <alignment horizontal="center" vertical="center"/>
    </xf>
    <xf numFmtId="3" fontId="100" fillId="9" borderId="52" xfId="0" applyNumberFormat="1" applyFont="1" applyFill="1" applyBorder="1" applyAlignment="1">
      <alignment horizontal="center" vertical="center"/>
    </xf>
    <xf numFmtId="3" fontId="100" fillId="9" borderId="53" xfId="0" applyNumberFormat="1" applyFont="1" applyFill="1" applyBorder="1" applyAlignment="1">
      <alignment horizontal="center" vertical="center"/>
    </xf>
    <xf numFmtId="0" fontId="101" fillId="9" borderId="54" xfId="0" applyFont="1" applyFill="1" applyBorder="1" applyAlignment="1">
      <alignment wrapText="1"/>
    </xf>
    <xf numFmtId="0" fontId="101" fillId="0" borderId="44" xfId="0" applyFont="1" applyBorder="1" applyAlignment="1">
      <alignment horizontal="center" vertical="center" wrapText="1"/>
    </xf>
    <xf numFmtId="0" fontId="101" fillId="0" borderId="44" xfId="0" applyFont="1" applyBorder="1" applyAlignment="1">
      <alignment horizontal="center" vertical="center"/>
    </xf>
    <xf numFmtId="0" fontId="101" fillId="0" borderId="55" xfId="0" applyFont="1" applyBorder="1" applyAlignment="1">
      <alignment horizontal="left" vertical="center" wrapText="1"/>
    </xf>
    <xf numFmtId="37" fontId="101" fillId="0" borderId="0" xfId="0" applyNumberFormat="1" applyFont="1" applyAlignment="1">
      <alignment horizontal="center" vertical="center"/>
    </xf>
    <xf numFmtId="37" fontId="101" fillId="0" borderId="56" xfId="0" applyNumberFormat="1" applyFont="1" applyBorder="1" applyAlignment="1">
      <alignment horizontal="center" vertical="center"/>
    </xf>
    <xf numFmtId="0" fontId="101" fillId="0" borderId="57" xfId="0" applyFont="1" applyBorder="1" applyAlignment="1">
      <alignment horizontal="center" vertical="center" wrapText="1"/>
    </xf>
    <xf numFmtId="0" fontId="101" fillId="0" borderId="57" xfId="0" applyFont="1" applyBorder="1" applyAlignment="1">
      <alignment horizontal="center" vertical="center"/>
    </xf>
    <xf numFmtId="0" fontId="101" fillId="0" borderId="56" xfId="0" applyFont="1" applyBorder="1" applyAlignment="1">
      <alignment horizontal="left" vertical="center" wrapText="1"/>
    </xf>
    <xf numFmtId="0" fontId="101" fillId="0" borderId="55" xfId="0" applyFont="1" applyBorder="1" applyAlignment="1">
      <alignment horizontal="center" vertical="center" wrapText="1"/>
    </xf>
    <xf numFmtId="0" fontId="101" fillId="0" borderId="56" xfId="0" applyFont="1" applyBorder="1" applyAlignment="1">
      <alignment horizontal="center" vertical="center" wrapText="1"/>
    </xf>
    <xf numFmtId="0" fontId="101" fillId="0" borderId="49" xfId="0" applyFont="1" applyBorder="1" applyAlignment="1">
      <alignment horizontal="center" vertical="center" wrapText="1"/>
    </xf>
    <xf numFmtId="0" fontId="101" fillId="0" borderId="49" xfId="0" applyFont="1" applyBorder="1" applyAlignment="1">
      <alignment horizontal="center" vertical="center"/>
    </xf>
    <xf numFmtId="0" fontId="101" fillId="0" borderId="58" xfId="0" applyFont="1" applyBorder="1" applyAlignment="1">
      <alignment horizontal="center" vertical="center" wrapText="1"/>
    </xf>
    <xf numFmtId="0" fontId="101" fillId="0" borderId="59" xfId="0" applyFont="1" applyBorder="1" applyAlignment="1">
      <alignment horizontal="center" vertical="center" wrapText="1"/>
    </xf>
    <xf numFmtId="37" fontId="101" fillId="0" borderId="58" xfId="0" applyNumberFormat="1" applyFont="1" applyBorder="1" applyAlignment="1">
      <alignment horizontal="center" vertical="center"/>
    </xf>
    <xf numFmtId="37" fontId="101" fillId="0" borderId="60" xfId="0" applyNumberFormat="1" applyFont="1" applyBorder="1" applyAlignment="1">
      <alignment horizontal="center" vertical="center"/>
    </xf>
    <xf numFmtId="0" fontId="101" fillId="0" borderId="0" xfId="0" applyFont="1" applyAlignment="1">
      <alignment wrapText="1"/>
    </xf>
    <xf numFmtId="0" fontId="101" fillId="0" borderId="0" xfId="0" applyFont="1" applyAlignment="1">
      <alignment horizontal="center" wrapText="1"/>
    </xf>
    <xf numFmtId="0" fontId="101" fillId="0" borderId="0" xfId="0" applyFont="1" applyAlignment="1">
      <alignment horizontal="right"/>
    </xf>
    <xf numFmtId="43" fontId="101" fillId="0" borderId="0" xfId="0" applyNumberFormat="1" applyFont="1" applyAlignment="1">
      <alignment horizontal="center"/>
    </xf>
    <xf numFmtId="0" fontId="101" fillId="0" borderId="61" xfId="0" applyFont="1" applyBorder="1" applyAlignment="1">
      <alignment horizontal="right" vertical="center"/>
    </xf>
    <xf numFmtId="0" fontId="101" fillId="0" borderId="61" xfId="0" applyFont="1" applyBorder="1" applyAlignment="1">
      <alignment vertical="center"/>
    </xf>
    <xf numFmtId="0" fontId="101" fillId="7" borderId="61" xfId="0" applyFont="1" applyFill="1" applyBorder="1" applyAlignment="1">
      <alignment horizontal="right" vertical="center" wrapText="1"/>
    </xf>
    <xf numFmtId="0" fontId="101" fillId="0" borderId="61" xfId="0" applyFont="1" applyBorder="1" applyAlignment="1">
      <alignment horizontal="center" vertical="center"/>
    </xf>
    <xf numFmtId="0" fontId="101" fillId="0" borderId="61" xfId="0" applyFont="1" applyBorder="1" applyAlignment="1">
      <alignment horizontal="center" vertical="center" wrapText="1"/>
    </xf>
    <xf numFmtId="0" fontId="101" fillId="0" borderId="0" xfId="0" applyFont="1" applyAlignment="1">
      <alignment horizontal="left"/>
    </xf>
    <xf numFmtId="43" fontId="101" fillId="0" borderId="0" xfId="0" applyNumberFormat="1" applyFont="1"/>
    <xf numFmtId="43" fontId="101" fillId="0" borderId="62" xfId="0" applyNumberFormat="1" applyFont="1" applyBorder="1"/>
    <xf numFmtId="43" fontId="101" fillId="0" borderId="63" xfId="0" applyNumberFormat="1" applyFont="1" applyBorder="1"/>
    <xf numFmtId="177" fontId="101" fillId="0" borderId="64" xfId="0" applyNumberFormat="1" applyFont="1" applyBorder="1"/>
    <xf numFmtId="0" fontId="102" fillId="0" borderId="0" xfId="0" applyFont="1"/>
    <xf numFmtId="178" fontId="102" fillId="0" borderId="0" xfId="0" applyNumberFormat="1" applyFont="1" applyAlignment="1">
      <alignment horizontal="left"/>
    </xf>
    <xf numFmtId="0" fontId="126" fillId="0" borderId="0" xfId="0" applyFont="1" applyAlignment="1">
      <alignment horizontal="center"/>
    </xf>
    <xf numFmtId="49" fontId="102" fillId="0" borderId="0" xfId="0" applyNumberFormat="1" applyFont="1" applyAlignment="1">
      <alignment horizontal="center" vertical="center"/>
    </xf>
    <xf numFmtId="172" fontId="102" fillId="10" borderId="1" xfId="0" applyNumberFormat="1" applyFont="1" applyFill="1" applyBorder="1" applyAlignment="1">
      <alignment horizontal="center" vertical="center"/>
    </xf>
    <xf numFmtId="172" fontId="102" fillId="10" borderId="1" xfId="0" applyNumberFormat="1" applyFont="1" applyFill="1" applyBorder="1" applyAlignment="1">
      <alignment horizontal="center"/>
    </xf>
    <xf numFmtId="175" fontId="102" fillId="0" borderId="0" xfId="0" applyNumberFormat="1" applyFont="1" applyAlignment="1">
      <alignment horizontal="center"/>
    </xf>
    <xf numFmtId="172" fontId="102" fillId="0" borderId="0" xfId="0" applyNumberFormat="1" applyFont="1"/>
    <xf numFmtId="43" fontId="102" fillId="0" borderId="0" xfId="0" applyNumberFormat="1" applyFont="1" applyAlignment="1">
      <alignment horizontal="center"/>
    </xf>
    <xf numFmtId="43" fontId="102" fillId="0" borderId="0" xfId="0" applyNumberFormat="1" applyFont="1"/>
    <xf numFmtId="0" fontId="102" fillId="11" borderId="1" xfId="0" applyFont="1" applyFill="1" applyBorder="1" applyAlignment="1">
      <alignment horizontal="center"/>
    </xf>
    <xf numFmtId="179" fontId="102" fillId="0" borderId="0" xfId="0" applyNumberFormat="1" applyFont="1"/>
    <xf numFmtId="44" fontId="102" fillId="0" borderId="0" xfId="0" applyNumberFormat="1" applyFont="1"/>
    <xf numFmtId="0" fontId="102" fillId="11" borderId="1" xfId="0" applyFont="1" applyFill="1" applyBorder="1" applyAlignment="1">
      <alignment horizontal="right"/>
    </xf>
    <xf numFmtId="43" fontId="102" fillId="11" borderId="1" xfId="0" applyNumberFormat="1" applyFont="1" applyFill="1" applyBorder="1"/>
    <xf numFmtId="0" fontId="102" fillId="10" borderId="1" xfId="0" applyFont="1" applyFill="1" applyBorder="1"/>
    <xf numFmtId="0" fontId="100" fillId="12" borderId="61" xfId="0" applyFont="1" applyFill="1" applyBorder="1" applyAlignment="1">
      <alignment horizontal="center"/>
    </xf>
    <xf numFmtId="0" fontId="100" fillId="12" borderId="65" xfId="0" applyFont="1" applyFill="1" applyBorder="1" applyAlignment="1">
      <alignment horizontal="center"/>
    </xf>
    <xf numFmtId="0" fontId="100" fillId="12" borderId="66" xfId="0" applyFont="1" applyFill="1" applyBorder="1" applyAlignment="1">
      <alignment horizontal="center"/>
    </xf>
    <xf numFmtId="0" fontId="100" fillId="12" borderId="67" xfId="0" applyFont="1" applyFill="1" applyBorder="1" applyAlignment="1">
      <alignment horizontal="center"/>
    </xf>
    <xf numFmtId="0" fontId="100" fillId="12" borderId="68" xfId="0" applyFont="1" applyFill="1" applyBorder="1" applyAlignment="1">
      <alignment horizontal="center"/>
    </xf>
    <xf numFmtId="0" fontId="100" fillId="0" borderId="69" xfId="0" applyFont="1" applyBorder="1"/>
    <xf numFmtId="37" fontId="100" fillId="0" borderId="70" xfId="0" applyNumberFormat="1" applyFont="1" applyBorder="1" applyAlignment="1">
      <alignment horizontal="center"/>
    </xf>
    <xf numFmtId="1" fontId="100" fillId="0" borderId="72" xfId="0" applyNumberFormat="1" applyFont="1" applyBorder="1" applyAlignment="1">
      <alignment horizontal="center"/>
    </xf>
    <xf numFmtId="1" fontId="100" fillId="0" borderId="73" xfId="0" applyNumberFormat="1" applyFont="1" applyBorder="1" applyAlignment="1">
      <alignment horizontal="center"/>
    </xf>
    <xf numFmtId="9" fontId="100" fillId="0" borderId="74" xfId="0" applyNumberFormat="1" applyFont="1" applyBorder="1" applyAlignment="1">
      <alignment horizontal="center"/>
    </xf>
    <xf numFmtId="9" fontId="100" fillId="0" borderId="75" xfId="0" applyNumberFormat="1" applyFont="1" applyBorder="1" applyAlignment="1">
      <alignment horizontal="center"/>
    </xf>
    <xf numFmtId="0" fontId="101" fillId="0" borderId="69" xfId="0" applyFont="1" applyBorder="1"/>
    <xf numFmtId="169" fontId="101" fillId="0" borderId="70" xfId="0" applyNumberFormat="1" applyFont="1" applyBorder="1" applyAlignment="1">
      <alignment horizontal="center"/>
    </xf>
    <xf numFmtId="169" fontId="101" fillId="0" borderId="72" xfId="0" applyNumberFormat="1" applyFont="1" applyBorder="1" applyAlignment="1">
      <alignment horizontal="center"/>
    </xf>
    <xf numFmtId="169" fontId="101" fillId="0" borderId="73" xfId="0" applyNumberFormat="1" applyFont="1" applyBorder="1" applyAlignment="1">
      <alignment horizontal="center"/>
    </xf>
    <xf numFmtId="9" fontId="101" fillId="0" borderId="70" xfId="0" applyNumberFormat="1" applyFont="1" applyBorder="1" applyAlignment="1">
      <alignment horizontal="center"/>
    </xf>
    <xf numFmtId="9" fontId="101" fillId="0" borderId="72" xfId="0" applyNumberFormat="1" applyFont="1" applyBorder="1" applyAlignment="1">
      <alignment horizontal="center"/>
    </xf>
    <xf numFmtId="9" fontId="101" fillId="0" borderId="77" xfId="0" applyNumberFormat="1" applyFont="1" applyBorder="1" applyAlignment="1">
      <alignment horizontal="center"/>
    </xf>
    <xf numFmtId="2" fontId="101" fillId="0" borderId="72" xfId="0" applyNumberFormat="1" applyFont="1" applyBorder="1" applyAlignment="1">
      <alignment horizontal="center"/>
    </xf>
    <xf numFmtId="2" fontId="101" fillId="0" borderId="73" xfId="0" applyNumberFormat="1" applyFont="1" applyBorder="1" applyAlignment="1">
      <alignment horizontal="center"/>
    </xf>
    <xf numFmtId="9" fontId="101" fillId="0" borderId="73" xfId="0" applyNumberFormat="1" applyFont="1" applyBorder="1" applyAlignment="1">
      <alignment horizontal="center"/>
    </xf>
    <xf numFmtId="0" fontId="100" fillId="0" borderId="78" xfId="0" applyFont="1" applyBorder="1"/>
    <xf numFmtId="0" fontId="101" fillId="0" borderId="79" xfId="0" applyFont="1" applyBorder="1"/>
    <xf numFmtId="169" fontId="101" fillId="0" borderId="80" xfId="0" applyNumberFormat="1" applyFont="1" applyBorder="1" applyAlignment="1">
      <alignment horizontal="center"/>
    </xf>
    <xf numFmtId="169" fontId="101" fillId="0" borderId="81" xfId="0" applyNumberFormat="1" applyFont="1" applyBorder="1" applyAlignment="1">
      <alignment horizontal="center"/>
    </xf>
    <xf numFmtId="9" fontId="101" fillId="0" borderId="80" xfId="0" applyNumberFormat="1" applyFont="1" applyBorder="1" applyAlignment="1">
      <alignment horizontal="center"/>
    </xf>
    <xf numFmtId="9" fontId="101" fillId="0" borderId="82" xfId="0" applyNumberFormat="1" applyFont="1" applyBorder="1" applyAlignment="1">
      <alignment horizontal="center"/>
    </xf>
    <xf numFmtId="0" fontId="101" fillId="0" borderId="69" xfId="0" applyFont="1" applyBorder="1" applyAlignment="1">
      <alignment horizontal="left"/>
    </xf>
    <xf numFmtId="0" fontId="101" fillId="0" borderId="70" xfId="0" applyFont="1" applyBorder="1" applyAlignment="1">
      <alignment horizontal="center"/>
    </xf>
    <xf numFmtId="0" fontId="101" fillId="0" borderId="83" xfId="0" applyFont="1" applyBorder="1" applyAlignment="1">
      <alignment horizontal="left"/>
    </xf>
    <xf numFmtId="169" fontId="101" fillId="0" borderId="84" xfId="0" applyNumberFormat="1" applyFont="1" applyBorder="1" applyAlignment="1">
      <alignment horizontal="center"/>
    </xf>
    <xf numFmtId="169" fontId="101" fillId="0" borderId="86" xfId="0" applyNumberFormat="1" applyFont="1" applyBorder="1" applyAlignment="1">
      <alignment horizontal="center"/>
    </xf>
    <xf numFmtId="169" fontId="101" fillId="0" borderId="87" xfId="0" applyNumberFormat="1" applyFont="1" applyBorder="1" applyAlignment="1">
      <alignment horizontal="center"/>
    </xf>
    <xf numFmtId="9" fontId="101" fillId="0" borderId="86" xfId="0" applyNumberFormat="1" applyFont="1" applyBorder="1" applyAlignment="1">
      <alignment horizontal="center"/>
    </xf>
    <xf numFmtId="9" fontId="101" fillId="0" borderId="88" xfId="0" applyNumberFormat="1" applyFont="1" applyBorder="1" applyAlignment="1">
      <alignment horizontal="center"/>
    </xf>
    <xf numFmtId="169" fontId="101" fillId="0" borderId="0" xfId="0" applyNumberFormat="1" applyFont="1"/>
    <xf numFmtId="0" fontId="100" fillId="14" borderId="61" xfId="0" applyFont="1" applyFill="1" applyBorder="1" applyAlignment="1">
      <alignment horizontal="center"/>
    </xf>
    <xf numFmtId="0" fontId="100" fillId="14" borderId="65" xfId="0" applyFont="1" applyFill="1" applyBorder="1" applyAlignment="1">
      <alignment horizontal="center"/>
    </xf>
    <xf numFmtId="0" fontId="100" fillId="14" borderId="66" xfId="0" applyFont="1" applyFill="1" applyBorder="1" applyAlignment="1">
      <alignment horizontal="center"/>
    </xf>
    <xf numFmtId="0" fontId="100" fillId="14" borderId="68" xfId="0" applyFont="1" applyFill="1" applyBorder="1" applyAlignment="1">
      <alignment horizontal="center"/>
    </xf>
    <xf numFmtId="0" fontId="100" fillId="15" borderId="61" xfId="0" applyFont="1" applyFill="1" applyBorder="1" applyAlignment="1">
      <alignment horizontal="center"/>
    </xf>
    <xf numFmtId="179" fontId="101" fillId="0" borderId="70" xfId="0" applyNumberFormat="1" applyFont="1" applyBorder="1" applyAlignment="1">
      <alignment horizontal="center"/>
    </xf>
    <xf numFmtId="0" fontId="100" fillId="9" borderId="61" xfId="0" applyFont="1" applyFill="1" applyBorder="1" applyAlignment="1">
      <alignment horizontal="center"/>
    </xf>
    <xf numFmtId="0" fontId="100" fillId="9" borderId="65" xfId="0" applyFont="1" applyFill="1" applyBorder="1" applyAlignment="1">
      <alignment horizontal="center"/>
    </xf>
    <xf numFmtId="0" fontId="100" fillId="9" borderId="66" xfId="0" applyFont="1" applyFill="1" applyBorder="1" applyAlignment="1">
      <alignment horizontal="center"/>
    </xf>
    <xf numFmtId="0" fontId="100" fillId="9" borderId="68" xfId="0" applyFont="1" applyFill="1" applyBorder="1" applyAlignment="1">
      <alignment horizontal="center"/>
    </xf>
    <xf numFmtId="169" fontId="100" fillId="0" borderId="70" xfId="0" applyNumberFormat="1" applyFont="1" applyBorder="1" applyAlignment="1">
      <alignment horizontal="center"/>
    </xf>
    <xf numFmtId="169" fontId="100" fillId="0" borderId="72" xfId="0" applyNumberFormat="1" applyFont="1" applyBorder="1" applyAlignment="1">
      <alignment horizontal="center"/>
    </xf>
    <xf numFmtId="169" fontId="100" fillId="0" borderId="73" xfId="0" applyNumberFormat="1" applyFont="1" applyBorder="1" applyAlignment="1">
      <alignment horizontal="center"/>
    </xf>
    <xf numFmtId="9" fontId="100" fillId="0" borderId="72" xfId="0" applyNumberFormat="1" applyFont="1" applyBorder="1" applyAlignment="1">
      <alignment horizontal="center"/>
    </xf>
    <xf numFmtId="9" fontId="100" fillId="0" borderId="77" xfId="0" applyNumberFormat="1" applyFont="1" applyBorder="1" applyAlignment="1">
      <alignment horizontal="center"/>
    </xf>
    <xf numFmtId="0" fontId="101" fillId="0" borderId="83" xfId="0" applyFont="1" applyBorder="1"/>
    <xf numFmtId="0" fontId="100" fillId="8" borderId="61" xfId="0" applyFont="1" applyFill="1" applyBorder="1" applyAlignment="1">
      <alignment horizontal="center"/>
    </xf>
    <xf numFmtId="0" fontId="100" fillId="8" borderId="65" xfId="0" applyFont="1" applyFill="1" applyBorder="1" applyAlignment="1">
      <alignment horizontal="center"/>
    </xf>
    <xf numFmtId="0" fontId="100" fillId="8" borderId="66" xfId="0" applyFont="1" applyFill="1" applyBorder="1" applyAlignment="1">
      <alignment horizontal="center"/>
    </xf>
    <xf numFmtId="0" fontId="100" fillId="8" borderId="68" xfId="0" applyFont="1" applyFill="1" applyBorder="1" applyAlignment="1">
      <alignment horizontal="center"/>
    </xf>
    <xf numFmtId="0" fontId="100" fillId="16" borderId="61" xfId="0" applyFont="1" applyFill="1" applyBorder="1" applyAlignment="1">
      <alignment horizontal="center"/>
    </xf>
    <xf numFmtId="0" fontId="100" fillId="0" borderId="69" xfId="0" applyFont="1" applyBorder="1" applyAlignment="1">
      <alignment horizontal="left"/>
    </xf>
    <xf numFmtId="0" fontId="100" fillId="17" borderId="61" xfId="0" applyFont="1" applyFill="1" applyBorder="1" applyAlignment="1">
      <alignment horizontal="center"/>
    </xf>
    <xf numFmtId="0" fontId="100" fillId="17" borderId="65" xfId="0" applyFont="1" applyFill="1" applyBorder="1" applyAlignment="1">
      <alignment horizontal="center"/>
    </xf>
    <xf numFmtId="0" fontId="100" fillId="17" borderId="66" xfId="0" applyFont="1" applyFill="1" applyBorder="1" applyAlignment="1">
      <alignment horizontal="center"/>
    </xf>
    <xf numFmtId="0" fontId="100" fillId="17" borderId="68" xfId="0" applyFont="1" applyFill="1" applyBorder="1" applyAlignment="1">
      <alignment horizontal="center"/>
    </xf>
    <xf numFmtId="0" fontId="100" fillId="18" borderId="89" xfId="0" applyFont="1" applyFill="1" applyBorder="1" applyAlignment="1">
      <alignment horizontal="center"/>
    </xf>
    <xf numFmtId="1" fontId="101" fillId="0" borderId="70" xfId="0" applyNumberFormat="1" applyFont="1" applyBorder="1" applyAlignment="1">
      <alignment horizontal="center"/>
    </xf>
    <xf numFmtId="1" fontId="101" fillId="0" borderId="72" xfId="0" applyNumberFormat="1" applyFont="1" applyBorder="1" applyAlignment="1">
      <alignment horizontal="center"/>
    </xf>
    <xf numFmtId="1" fontId="101" fillId="0" borderId="73" xfId="0" applyNumberFormat="1" applyFont="1" applyBorder="1" applyAlignment="1">
      <alignment horizontal="center"/>
    </xf>
    <xf numFmtId="0" fontId="100" fillId="19" borderId="61" xfId="0" applyFont="1" applyFill="1" applyBorder="1" applyAlignment="1">
      <alignment horizontal="center"/>
    </xf>
    <xf numFmtId="0" fontId="100" fillId="19" borderId="65" xfId="0" applyFont="1" applyFill="1" applyBorder="1" applyAlignment="1">
      <alignment horizontal="center"/>
    </xf>
    <xf numFmtId="0" fontId="100" fillId="19" borderId="66" xfId="0" applyFont="1" applyFill="1" applyBorder="1" applyAlignment="1">
      <alignment horizontal="center"/>
    </xf>
    <xf numFmtId="0" fontId="100" fillId="19" borderId="68" xfId="0" applyFont="1" applyFill="1" applyBorder="1" applyAlignment="1">
      <alignment horizontal="center"/>
    </xf>
    <xf numFmtId="0" fontId="100" fillId="20" borderId="61" xfId="0" applyFont="1" applyFill="1" applyBorder="1" applyAlignment="1">
      <alignment horizontal="center"/>
    </xf>
    <xf numFmtId="169" fontId="101" fillId="0" borderId="74" xfId="0" applyNumberFormat="1" applyFont="1" applyBorder="1" applyAlignment="1">
      <alignment horizontal="center"/>
    </xf>
    <xf numFmtId="169" fontId="101" fillId="0" borderId="91" xfId="0" applyNumberFormat="1" applyFont="1" applyBorder="1" applyAlignment="1">
      <alignment horizontal="center"/>
    </xf>
    <xf numFmtId="175" fontId="101" fillId="0" borderId="70" xfId="0" applyNumberFormat="1" applyFont="1" applyBorder="1" applyAlignment="1">
      <alignment horizontal="center"/>
    </xf>
    <xf numFmtId="175" fontId="101" fillId="0" borderId="84" xfId="0" applyNumberFormat="1" applyFont="1" applyBorder="1" applyAlignment="1">
      <alignment horizontal="center"/>
    </xf>
    <xf numFmtId="2" fontId="101" fillId="0" borderId="86" xfId="0" applyNumberFormat="1" applyFont="1" applyBorder="1" applyAlignment="1">
      <alignment horizontal="center"/>
    </xf>
    <xf numFmtId="2" fontId="101" fillId="0" borderId="87" xfId="0" applyNumberFormat="1" applyFont="1" applyBorder="1" applyAlignment="1">
      <alignment horizontal="center"/>
    </xf>
    <xf numFmtId="0" fontId="100" fillId="0" borderId="0" xfId="0" applyFont="1" applyAlignment="1">
      <alignment horizontal="left"/>
    </xf>
    <xf numFmtId="0" fontId="105" fillId="0" borderId="0" xfId="0" applyFont="1" applyAlignment="1">
      <alignment horizontal="center" vertical="center"/>
    </xf>
    <xf numFmtId="0" fontId="110" fillId="0" borderId="0" xfId="0" applyFont="1" applyAlignment="1">
      <alignment horizontal="left" vertical="center"/>
    </xf>
    <xf numFmtId="3" fontId="105" fillId="0" borderId="0" xfId="0" applyNumberFormat="1" applyFont="1"/>
    <xf numFmtId="0" fontId="110" fillId="0" borderId="0" xfId="0" applyFont="1" applyAlignment="1">
      <alignment horizontal="center"/>
    </xf>
    <xf numFmtId="0" fontId="129" fillId="21" borderId="10" xfId="0" applyFont="1" applyFill="1" applyBorder="1"/>
    <xf numFmtId="0" fontId="130" fillId="21" borderId="11" xfId="0" applyFont="1" applyFill="1" applyBorder="1"/>
    <xf numFmtId="0" fontId="111" fillId="0" borderId="3" xfId="0" applyFont="1" applyBorder="1"/>
    <xf numFmtId="0" fontId="131" fillId="21" borderId="20" xfId="0" applyFont="1" applyFill="1" applyBorder="1"/>
    <xf numFmtId="10" fontId="131" fillId="21" borderId="21" xfId="0" applyNumberFormat="1" applyFont="1" applyFill="1" applyBorder="1"/>
    <xf numFmtId="0" fontId="111" fillId="0" borderId="6" xfId="0" applyFont="1" applyBorder="1"/>
    <xf numFmtId="3" fontId="111" fillId="0" borderId="92" xfId="0" applyNumberFormat="1" applyFont="1" applyBorder="1" applyAlignment="1">
      <alignment horizontal="center"/>
    </xf>
    <xf numFmtId="3" fontId="111" fillId="0" borderId="0" xfId="0" applyNumberFormat="1" applyFont="1" applyAlignment="1">
      <alignment horizontal="center"/>
    </xf>
    <xf numFmtId="3" fontId="111" fillId="0" borderId="9" xfId="0" applyNumberFormat="1" applyFont="1" applyBorder="1" applyAlignment="1">
      <alignment horizontal="center"/>
    </xf>
    <xf numFmtId="3" fontId="111" fillId="0" borderId="8" xfId="0" applyNumberFormat="1" applyFont="1" applyBorder="1" applyAlignment="1">
      <alignment horizontal="center"/>
    </xf>
    <xf numFmtId="0" fontId="111" fillId="0" borderId="93" xfId="0" applyFont="1" applyBorder="1"/>
    <xf numFmtId="3" fontId="111" fillId="0" borderId="14" xfId="0" applyNumberFormat="1" applyFont="1" applyBorder="1" applyAlignment="1">
      <alignment horizontal="center"/>
    </xf>
    <xf numFmtId="3" fontId="111" fillId="0" borderId="5" xfId="0" applyNumberFormat="1" applyFont="1" applyBorder="1"/>
    <xf numFmtId="3" fontId="111" fillId="0" borderId="14" xfId="0" applyNumberFormat="1" applyFont="1" applyBorder="1" applyAlignment="1">
      <alignment horizontal="right"/>
    </xf>
    <xf numFmtId="3" fontId="111" fillId="0" borderId="14" xfId="0" applyNumberFormat="1" applyFont="1" applyBorder="1"/>
    <xf numFmtId="3" fontId="111" fillId="0" borderId="93" xfId="0" applyNumberFormat="1" applyFont="1" applyBorder="1" applyAlignment="1">
      <alignment horizontal="center"/>
    </xf>
    <xf numFmtId="3" fontId="111" fillId="0" borderId="5" xfId="0" applyNumberFormat="1" applyFont="1" applyBorder="1" applyAlignment="1">
      <alignment horizontal="center"/>
    </xf>
    <xf numFmtId="0" fontId="111" fillId="0" borderId="8" xfId="0" applyFont="1" applyBorder="1"/>
    <xf numFmtId="3" fontId="111" fillId="0" borderId="0" xfId="0" applyNumberFormat="1" applyFont="1"/>
    <xf numFmtId="3" fontId="111" fillId="0" borderId="8" xfId="0" applyNumberFormat="1" applyFont="1" applyBorder="1"/>
    <xf numFmtId="3" fontId="111" fillId="0" borderId="9" xfId="0" applyNumberFormat="1" applyFont="1" applyBorder="1"/>
    <xf numFmtId="0" fontId="130" fillId="21" borderId="12" xfId="0" applyFont="1" applyFill="1" applyBorder="1"/>
    <xf numFmtId="10" fontId="131" fillId="21" borderId="13" xfId="0" applyNumberFormat="1" applyFont="1" applyFill="1" applyBorder="1"/>
    <xf numFmtId="0" fontId="104" fillId="0" borderId="6" xfId="0" applyFont="1" applyBorder="1"/>
    <xf numFmtId="3" fontId="104" fillId="0" borderId="92" xfId="0" applyNumberFormat="1" applyFont="1" applyBorder="1"/>
    <xf numFmtId="3" fontId="104" fillId="0" borderId="7" xfId="0" applyNumberFormat="1" applyFont="1" applyBorder="1"/>
    <xf numFmtId="3" fontId="104" fillId="0" borderId="6" xfId="0" applyNumberFormat="1" applyFont="1" applyBorder="1"/>
    <xf numFmtId="0" fontId="111" fillId="0" borderId="9" xfId="0" applyFont="1" applyBorder="1"/>
    <xf numFmtId="175" fontId="104" fillId="0" borderId="8" xfId="0" applyNumberFormat="1" applyFont="1" applyBorder="1"/>
    <xf numFmtId="175" fontId="104" fillId="0" borderId="9" xfId="0" applyNumberFormat="1" applyFont="1" applyBorder="1"/>
    <xf numFmtId="0" fontId="104" fillId="0" borderId="93" xfId="0" applyFont="1" applyBorder="1"/>
    <xf numFmtId="3" fontId="111" fillId="0" borderId="93" xfId="0" applyNumberFormat="1" applyFont="1" applyBorder="1"/>
    <xf numFmtId="3" fontId="104" fillId="0" borderId="93" xfId="0" applyNumberFormat="1" applyFont="1" applyBorder="1"/>
    <xf numFmtId="3" fontId="104" fillId="0" borderId="14" xfId="0" applyNumberFormat="1" applyFont="1" applyBorder="1"/>
    <xf numFmtId="0" fontId="104" fillId="0" borderId="8" xfId="0" applyFont="1" applyBorder="1"/>
    <xf numFmtId="3" fontId="111" fillId="0" borderId="92" xfId="0" applyNumberFormat="1" applyFont="1" applyBorder="1"/>
    <xf numFmtId="3" fontId="111" fillId="0" borderId="7" xfId="0" applyNumberFormat="1" applyFont="1" applyBorder="1"/>
    <xf numFmtId="3" fontId="111" fillId="0" borderId="6" xfId="0" applyNumberFormat="1" applyFont="1" applyBorder="1"/>
    <xf numFmtId="43" fontId="111" fillId="0" borderId="0" xfId="0" applyNumberFormat="1" applyFont="1"/>
    <xf numFmtId="3" fontId="104" fillId="0" borderId="8" xfId="0" applyNumberFormat="1" applyFont="1" applyBorder="1"/>
    <xf numFmtId="37" fontId="111" fillId="0" borderId="9" xfId="0" applyNumberFormat="1" applyFont="1" applyBorder="1"/>
    <xf numFmtId="37" fontId="111" fillId="0" borderId="8" xfId="0" applyNumberFormat="1" applyFont="1" applyBorder="1"/>
    <xf numFmtId="0" fontId="104" fillId="3" borderId="10" xfId="0" applyFont="1" applyFill="1" applyBorder="1"/>
    <xf numFmtId="37" fontId="104" fillId="3" borderId="26" xfId="0" applyNumberFormat="1" applyFont="1" applyFill="1" applyBorder="1"/>
    <xf numFmtId="3" fontId="104" fillId="3" borderId="26" xfId="0" applyNumberFormat="1" applyFont="1" applyFill="1" applyBorder="1"/>
    <xf numFmtId="37" fontId="104" fillId="3" borderId="11" xfId="0" applyNumberFormat="1" applyFont="1" applyFill="1" applyBorder="1"/>
    <xf numFmtId="37" fontId="104" fillId="3" borderId="10" xfId="0" applyNumberFormat="1" applyFont="1" applyFill="1" applyBorder="1"/>
    <xf numFmtId="0" fontId="104" fillId="3" borderId="12" xfId="0" applyFont="1" applyFill="1" applyBorder="1"/>
    <xf numFmtId="0" fontId="104" fillId="3" borderId="27" xfId="0" applyFont="1" applyFill="1" applyBorder="1"/>
    <xf numFmtId="0" fontId="104" fillId="3" borderId="13" xfId="0" applyFont="1" applyFill="1" applyBorder="1"/>
    <xf numFmtId="175" fontId="104" fillId="3" borderId="12" xfId="0" applyNumberFormat="1" applyFont="1" applyFill="1" applyBorder="1"/>
    <xf numFmtId="175" fontId="104" fillId="3" borderId="13" xfId="0" applyNumberFormat="1" applyFont="1" applyFill="1" applyBorder="1"/>
    <xf numFmtId="0" fontId="104" fillId="0" borderId="9" xfId="0" applyFont="1" applyBorder="1"/>
    <xf numFmtId="0" fontId="104" fillId="0" borderId="8" xfId="0" applyFont="1" applyBorder="1" applyAlignment="1">
      <alignment horizontal="left"/>
    </xf>
    <xf numFmtId="175" fontId="111" fillId="0" borderId="0" xfId="0" applyNumberFormat="1" applyFont="1" applyAlignment="1">
      <alignment horizontal="right"/>
    </xf>
    <xf numFmtId="37" fontId="111" fillId="0" borderId="0" xfId="0" applyNumberFormat="1" applyFont="1"/>
    <xf numFmtId="175" fontId="111" fillId="0" borderId="8" xfId="0" applyNumberFormat="1" applyFont="1" applyBorder="1"/>
    <xf numFmtId="175" fontId="111" fillId="0" borderId="14" xfId="0" applyNumberFormat="1" applyFont="1" applyBorder="1" applyAlignment="1">
      <alignment horizontal="right"/>
    </xf>
    <xf numFmtId="37" fontId="111" fillId="0" borderId="14" xfId="0" applyNumberFormat="1" applyFont="1" applyBorder="1"/>
    <xf numFmtId="175" fontId="111" fillId="0" borderId="93" xfId="0" applyNumberFormat="1" applyFont="1" applyBorder="1"/>
    <xf numFmtId="37" fontId="111" fillId="0" borderId="5" xfId="0" applyNumberFormat="1" applyFont="1" applyBorder="1"/>
    <xf numFmtId="0" fontId="111" fillId="0" borderId="0" xfId="0" applyFont="1" applyAlignment="1">
      <alignment horizontal="right"/>
    </xf>
    <xf numFmtId="0" fontId="111" fillId="0" borderId="8" xfId="0" applyFont="1" applyBorder="1" applyAlignment="1">
      <alignment horizontal="right"/>
    </xf>
    <xf numFmtId="0" fontId="111" fillId="0" borderId="14" xfId="0" applyFont="1" applyBorder="1" applyAlignment="1">
      <alignment horizontal="right"/>
    </xf>
    <xf numFmtId="0" fontId="111" fillId="0" borderId="93" xfId="0" applyFont="1" applyBorder="1" applyAlignment="1">
      <alignment horizontal="right"/>
    </xf>
    <xf numFmtId="3" fontId="111" fillId="0" borderId="94" xfId="0" applyNumberFormat="1" applyFont="1" applyBorder="1"/>
    <xf numFmtId="3" fontId="111" fillId="0" borderId="55" xfId="0" applyNumberFormat="1" applyFont="1" applyBorder="1"/>
    <xf numFmtId="3" fontId="111" fillId="0" borderId="96" xfId="0" applyNumberFormat="1" applyFont="1" applyBorder="1"/>
    <xf numFmtId="0" fontId="104" fillId="3" borderId="28" xfId="0" applyFont="1" applyFill="1" applyBorder="1"/>
    <xf numFmtId="0" fontId="104" fillId="3" borderId="29" xfId="0" applyFont="1" applyFill="1" applyBorder="1" applyAlignment="1">
      <alignment horizontal="center"/>
    </xf>
    <xf numFmtId="175" fontId="104" fillId="3" borderId="29" xfId="0" applyNumberFormat="1" applyFont="1" applyFill="1" applyBorder="1"/>
    <xf numFmtId="37" fontId="104" fillId="3" borderId="30" xfId="0" applyNumberFormat="1" applyFont="1" applyFill="1" applyBorder="1"/>
    <xf numFmtId="0" fontId="104" fillId="3" borderId="28" xfId="0" applyFont="1" applyFill="1" applyBorder="1" applyAlignment="1">
      <alignment horizontal="center"/>
    </xf>
    <xf numFmtId="0" fontId="111" fillId="3" borderId="31" xfId="0" applyFont="1" applyFill="1" applyBorder="1"/>
    <xf numFmtId="37" fontId="104" fillId="3" borderId="29" xfId="0" applyNumberFormat="1" applyFont="1" applyFill="1" applyBorder="1"/>
    <xf numFmtId="0" fontId="111" fillId="3" borderId="28" xfId="0" applyFont="1" applyFill="1" applyBorder="1"/>
    <xf numFmtId="0" fontId="112" fillId="0" borderId="8" xfId="0" applyFont="1" applyBorder="1"/>
    <xf numFmtId="0" fontId="112" fillId="0" borderId="93" xfId="0" applyFont="1" applyBorder="1"/>
    <xf numFmtId="0" fontId="111" fillId="0" borderId="92" xfId="0" applyFont="1" applyBorder="1" applyAlignment="1">
      <alignment horizontal="right"/>
    </xf>
    <xf numFmtId="0" fontId="111" fillId="0" borderId="92" xfId="0" applyFont="1" applyBorder="1"/>
    <xf numFmtId="0" fontId="111" fillId="0" borderId="6" xfId="0" applyFont="1" applyBorder="1" applyAlignment="1">
      <alignment horizontal="right"/>
    </xf>
    <xf numFmtId="37" fontId="111" fillId="0" borderId="7" xfId="0" applyNumberFormat="1" applyFont="1" applyBorder="1"/>
    <xf numFmtId="0" fontId="111" fillId="0" borderId="14" xfId="0" applyFont="1" applyBorder="1"/>
    <xf numFmtId="37" fontId="104" fillId="0" borderId="0" xfId="0" applyNumberFormat="1" applyFont="1"/>
    <xf numFmtId="37" fontId="104" fillId="3" borderId="24" xfId="0" applyNumberFormat="1" applyFont="1" applyFill="1" applyBorder="1"/>
    <xf numFmtId="0" fontId="111" fillId="10" borderId="1" xfId="0" applyFont="1" applyFill="1" applyBorder="1"/>
    <xf numFmtId="1" fontId="111" fillId="0" borderId="8" xfId="0" applyNumberFormat="1" applyFont="1" applyBorder="1"/>
    <xf numFmtId="172" fontId="111" fillId="0" borderId="0" xfId="0" applyNumberFormat="1" applyFont="1"/>
    <xf numFmtId="0" fontId="104" fillId="6" borderId="20" xfId="0" applyFont="1" applyFill="1" applyBorder="1"/>
    <xf numFmtId="0" fontId="111" fillId="6" borderId="1" xfId="0" applyFont="1" applyFill="1" applyBorder="1"/>
    <xf numFmtId="0" fontId="104" fillId="6" borderId="1" xfId="0" applyFont="1" applyFill="1" applyBorder="1"/>
    <xf numFmtId="37" fontId="104" fillId="6" borderId="21" xfId="0" applyNumberFormat="1" applyFont="1" applyFill="1" applyBorder="1"/>
    <xf numFmtId="0" fontId="111" fillId="6" borderId="20" xfId="0" applyFont="1" applyFill="1" applyBorder="1"/>
    <xf numFmtId="0" fontId="111" fillId="6" borderId="22" xfId="0" applyFont="1" applyFill="1" applyBorder="1"/>
    <xf numFmtId="0" fontId="111" fillId="6" borderId="23" xfId="0" applyFont="1" applyFill="1" applyBorder="1"/>
    <xf numFmtId="37" fontId="104" fillId="6" borderId="24" xfId="0" applyNumberFormat="1" applyFont="1" applyFill="1" applyBorder="1"/>
    <xf numFmtId="0" fontId="104" fillId="3" borderId="34" xfId="0" applyFont="1" applyFill="1" applyBorder="1"/>
    <xf numFmtId="0" fontId="111" fillId="3" borderId="35" xfId="0" applyFont="1" applyFill="1" applyBorder="1"/>
    <xf numFmtId="0" fontId="104" fillId="3" borderId="35" xfId="0" applyFont="1" applyFill="1" applyBorder="1"/>
    <xf numFmtId="37" fontId="104" fillId="3" borderId="36" xfId="0" applyNumberFormat="1" applyFont="1" applyFill="1" applyBorder="1"/>
    <xf numFmtId="0" fontId="111" fillId="3" borderId="34" xfId="0" applyFont="1" applyFill="1" applyBorder="1"/>
    <xf numFmtId="1" fontId="113" fillId="0" borderId="0" xfId="0" applyNumberFormat="1" applyFont="1"/>
    <xf numFmtId="37" fontId="113" fillId="0" borderId="0" xfId="0" applyNumberFormat="1" applyFont="1"/>
    <xf numFmtId="0" fontId="132" fillId="22" borderId="1" xfId="0" applyFont="1" applyFill="1" applyBorder="1"/>
    <xf numFmtId="0" fontId="111" fillId="0" borderId="9" xfId="0" applyFont="1" applyBorder="1" applyAlignment="1">
      <alignment horizontal="center"/>
    </xf>
    <xf numFmtId="0" fontId="111" fillId="0" borderId="8" xfId="0" applyFont="1" applyBorder="1" applyAlignment="1">
      <alignment horizontal="center"/>
    </xf>
    <xf numFmtId="0" fontId="111" fillId="0" borderId="93" xfId="0" applyFont="1" applyBorder="1" applyAlignment="1">
      <alignment horizontal="center"/>
    </xf>
    <xf numFmtId="0" fontId="111" fillId="0" borderId="5" xfId="0" applyFont="1" applyBorder="1" applyAlignment="1">
      <alignment horizontal="center"/>
    </xf>
    <xf numFmtId="0" fontId="133" fillId="0" borderId="0" xfId="0" applyFont="1"/>
    <xf numFmtId="175" fontId="114" fillId="0" borderId="8" xfId="0" applyNumberFormat="1" applyFont="1" applyBorder="1"/>
    <xf numFmtId="175" fontId="114" fillId="0" borderId="9" xfId="0" applyNumberFormat="1" applyFont="1" applyBorder="1"/>
    <xf numFmtId="39" fontId="111" fillId="0" borderId="0" xfId="0" applyNumberFormat="1" applyFont="1"/>
    <xf numFmtId="3" fontId="104" fillId="0" borderId="5" xfId="0" applyNumberFormat="1" applyFont="1" applyBorder="1"/>
    <xf numFmtId="174" fontId="111" fillId="0" borderId="0" xfId="0" applyNumberFormat="1" applyFont="1"/>
    <xf numFmtId="174" fontId="104" fillId="3" borderId="26" xfId="0" applyNumberFormat="1" applyFont="1" applyFill="1" applyBorder="1"/>
    <xf numFmtId="9" fontId="104" fillId="3" borderId="12" xfId="0" applyNumberFormat="1" applyFont="1" applyFill="1" applyBorder="1"/>
    <xf numFmtId="175" fontId="104" fillId="9" borderId="13" xfId="0" applyNumberFormat="1" applyFont="1" applyFill="1" applyBorder="1"/>
    <xf numFmtId="175" fontId="111" fillId="0" borderId="0" xfId="0" applyNumberFormat="1" applyFont="1"/>
    <xf numFmtId="175" fontId="111" fillId="0" borderId="14" xfId="0" applyNumberFormat="1" applyFont="1" applyBorder="1"/>
    <xf numFmtId="0" fontId="111" fillId="3" borderId="22" xfId="0" applyFont="1" applyFill="1" applyBorder="1"/>
    <xf numFmtId="0" fontId="104" fillId="0" borderId="0" xfId="0" applyFont="1" applyAlignment="1">
      <alignment horizontal="center"/>
    </xf>
    <xf numFmtId="175" fontId="104" fillId="0" borderId="0" xfId="0" applyNumberFormat="1" applyFont="1"/>
    <xf numFmtId="0" fontId="104" fillId="0" borderId="8" xfId="0" applyFont="1" applyBorder="1" applyAlignment="1">
      <alignment horizontal="center"/>
    </xf>
    <xf numFmtId="1" fontId="111" fillId="0" borderId="0" xfId="0" applyNumberFormat="1" applyFont="1"/>
    <xf numFmtId="0" fontId="111" fillId="3" borderId="35" xfId="0" applyFont="1" applyFill="1" applyBorder="1" applyAlignment="1">
      <alignment horizontal="right"/>
    </xf>
    <xf numFmtId="0" fontId="111" fillId="3" borderId="34" xfId="0" applyFont="1" applyFill="1" applyBorder="1" applyAlignment="1">
      <alignment horizontal="right"/>
    </xf>
    <xf numFmtId="175" fontId="111" fillId="0" borderId="9" xfId="0" applyNumberFormat="1" applyFont="1" applyBorder="1"/>
    <xf numFmtId="39" fontId="111" fillId="0" borderId="14" xfId="0" applyNumberFormat="1" applyFont="1" applyBorder="1" applyAlignment="1">
      <alignment horizontal="center"/>
    </xf>
    <xf numFmtId="175" fontId="111" fillId="0" borderId="5" xfId="0" applyNumberFormat="1" applyFont="1" applyBorder="1"/>
    <xf numFmtId="37" fontId="111" fillId="0" borderId="93" xfId="0" applyNumberFormat="1" applyFont="1" applyBorder="1"/>
    <xf numFmtId="37" fontId="111" fillId="0" borderId="92" xfId="0" applyNumberFormat="1" applyFont="1" applyBorder="1"/>
    <xf numFmtId="37" fontId="111" fillId="0" borderId="6" xfId="0" applyNumberFormat="1" applyFont="1" applyBorder="1"/>
    <xf numFmtId="10" fontId="111" fillId="0" borderId="0" xfId="0" applyNumberFormat="1" applyFont="1"/>
    <xf numFmtId="175" fontId="104" fillId="0" borderId="93" xfId="0" applyNumberFormat="1" applyFont="1" applyBorder="1"/>
    <xf numFmtId="175" fontId="104" fillId="0" borderId="5" xfId="0" applyNumberFormat="1" applyFont="1" applyBorder="1"/>
    <xf numFmtId="175" fontId="111" fillId="0" borderId="6" xfId="0" applyNumberFormat="1" applyFont="1" applyBorder="1"/>
    <xf numFmtId="174" fontId="104" fillId="0" borderId="0" xfId="0" applyNumberFormat="1" applyFont="1"/>
    <xf numFmtId="37" fontId="104" fillId="0" borderId="8" xfId="0" applyNumberFormat="1" applyFont="1" applyBorder="1"/>
    <xf numFmtId="37" fontId="104" fillId="0" borderId="9" xfId="0" applyNumberFormat="1" applyFont="1" applyBorder="1"/>
    <xf numFmtId="0" fontId="104" fillId="0" borderId="14" xfId="0" applyFont="1" applyBorder="1"/>
    <xf numFmtId="174" fontId="104" fillId="0" borderId="14" xfId="0" applyNumberFormat="1" applyFont="1" applyBorder="1"/>
    <xf numFmtId="37" fontId="104" fillId="0" borderId="93" xfId="0" applyNumberFormat="1" applyFont="1" applyBorder="1"/>
    <xf numFmtId="37" fontId="104" fillId="0" borderId="5" xfId="0" applyNumberFormat="1" applyFont="1" applyBorder="1"/>
    <xf numFmtId="37" fontId="111" fillId="0" borderId="97" xfId="0" applyNumberFormat="1" applyFont="1" applyBorder="1"/>
    <xf numFmtId="0" fontId="104" fillId="6" borderId="10" xfId="0" applyFont="1" applyFill="1" applyBorder="1"/>
    <xf numFmtId="37" fontId="104" fillId="6" borderId="26" xfId="0" applyNumberFormat="1" applyFont="1" applyFill="1" applyBorder="1"/>
    <xf numFmtId="37" fontId="104" fillId="6" borderId="11" xfId="0" applyNumberFormat="1" applyFont="1" applyFill="1" applyBorder="1"/>
    <xf numFmtId="37" fontId="104" fillId="6" borderId="10" xfId="0" applyNumberFormat="1" applyFont="1" applyFill="1" applyBorder="1"/>
    <xf numFmtId="175" fontId="104" fillId="6" borderId="10" xfId="0" applyNumberFormat="1" applyFont="1" applyFill="1" applyBorder="1"/>
    <xf numFmtId="0" fontId="104" fillId="6" borderId="22" xfId="0" applyFont="1" applyFill="1" applyBorder="1"/>
    <xf numFmtId="37" fontId="104" fillId="6" borderId="23" xfId="0" applyNumberFormat="1" applyFont="1" applyFill="1" applyBorder="1"/>
    <xf numFmtId="39" fontId="104" fillId="6" borderId="23" xfId="0" applyNumberFormat="1" applyFont="1" applyFill="1" applyBorder="1" applyAlignment="1">
      <alignment horizontal="center"/>
    </xf>
    <xf numFmtId="175" fontId="104" fillId="6" borderId="24" xfId="0" applyNumberFormat="1" applyFont="1" applyFill="1" applyBorder="1"/>
    <xf numFmtId="37" fontId="104" fillId="6" borderId="22" xfId="0" applyNumberFormat="1" applyFont="1" applyFill="1" applyBorder="1"/>
    <xf numFmtId="37" fontId="104" fillId="0" borderId="92" xfId="0" applyNumberFormat="1" applyFont="1" applyBorder="1"/>
    <xf numFmtId="174" fontId="104" fillId="0" borderId="92" xfId="0" applyNumberFormat="1" applyFont="1" applyBorder="1"/>
    <xf numFmtId="37" fontId="104" fillId="0" borderId="7" xfId="0" applyNumberFormat="1" applyFont="1" applyBorder="1"/>
    <xf numFmtId="37" fontId="104" fillId="0" borderId="6" xfId="0" applyNumberFormat="1" applyFont="1" applyBorder="1"/>
    <xf numFmtId="0" fontId="104" fillId="6" borderId="19" xfId="0" applyFont="1" applyFill="1" applyBorder="1"/>
    <xf numFmtId="37" fontId="104" fillId="6" borderId="15" xfId="0" applyNumberFormat="1" applyFont="1" applyFill="1" applyBorder="1"/>
    <xf numFmtId="174" fontId="104" fillId="6" borderId="15" xfId="0" applyNumberFormat="1" applyFont="1" applyFill="1" applyBorder="1"/>
    <xf numFmtId="37" fontId="104" fillId="6" borderId="25" xfId="0" applyNumberFormat="1" applyFont="1" applyFill="1" applyBorder="1"/>
    <xf numFmtId="37" fontId="104" fillId="6" borderId="19" xfId="0" applyNumberFormat="1" applyFont="1" applyFill="1" applyBorder="1"/>
    <xf numFmtId="175" fontId="104" fillId="3" borderId="10" xfId="0" applyNumberFormat="1" applyFont="1" applyFill="1" applyBorder="1"/>
    <xf numFmtId="37" fontId="111" fillId="0" borderId="0" xfId="0" applyNumberFormat="1" applyFont="1" applyAlignment="1">
      <alignment horizontal="center"/>
    </xf>
    <xf numFmtId="0" fontId="111" fillId="0" borderId="14" xfId="0" applyFont="1" applyBorder="1" applyAlignment="1">
      <alignment horizontal="center"/>
    </xf>
    <xf numFmtId="1" fontId="111" fillId="0" borderId="6" xfId="0" applyNumberFormat="1" applyFont="1" applyBorder="1"/>
    <xf numFmtId="174" fontId="111" fillId="0" borderId="14" xfId="0" applyNumberFormat="1" applyFont="1" applyBorder="1"/>
    <xf numFmtId="2" fontId="111" fillId="0" borderId="14" xfId="0" applyNumberFormat="1" applyFont="1" applyBorder="1"/>
    <xf numFmtId="10" fontId="104" fillId="3" borderId="10" xfId="0" applyNumberFormat="1" applyFont="1" applyFill="1" applyBorder="1"/>
    <xf numFmtId="0" fontId="112" fillId="0" borderId="6" xfId="0" applyFont="1" applyBorder="1"/>
    <xf numFmtId="175" fontId="104" fillId="0" borderId="92" xfId="0" applyNumberFormat="1" applyFont="1" applyBorder="1"/>
    <xf numFmtId="175" fontId="104" fillId="0" borderId="6" xfId="0" applyNumberFormat="1" applyFont="1" applyBorder="1"/>
    <xf numFmtId="0" fontId="111" fillId="0" borderId="5" xfId="0" applyFont="1" applyBorder="1"/>
    <xf numFmtId="175" fontId="104" fillId="3" borderId="26" xfId="0" applyNumberFormat="1" applyFont="1" applyFill="1" applyBorder="1"/>
    <xf numFmtId="175" fontId="104" fillId="3" borderId="16" xfId="0" applyNumberFormat="1" applyFont="1" applyFill="1" applyBorder="1"/>
    <xf numFmtId="37" fontId="104" fillId="3" borderId="18" xfId="0" applyNumberFormat="1" applyFont="1" applyFill="1" applyBorder="1"/>
    <xf numFmtId="37" fontId="104" fillId="3" borderId="35" xfId="0" applyNumberFormat="1" applyFont="1" applyFill="1" applyBorder="1"/>
    <xf numFmtId="174" fontId="104" fillId="3" borderId="35" xfId="0" applyNumberFormat="1" applyFont="1" applyFill="1" applyBorder="1"/>
    <xf numFmtId="37" fontId="104" fillId="3" borderId="34" xfId="0" applyNumberFormat="1" applyFont="1" applyFill="1" applyBorder="1"/>
    <xf numFmtId="0" fontId="111" fillId="3" borderId="12" xfId="0" applyFont="1" applyFill="1" applyBorder="1"/>
    <xf numFmtId="6" fontId="111" fillId="0" borderId="0" xfId="0" applyNumberFormat="1" applyFont="1"/>
    <xf numFmtId="0" fontId="111" fillId="0" borderId="98" xfId="0" applyFont="1" applyBorder="1" applyAlignment="1">
      <alignment horizontal="center"/>
    </xf>
    <xf numFmtId="0" fontId="111" fillId="0" borderId="99" xfId="0" applyFont="1" applyBorder="1" applyAlignment="1">
      <alignment horizontal="center"/>
    </xf>
    <xf numFmtId="0" fontId="111" fillId="0" borderId="97" xfId="0" applyFont="1" applyBorder="1" applyAlignment="1">
      <alignment horizontal="center"/>
    </xf>
    <xf numFmtId="37" fontId="111" fillId="9" borderId="1" xfId="0" applyNumberFormat="1" applyFont="1" applyFill="1" applyBorder="1"/>
    <xf numFmtId="175" fontId="104" fillId="3" borderId="1" xfId="0" applyNumberFormat="1" applyFont="1" applyFill="1" applyBorder="1"/>
    <xf numFmtId="37" fontId="111" fillId="9" borderId="18" xfId="0" applyNumberFormat="1" applyFont="1" applyFill="1" applyBorder="1"/>
    <xf numFmtId="3" fontId="111" fillId="9" borderId="16" xfId="0" applyNumberFormat="1" applyFont="1" applyFill="1" applyBorder="1"/>
    <xf numFmtId="3" fontId="111" fillId="9" borderId="18" xfId="0" applyNumberFormat="1" applyFont="1" applyFill="1" applyBorder="1"/>
    <xf numFmtId="0" fontId="134" fillId="0" borderId="0" xfId="0" applyFont="1"/>
    <xf numFmtId="175" fontId="104" fillId="0" borderId="100" xfId="0" applyNumberFormat="1" applyFont="1" applyBorder="1"/>
    <xf numFmtId="0" fontId="104" fillId="3" borderId="37" xfId="0" applyFont="1" applyFill="1" applyBorder="1"/>
    <xf numFmtId="0" fontId="104" fillId="3" borderId="38" xfId="0" applyFont="1" applyFill="1" applyBorder="1"/>
    <xf numFmtId="37" fontId="104" fillId="3" borderId="39" xfId="0" applyNumberFormat="1" applyFont="1" applyFill="1" applyBorder="1"/>
    <xf numFmtId="0" fontId="111" fillId="3" borderId="37" xfId="0" applyFont="1" applyFill="1" applyBorder="1"/>
    <xf numFmtId="0" fontId="111" fillId="3" borderId="38" xfId="0" applyFont="1" applyFill="1" applyBorder="1"/>
    <xf numFmtId="0" fontId="135" fillId="23" borderId="1" xfId="0" applyFont="1" applyFill="1" applyBorder="1"/>
    <xf numFmtId="0" fontId="114" fillId="0" borderId="0" xfId="0" applyFont="1" applyAlignment="1">
      <alignment horizontal="center" vertical="center"/>
    </xf>
    <xf numFmtId="0" fontId="111" fillId="0" borderId="101" xfId="0" applyFont="1" applyBorder="1" applyAlignment="1">
      <alignment horizontal="left"/>
    </xf>
    <xf numFmtId="0" fontId="104" fillId="0" borderId="102" xfId="0" applyFont="1" applyBorder="1" applyAlignment="1">
      <alignment horizontal="center" vertical="center"/>
    </xf>
    <xf numFmtId="0" fontId="111" fillId="0" borderId="87" xfId="0" applyFont="1" applyBorder="1" applyAlignment="1">
      <alignment horizontal="center"/>
    </xf>
    <xf numFmtId="0" fontId="111" fillId="0" borderId="85" xfId="0" applyFont="1" applyBorder="1" applyAlignment="1">
      <alignment horizontal="center"/>
    </xf>
    <xf numFmtId="0" fontId="111" fillId="0" borderId="106" xfId="0" applyFont="1" applyBorder="1" applyAlignment="1">
      <alignment horizontal="center"/>
    </xf>
    <xf numFmtId="0" fontId="112" fillId="0" borderId="14" xfId="0" applyFont="1" applyBorder="1"/>
    <xf numFmtId="37" fontId="112" fillId="0" borderId="87" xfId="0" applyNumberFormat="1" applyFont="1" applyBorder="1"/>
    <xf numFmtId="37" fontId="112" fillId="0" borderId="85" xfId="0" applyNumberFormat="1" applyFont="1" applyBorder="1"/>
    <xf numFmtId="37" fontId="112" fillId="0" borderId="14" xfId="0" applyNumberFormat="1" applyFont="1" applyBorder="1"/>
    <xf numFmtId="175" fontId="112" fillId="0" borderId="14" xfId="0" applyNumberFormat="1" applyFont="1" applyBorder="1"/>
    <xf numFmtId="37" fontId="112" fillId="0" borderId="106" xfId="0" applyNumberFormat="1" applyFont="1" applyBorder="1"/>
    <xf numFmtId="175" fontId="112" fillId="0" borderId="5" xfId="0" applyNumberFormat="1" applyFont="1" applyBorder="1"/>
    <xf numFmtId="0" fontId="114" fillId="3" borderId="22" xfId="0" applyFont="1" applyFill="1" applyBorder="1"/>
    <xf numFmtId="0" fontId="114" fillId="3" borderId="23" xfId="0" applyFont="1" applyFill="1" applyBorder="1"/>
    <xf numFmtId="37" fontId="114" fillId="3" borderId="107" xfId="0" applyNumberFormat="1" applyFont="1" applyFill="1" applyBorder="1"/>
    <xf numFmtId="37" fontId="114" fillId="3" borderId="108" xfId="0" applyNumberFormat="1" applyFont="1" applyFill="1" applyBorder="1"/>
    <xf numFmtId="37" fontId="114" fillId="3" borderId="23" xfId="0" applyNumberFormat="1" applyFont="1" applyFill="1" applyBorder="1"/>
    <xf numFmtId="175" fontId="114" fillId="3" borderId="23" xfId="0" applyNumberFormat="1" applyFont="1" applyFill="1" applyBorder="1"/>
    <xf numFmtId="37" fontId="114" fillId="3" borderId="109" xfId="0" applyNumberFormat="1" applyFont="1" applyFill="1" applyBorder="1"/>
    <xf numFmtId="175" fontId="114" fillId="3" borderId="24" xfId="0" applyNumberFormat="1" applyFont="1" applyFill="1" applyBorder="1"/>
    <xf numFmtId="0" fontId="114" fillId="0" borderId="8" xfId="0" applyFont="1" applyBorder="1"/>
    <xf numFmtId="0" fontId="112" fillId="0" borderId="0" xfId="0" applyFont="1"/>
    <xf numFmtId="37" fontId="112" fillId="0" borderId="73" xfId="0" applyNumberFormat="1" applyFont="1" applyBorder="1"/>
    <xf numFmtId="37" fontId="112" fillId="0" borderId="71" xfId="0" applyNumberFormat="1" applyFont="1" applyBorder="1"/>
    <xf numFmtId="37" fontId="112" fillId="0" borderId="0" xfId="0" applyNumberFormat="1" applyFont="1"/>
    <xf numFmtId="175" fontId="112" fillId="0" borderId="0" xfId="0" applyNumberFormat="1" applyFont="1"/>
    <xf numFmtId="37" fontId="112" fillId="0" borderId="56" xfId="0" applyNumberFormat="1" applyFont="1" applyBorder="1"/>
    <xf numFmtId="175" fontId="112" fillId="0" borderId="7" xfId="0" applyNumberFormat="1" applyFont="1" applyBorder="1"/>
    <xf numFmtId="0" fontId="112" fillId="0" borderId="0" xfId="0" applyFont="1" applyAlignment="1">
      <alignment horizontal="right"/>
    </xf>
    <xf numFmtId="174" fontId="112" fillId="0" borderId="0" xfId="0" applyNumberFormat="1" applyFont="1"/>
    <xf numFmtId="0" fontId="112" fillId="0" borderId="71" xfId="0" applyFont="1" applyBorder="1"/>
    <xf numFmtId="175" fontId="112" fillId="0" borderId="9" xfId="0" applyNumberFormat="1" applyFont="1" applyBorder="1"/>
    <xf numFmtId="0" fontId="112" fillId="0" borderId="14" xfId="0" applyFont="1" applyBorder="1" applyAlignment="1">
      <alignment horizontal="right"/>
    </xf>
    <xf numFmtId="174" fontId="112" fillId="0" borderId="14" xfId="0" applyNumberFormat="1" applyFont="1" applyBorder="1"/>
    <xf numFmtId="0" fontId="112" fillId="0" borderId="85" xfId="0" applyFont="1" applyBorder="1"/>
    <xf numFmtId="175" fontId="112" fillId="0" borderId="87" xfId="0" applyNumberFormat="1" applyFont="1" applyBorder="1"/>
    <xf numFmtId="0" fontId="114" fillId="3" borderId="28" xfId="0" applyFont="1" applyFill="1" applyBorder="1"/>
    <xf numFmtId="0" fontId="114" fillId="3" borderId="29" xfId="0" applyFont="1" applyFill="1" applyBorder="1"/>
    <xf numFmtId="175" fontId="114" fillId="3" borderId="29" xfId="0" applyNumberFormat="1" applyFont="1" applyFill="1" applyBorder="1"/>
    <xf numFmtId="37" fontId="114" fillId="3" borderId="68" xfId="0" applyNumberFormat="1" applyFont="1" applyFill="1" applyBorder="1"/>
    <xf numFmtId="175" fontId="114" fillId="3" borderId="31" xfId="0" applyNumberFormat="1" applyFont="1" applyFill="1" applyBorder="1"/>
    <xf numFmtId="0" fontId="114" fillId="3" borderId="31" xfId="0" applyFont="1" applyFill="1" applyBorder="1"/>
    <xf numFmtId="37" fontId="114" fillId="3" borderId="29" xfId="0" applyNumberFormat="1" applyFont="1" applyFill="1" applyBorder="1"/>
    <xf numFmtId="0" fontId="114" fillId="3" borderId="112" xfId="0" applyFont="1" applyFill="1" applyBorder="1"/>
    <xf numFmtId="175" fontId="112" fillId="0" borderId="73" xfId="0" applyNumberFormat="1" applyFont="1" applyBorder="1"/>
    <xf numFmtId="174" fontId="114" fillId="3" borderId="29" xfId="0" applyNumberFormat="1" applyFont="1" applyFill="1" applyBorder="1"/>
    <xf numFmtId="37" fontId="114" fillId="3" borderId="31" xfId="0" applyNumberFormat="1" applyFont="1" applyFill="1" applyBorder="1"/>
    <xf numFmtId="37" fontId="114" fillId="3" borderId="112" xfId="0" applyNumberFormat="1" applyFont="1" applyFill="1" applyBorder="1"/>
    <xf numFmtId="0" fontId="112" fillId="0" borderId="92" xfId="0" applyFont="1" applyBorder="1" applyAlignment="1">
      <alignment horizontal="right"/>
    </xf>
    <xf numFmtId="0" fontId="112" fillId="0" borderId="92" xfId="0" applyFont="1" applyBorder="1"/>
    <xf numFmtId="37" fontId="112" fillId="0" borderId="91" xfId="0" applyNumberFormat="1" applyFont="1" applyBorder="1"/>
    <xf numFmtId="0" fontId="112" fillId="0" borderId="90" xfId="0" applyFont="1" applyBorder="1"/>
    <xf numFmtId="174" fontId="112" fillId="0" borderId="92" xfId="0" applyNumberFormat="1" applyFont="1" applyBorder="1"/>
    <xf numFmtId="37" fontId="112" fillId="0" borderId="92" xfId="0" applyNumberFormat="1" applyFont="1" applyBorder="1"/>
    <xf numFmtId="175" fontId="112" fillId="0" borderId="92" xfId="0" applyNumberFormat="1" applyFont="1" applyBorder="1"/>
    <xf numFmtId="37" fontId="112" fillId="0" borderId="113" xfId="0" applyNumberFormat="1" applyFont="1" applyBorder="1"/>
    <xf numFmtId="9" fontId="102" fillId="0" borderId="0" xfId="0" applyNumberFormat="1" applyFont="1"/>
    <xf numFmtId="37" fontId="112" fillId="0" borderId="90" xfId="0" applyNumberFormat="1" applyFont="1" applyBorder="1"/>
    <xf numFmtId="0" fontId="112" fillId="3" borderId="29" xfId="0" applyFont="1" applyFill="1" applyBorder="1"/>
    <xf numFmtId="3" fontId="114" fillId="3" borderId="29" xfId="0" applyNumberFormat="1" applyFont="1" applyFill="1" applyBorder="1" applyAlignment="1">
      <alignment horizontal="center"/>
    </xf>
    <xf numFmtId="175" fontId="114" fillId="3" borderId="30" xfId="0" applyNumberFormat="1" applyFont="1" applyFill="1" applyBorder="1"/>
    <xf numFmtId="175" fontId="114" fillId="0" borderId="0" xfId="0" applyNumberFormat="1" applyFont="1"/>
    <xf numFmtId="0" fontId="114" fillId="0" borderId="0" xfId="0" applyFont="1"/>
    <xf numFmtId="175" fontId="112" fillId="0" borderId="91" xfId="0" applyNumberFormat="1" applyFont="1" applyBorder="1"/>
    <xf numFmtId="0" fontId="112" fillId="0" borderId="73" xfId="0" applyFont="1" applyBorder="1"/>
    <xf numFmtId="0" fontId="112" fillId="0" borderId="56" xfId="0" applyFont="1" applyBorder="1"/>
    <xf numFmtId="175" fontId="112" fillId="0" borderId="114" xfId="0" applyNumberFormat="1" applyFont="1" applyBorder="1"/>
    <xf numFmtId="175" fontId="114" fillId="0" borderId="92" xfId="0" applyNumberFormat="1" applyFont="1" applyBorder="1"/>
    <xf numFmtId="0" fontId="114" fillId="0" borderId="92" xfId="0" applyFont="1" applyBorder="1"/>
    <xf numFmtId="175" fontId="114" fillId="0" borderId="90" xfId="0" applyNumberFormat="1" applyFont="1" applyBorder="1"/>
    <xf numFmtId="37" fontId="114" fillId="0" borderId="90" xfId="0" applyNumberFormat="1" applyFont="1" applyBorder="1"/>
    <xf numFmtId="37" fontId="112" fillId="0" borderId="94" xfId="0" applyNumberFormat="1" applyFont="1" applyBorder="1"/>
    <xf numFmtId="37" fontId="114" fillId="0" borderId="92" xfId="0" applyNumberFormat="1" applyFont="1" applyBorder="1"/>
    <xf numFmtId="37" fontId="114" fillId="0" borderId="0" xfId="0" applyNumberFormat="1" applyFont="1"/>
    <xf numFmtId="1" fontId="114" fillId="0" borderId="0" xfId="0" applyNumberFormat="1" applyFont="1"/>
    <xf numFmtId="37" fontId="114" fillId="0" borderId="71" xfId="0" applyNumberFormat="1" applyFont="1" applyBorder="1"/>
    <xf numFmtId="175" fontId="114" fillId="0" borderId="71" xfId="0" applyNumberFormat="1" applyFont="1" applyBorder="1"/>
    <xf numFmtId="37" fontId="112" fillId="0" borderId="55" xfId="0" applyNumberFormat="1" applyFont="1" applyBorder="1"/>
    <xf numFmtId="43" fontId="114" fillId="0" borderId="71" xfId="0" applyNumberFormat="1" applyFont="1" applyBorder="1"/>
    <xf numFmtId="175" fontId="112" fillId="3" borderId="31" xfId="0" applyNumberFormat="1" applyFont="1" applyFill="1" applyBorder="1"/>
    <xf numFmtId="175" fontId="112" fillId="3" borderId="29" xfId="0" applyNumberFormat="1" applyFont="1" applyFill="1" applyBorder="1"/>
    <xf numFmtId="37" fontId="112" fillId="3" borderId="112" xfId="0" applyNumberFormat="1" applyFont="1" applyFill="1" applyBorder="1"/>
    <xf numFmtId="0" fontId="114" fillId="6" borderId="19" xfId="0" applyFont="1" applyFill="1" applyBorder="1"/>
    <xf numFmtId="0" fontId="114" fillId="6" borderId="15" xfId="0" applyFont="1" applyFill="1" applyBorder="1"/>
    <xf numFmtId="37" fontId="114" fillId="6" borderId="15" xfId="0" applyNumberFormat="1" applyFont="1" applyFill="1" applyBorder="1"/>
    <xf numFmtId="37" fontId="112" fillId="6" borderId="115" xfId="0" applyNumberFormat="1" applyFont="1" applyFill="1" applyBorder="1"/>
    <xf numFmtId="0" fontId="112" fillId="6" borderId="15" xfId="0" applyFont="1" applyFill="1" applyBorder="1"/>
    <xf numFmtId="37" fontId="112" fillId="6" borderId="15" xfId="0" applyNumberFormat="1" applyFont="1" applyFill="1" applyBorder="1"/>
    <xf numFmtId="37" fontId="112" fillId="6" borderId="116" xfId="0" applyNumberFormat="1" applyFont="1" applyFill="1" applyBorder="1"/>
    <xf numFmtId="37" fontId="112" fillId="6" borderId="1" xfId="0" applyNumberFormat="1" applyFont="1" applyFill="1" applyBorder="1"/>
    <xf numFmtId="175" fontId="112" fillId="6" borderId="1" xfId="0" applyNumberFormat="1" applyFont="1" applyFill="1" applyBorder="1"/>
    <xf numFmtId="175" fontId="112" fillId="6" borderId="116" xfId="0" applyNumberFormat="1" applyFont="1" applyFill="1" applyBorder="1"/>
    <xf numFmtId="175" fontId="112" fillId="6" borderId="15" xfId="0" applyNumberFormat="1" applyFont="1" applyFill="1" applyBorder="1"/>
    <xf numFmtId="37" fontId="112" fillId="6" borderId="117" xfId="0" applyNumberFormat="1" applyFont="1" applyFill="1" applyBorder="1"/>
    <xf numFmtId="175" fontId="112" fillId="0" borderId="99" xfId="0" applyNumberFormat="1" applyFont="1" applyBorder="1"/>
    <xf numFmtId="0" fontId="114" fillId="3" borderId="37" xfId="0" applyFont="1" applyFill="1" applyBorder="1"/>
    <xf numFmtId="0" fontId="114" fillId="3" borderId="38" xfId="0" applyFont="1" applyFill="1" applyBorder="1"/>
    <xf numFmtId="0" fontId="114" fillId="3" borderId="38" xfId="0" applyFont="1" applyFill="1" applyBorder="1" applyAlignment="1">
      <alignment horizontal="center"/>
    </xf>
    <xf numFmtId="175" fontId="114" fillId="3" borderId="38" xfId="0" applyNumberFormat="1" applyFont="1" applyFill="1" applyBorder="1"/>
    <xf numFmtId="37" fontId="114" fillId="3" borderId="118" xfId="0" applyNumberFormat="1" applyFont="1" applyFill="1" applyBorder="1"/>
    <xf numFmtId="37" fontId="114" fillId="3" borderId="38" xfId="0" applyNumberFormat="1" applyFont="1" applyFill="1" applyBorder="1"/>
    <xf numFmtId="37" fontId="114" fillId="3" borderId="119" xfId="0" applyNumberFormat="1" applyFont="1" applyFill="1" applyBorder="1"/>
    <xf numFmtId="175" fontId="114" fillId="3" borderId="120" xfId="0" applyNumberFormat="1" applyFont="1" applyFill="1" applyBorder="1"/>
    <xf numFmtId="0" fontId="114" fillId="3" borderId="119" xfId="0" applyFont="1" applyFill="1" applyBorder="1" applyAlignment="1">
      <alignment horizontal="center"/>
    </xf>
    <xf numFmtId="37" fontId="114" fillId="3" borderId="121" xfId="0" applyNumberFormat="1" applyFont="1" applyFill="1" applyBorder="1"/>
    <xf numFmtId="175" fontId="114" fillId="3" borderId="13" xfId="0" applyNumberFormat="1" applyFont="1" applyFill="1" applyBorder="1"/>
    <xf numFmtId="39" fontId="112" fillId="0" borderId="0" xfId="0" applyNumberFormat="1" applyFont="1"/>
    <xf numFmtId="0" fontId="105" fillId="0" borderId="0" xfId="0" applyFont="1" applyAlignment="1">
      <alignment horizontal="right" vertical="center"/>
    </xf>
    <xf numFmtId="37" fontId="114" fillId="3" borderId="122" xfId="0" applyNumberFormat="1" applyFont="1" applyFill="1" applyBorder="1"/>
    <xf numFmtId="37" fontId="114" fillId="3" borderId="123" xfId="0" applyNumberFormat="1" applyFont="1" applyFill="1" applyBorder="1"/>
    <xf numFmtId="37" fontId="114" fillId="3" borderId="124" xfId="0" applyNumberFormat="1" applyFont="1" applyFill="1" applyBorder="1"/>
    <xf numFmtId="175" fontId="114" fillId="3" borderId="125" xfId="0" applyNumberFormat="1" applyFont="1" applyFill="1" applyBorder="1"/>
    <xf numFmtId="0" fontId="110" fillId="0" borderId="8" xfId="0" applyFont="1" applyBorder="1"/>
    <xf numFmtId="37" fontId="110" fillId="0" borderId="73" xfId="0" applyNumberFormat="1" applyFont="1" applyBorder="1"/>
    <xf numFmtId="0" fontId="110" fillId="0" borderId="73" xfId="0" applyFont="1" applyBorder="1"/>
    <xf numFmtId="0" fontId="110" fillId="0" borderId="55" xfId="0" applyFont="1" applyBorder="1"/>
    <xf numFmtId="0" fontId="110" fillId="0" borderId="56" xfId="0" applyFont="1" applyBorder="1"/>
    <xf numFmtId="0" fontId="110" fillId="0" borderId="9" xfId="0" applyFont="1" applyBorder="1"/>
    <xf numFmtId="175" fontId="114" fillId="3" borderId="39" xfId="0" applyNumberFormat="1" applyFont="1" applyFill="1" applyBorder="1"/>
    <xf numFmtId="178" fontId="110" fillId="0" borderId="0" xfId="0" applyNumberFormat="1" applyFont="1" applyAlignment="1">
      <alignment horizontal="right"/>
    </xf>
    <xf numFmtId="43" fontId="110" fillId="0" borderId="0" xfId="0" applyNumberFormat="1" applyFont="1"/>
    <xf numFmtId="0" fontId="136" fillId="22" borderId="1" xfId="0" applyFont="1" applyFill="1" applyBorder="1"/>
    <xf numFmtId="0" fontId="101" fillId="0" borderId="61" xfId="0" applyFont="1" applyBorder="1" applyAlignment="1">
      <alignment horizontal="center"/>
    </xf>
    <xf numFmtId="0" fontId="101" fillId="0" borderId="61" xfId="0" applyFont="1" applyBorder="1"/>
    <xf numFmtId="1" fontId="100" fillId="2" borderId="1" xfId="0" applyNumberFormat="1" applyFont="1" applyFill="1" applyBorder="1" applyAlignment="1">
      <alignment horizontal="right"/>
    </xf>
    <xf numFmtId="166" fontId="100" fillId="2" borderId="1" xfId="0" applyNumberFormat="1" applyFont="1" applyFill="1" applyBorder="1"/>
    <xf numFmtId="166" fontId="100" fillId="0" borderId="0" xfId="0" applyNumberFormat="1" applyFont="1"/>
    <xf numFmtId="175" fontId="100" fillId="0" borderId="0" xfId="0" applyNumberFormat="1" applyFont="1" applyAlignment="1">
      <alignment horizontal="center"/>
    </xf>
    <xf numFmtId="3" fontId="100" fillId="2" borderId="1" xfId="0" applyNumberFormat="1" applyFont="1" applyFill="1" applyBorder="1" applyAlignment="1">
      <alignment horizontal="right"/>
    </xf>
    <xf numFmtId="1" fontId="101" fillId="2" borderId="1" xfId="0" applyNumberFormat="1" applyFont="1" applyFill="1" applyBorder="1" applyAlignment="1">
      <alignment horizontal="right"/>
    </xf>
    <xf numFmtId="166" fontId="101" fillId="2" borderId="1" xfId="0" applyNumberFormat="1" applyFont="1" applyFill="1" applyBorder="1"/>
    <xf numFmtId="166" fontId="101" fillId="0" borderId="0" xfId="0" applyNumberFormat="1" applyFont="1"/>
    <xf numFmtId="175" fontId="101" fillId="0" borderId="0" xfId="0" applyNumberFormat="1" applyFont="1" applyAlignment="1">
      <alignment horizontal="center"/>
    </xf>
    <xf numFmtId="3" fontId="101" fillId="2" borderId="1" xfId="0" applyNumberFormat="1" applyFont="1" applyFill="1" applyBorder="1" applyAlignment="1">
      <alignment horizontal="right"/>
    </xf>
    <xf numFmtId="1" fontId="101" fillId="0" borderId="126" xfId="0" applyNumberFormat="1" applyFont="1" applyBorder="1" applyAlignment="1">
      <alignment horizontal="right"/>
    </xf>
    <xf numFmtId="166" fontId="101" fillId="0" borderId="126" xfId="0" applyNumberFormat="1" applyFont="1" applyBorder="1"/>
    <xf numFmtId="166" fontId="137" fillId="0" borderId="126" xfId="0" applyNumberFormat="1" applyFont="1" applyBorder="1"/>
    <xf numFmtId="175" fontId="101" fillId="0" borderId="126" xfId="0" applyNumberFormat="1" applyFont="1" applyBorder="1" applyAlignment="1">
      <alignment horizontal="center"/>
    </xf>
    <xf numFmtId="3" fontId="101" fillId="0" borderId="126" xfId="0" applyNumberFormat="1" applyFont="1" applyBorder="1" applyAlignment="1">
      <alignment horizontal="right"/>
    </xf>
    <xf numFmtId="166" fontId="100" fillId="0" borderId="126" xfId="0" applyNumberFormat="1" applyFont="1" applyBorder="1"/>
    <xf numFmtId="175" fontId="138" fillId="0" borderId="0" xfId="0" applyNumberFormat="1" applyFont="1" applyAlignment="1">
      <alignment horizontal="center" vertical="top"/>
    </xf>
    <xf numFmtId="1" fontId="101" fillId="0" borderId="0" xfId="0" applyNumberFormat="1" applyFont="1"/>
    <xf numFmtId="1" fontId="100" fillId="0" borderId="0" xfId="0" applyNumberFormat="1" applyFont="1" applyAlignment="1">
      <alignment horizontal="right"/>
    </xf>
    <xf numFmtId="3" fontId="100" fillId="0" borderId="0" xfId="0" applyNumberFormat="1" applyFont="1" applyAlignment="1">
      <alignment horizontal="right"/>
    </xf>
    <xf numFmtId="1" fontId="101" fillId="0" borderId="0" xfId="0" applyNumberFormat="1" applyFont="1" applyAlignment="1">
      <alignment horizontal="right"/>
    </xf>
    <xf numFmtId="3" fontId="101" fillId="0" borderId="0" xfId="0" applyNumberFormat="1" applyFont="1" applyAlignment="1">
      <alignment horizontal="right"/>
    </xf>
    <xf numFmtId="166" fontId="139" fillId="0" borderId="0" xfId="0" applyNumberFormat="1" applyFont="1" applyAlignment="1">
      <alignment horizontal="center" vertical="center"/>
    </xf>
    <xf numFmtId="0" fontId="101" fillId="0" borderId="61" xfId="0" applyFont="1" applyBorder="1" applyAlignment="1">
      <alignment horizontal="left"/>
    </xf>
    <xf numFmtId="166" fontId="101" fillId="0" borderId="0" xfId="0" applyNumberFormat="1" applyFont="1" applyAlignment="1">
      <alignment horizontal="center"/>
    </xf>
    <xf numFmtId="175" fontId="101" fillId="0" borderId="0" xfId="0" applyNumberFormat="1" applyFont="1" applyAlignment="1">
      <alignment horizontal="right"/>
    </xf>
    <xf numFmtId="0" fontId="101" fillId="0" borderId="130" xfId="0" applyFont="1" applyBorder="1"/>
    <xf numFmtId="0" fontId="101" fillId="0" borderId="63" xfId="0" applyFont="1" applyBorder="1"/>
    <xf numFmtId="0" fontId="101" fillId="0" borderId="131" xfId="0" applyFont="1" applyBorder="1"/>
    <xf numFmtId="1" fontId="101" fillId="0" borderId="0" xfId="0" applyNumberFormat="1" applyFont="1" applyAlignment="1">
      <alignment horizontal="center"/>
    </xf>
    <xf numFmtId="0" fontId="101" fillId="0" borderId="76" xfId="0" applyFont="1" applyBorder="1" applyAlignment="1">
      <alignment horizontal="center"/>
    </xf>
    <xf numFmtId="175" fontId="101" fillId="2" borderId="1" xfId="0" applyNumberFormat="1" applyFont="1" applyFill="1" applyBorder="1" applyAlignment="1">
      <alignment horizontal="center"/>
    </xf>
    <xf numFmtId="166" fontId="101" fillId="0" borderId="62" xfId="0" applyNumberFormat="1" applyFont="1" applyBorder="1"/>
    <xf numFmtId="175" fontId="101" fillId="0" borderId="62" xfId="0" applyNumberFormat="1" applyFont="1" applyBorder="1" applyAlignment="1">
      <alignment horizontal="center"/>
    </xf>
    <xf numFmtId="166" fontId="101" fillId="0" borderId="63" xfId="0" applyNumberFormat="1" applyFont="1" applyBorder="1"/>
    <xf numFmtId="175" fontId="101" fillId="0" borderId="63" xfId="0" applyNumberFormat="1" applyFont="1" applyBorder="1" applyAlignment="1">
      <alignment horizontal="center"/>
    </xf>
    <xf numFmtId="166" fontId="101" fillId="0" borderId="64" xfId="0" applyNumberFormat="1" applyFont="1" applyBorder="1"/>
    <xf numFmtId="175" fontId="101" fillId="0" borderId="64" xfId="0" applyNumberFormat="1" applyFont="1" applyBorder="1" applyAlignment="1">
      <alignment horizontal="center"/>
    </xf>
    <xf numFmtId="3" fontId="101" fillId="0" borderId="0" xfId="0" applyNumberFormat="1" applyFont="1"/>
    <xf numFmtId="175" fontId="101" fillId="0" borderId="0" xfId="0" applyNumberFormat="1" applyFont="1"/>
    <xf numFmtId="10" fontId="102" fillId="0" borderId="0" xfId="0" applyNumberFormat="1" applyFont="1"/>
    <xf numFmtId="0" fontId="140" fillId="0" borderId="0" xfId="0" applyFont="1"/>
    <xf numFmtId="10" fontId="140" fillId="0" borderId="0" xfId="0" applyNumberFormat="1" applyFont="1"/>
    <xf numFmtId="37" fontId="104" fillId="3" borderId="12" xfId="0" applyNumberFormat="1" applyFont="1" applyFill="1" applyBorder="1"/>
    <xf numFmtId="9" fontId="111" fillId="0" borderId="0" xfId="0" applyNumberFormat="1" applyFont="1"/>
    <xf numFmtId="180" fontId="111" fillId="0" borderId="0" xfId="0" applyNumberFormat="1" applyFont="1"/>
    <xf numFmtId="0" fontId="111" fillId="21" borderId="1" xfId="0" applyFont="1" applyFill="1" applyBorder="1"/>
    <xf numFmtId="39" fontId="111" fillId="0" borderId="14" xfId="0" applyNumberFormat="1" applyFont="1" applyBorder="1"/>
    <xf numFmtId="2" fontId="111" fillId="0" borderId="0" xfId="0" applyNumberFormat="1" applyFont="1"/>
    <xf numFmtId="176" fontId="111" fillId="0" borderId="0" xfId="0" applyNumberFormat="1" applyFont="1"/>
    <xf numFmtId="39" fontId="104" fillId="6" borderId="23" xfId="0" applyNumberFormat="1" applyFont="1" applyFill="1" applyBorder="1"/>
    <xf numFmtId="172" fontId="111" fillId="0" borderId="9" xfId="0" applyNumberFormat="1" applyFont="1" applyBorder="1"/>
    <xf numFmtId="39" fontId="104" fillId="0" borderId="0" xfId="0" applyNumberFormat="1" applyFont="1"/>
    <xf numFmtId="175" fontId="110" fillId="0" borderId="0" xfId="0" applyNumberFormat="1" applyFont="1"/>
    <xf numFmtId="3" fontId="110" fillId="0" borderId="0" xfId="0" applyNumberFormat="1" applyFont="1"/>
    <xf numFmtId="4" fontId="110" fillId="0" borderId="0" xfId="0" applyNumberFormat="1" applyFont="1"/>
    <xf numFmtId="9" fontId="110" fillId="0" borderId="0" xfId="0" applyNumberFormat="1" applyFont="1"/>
    <xf numFmtId="2" fontId="102" fillId="0" borderId="0" xfId="0" applyNumberFormat="1" applyFont="1"/>
    <xf numFmtId="0" fontId="114" fillId="10" borderId="52" xfId="0" applyFont="1" applyFill="1" applyBorder="1" applyAlignment="1">
      <alignment horizontal="center"/>
    </xf>
    <xf numFmtId="0" fontId="114" fillId="10" borderId="132" xfId="0" applyFont="1" applyFill="1" applyBorder="1" applyAlignment="1">
      <alignment horizontal="center"/>
    </xf>
    <xf numFmtId="3" fontId="102" fillId="0" borderId="0" xfId="0" applyNumberFormat="1" applyFont="1"/>
    <xf numFmtId="37" fontId="112" fillId="0" borderId="96" xfId="0" applyNumberFormat="1" applyFont="1" applyBorder="1"/>
    <xf numFmtId="37" fontId="114" fillId="3" borderId="133" xfId="0" applyNumberFormat="1" applyFont="1" applyFill="1" applyBorder="1"/>
    <xf numFmtId="37" fontId="112" fillId="0" borderId="134" xfId="0" applyNumberFormat="1" applyFont="1" applyBorder="1"/>
    <xf numFmtId="37" fontId="112" fillId="0" borderId="135" xfId="0" applyNumberFormat="1" applyFont="1" applyBorder="1"/>
    <xf numFmtId="37" fontId="114" fillId="3" borderId="136" xfId="0" applyNumberFormat="1" applyFont="1" applyFill="1" applyBorder="1"/>
    <xf numFmtId="37" fontId="114" fillId="3" borderId="137" xfId="0" applyNumberFormat="1" applyFont="1" applyFill="1" applyBorder="1"/>
    <xf numFmtId="4" fontId="102" fillId="0" borderId="0" xfId="0" applyNumberFormat="1" applyFont="1"/>
    <xf numFmtId="175" fontId="102" fillId="0" borderId="0" xfId="0" applyNumberFormat="1" applyFont="1"/>
    <xf numFmtId="37" fontId="112" fillId="0" borderId="138" xfId="0" applyNumberFormat="1" applyFont="1" applyBorder="1"/>
    <xf numFmtId="172" fontId="110" fillId="0" borderId="0" xfId="0" applyNumberFormat="1" applyFont="1"/>
    <xf numFmtId="0" fontId="112" fillId="0" borderId="134" xfId="0" applyFont="1" applyBorder="1"/>
    <xf numFmtId="0" fontId="112" fillId="0" borderId="55" xfId="0" applyFont="1" applyBorder="1"/>
    <xf numFmtId="37" fontId="112" fillId="6" borderId="139" xfId="0" applyNumberFormat="1" applyFont="1" applyFill="1" applyBorder="1"/>
    <xf numFmtId="39" fontId="112" fillId="0" borderId="56" xfId="0" applyNumberFormat="1" applyFont="1" applyBorder="1"/>
    <xf numFmtId="39" fontId="112" fillId="0" borderId="55" xfId="0" applyNumberFormat="1" applyFont="1" applyBorder="1"/>
    <xf numFmtId="0" fontId="105" fillId="0" borderId="56" xfId="0" applyFont="1" applyBorder="1"/>
    <xf numFmtId="0" fontId="105" fillId="0" borderId="55" xfId="0" applyFont="1" applyBorder="1"/>
    <xf numFmtId="37" fontId="114" fillId="3" borderId="140" xfId="0" applyNumberFormat="1" applyFont="1" applyFill="1" applyBorder="1"/>
    <xf numFmtId="0" fontId="110" fillId="0" borderId="134" xfId="0" applyFont="1" applyBorder="1"/>
    <xf numFmtId="37" fontId="114" fillId="3" borderId="141" xfId="0" applyNumberFormat="1" applyFont="1" applyFill="1" applyBorder="1"/>
    <xf numFmtId="37" fontId="141" fillId="0" borderId="0" xfId="0" applyNumberFormat="1" applyFont="1"/>
    <xf numFmtId="173" fontId="118" fillId="6" borderId="1" xfId="0" applyNumberFormat="1" applyFont="1" applyFill="1" applyBorder="1" applyAlignment="1">
      <alignment horizontal="right"/>
    </xf>
    <xf numFmtId="0" fontId="118" fillId="6" borderId="1" xfId="0" applyFont="1" applyFill="1" applyBorder="1"/>
    <xf numFmtId="9" fontId="110" fillId="6" borderId="1" xfId="0" applyNumberFormat="1" applyFont="1" applyFill="1" applyBorder="1"/>
    <xf numFmtId="0" fontId="117" fillId="6" borderId="1" xfId="0" applyFont="1" applyFill="1" applyBorder="1" applyAlignment="1">
      <alignment horizontal="center"/>
    </xf>
    <xf numFmtId="173" fontId="110" fillId="6" borderId="1" xfId="0" applyNumberFormat="1" applyFont="1" applyFill="1" applyBorder="1" applyAlignment="1">
      <alignment horizontal="center"/>
    </xf>
    <xf numFmtId="0" fontId="142" fillId="6" borderId="1" xfId="0" applyFont="1" applyFill="1" applyBorder="1" applyAlignment="1">
      <alignment horizontal="center"/>
    </xf>
    <xf numFmtId="0" fontId="143" fillId="0" borderId="0" xfId="0" applyFont="1" applyAlignment="1">
      <alignment horizontal="center" vertical="top"/>
    </xf>
    <xf numFmtId="169" fontId="144" fillId="0" borderId="0" xfId="0" applyNumberFormat="1" applyFont="1" applyAlignment="1">
      <alignment horizontal="center" vertical="top"/>
    </xf>
    <xf numFmtId="0" fontId="145" fillId="24" borderId="142" xfId="0" applyFont="1" applyFill="1" applyBorder="1" applyAlignment="1">
      <alignment horizontal="center" vertical="center" wrapText="1"/>
    </xf>
    <xf numFmtId="49" fontId="101" fillId="4" borderId="1" xfId="0" applyNumberFormat="1" applyFont="1" applyFill="1" applyBorder="1" applyAlignment="1">
      <alignment horizontal="left" vertical="center"/>
    </xf>
    <xf numFmtId="0" fontId="101" fillId="4" borderId="1" xfId="0" applyFont="1" applyFill="1" applyBorder="1"/>
    <xf numFmtId="181" fontId="101" fillId="4" borderId="1" xfId="0" applyNumberFormat="1" applyFont="1" applyFill="1" applyBorder="1" applyAlignment="1">
      <alignment horizontal="right" vertical="center"/>
    </xf>
    <xf numFmtId="1" fontId="101" fillId="0" borderId="0" xfId="0" applyNumberFormat="1" applyFont="1" applyAlignment="1">
      <alignment horizontal="left" vertical="top"/>
    </xf>
    <xf numFmtId="49" fontId="101" fillId="0" borderId="0" xfId="0" applyNumberFormat="1" applyFont="1" applyAlignment="1">
      <alignment horizontal="left" vertical="top"/>
    </xf>
    <xf numFmtId="4" fontId="101" fillId="0" borderId="0" xfId="0" applyNumberFormat="1" applyFont="1" applyAlignment="1">
      <alignment horizontal="center" vertical="top"/>
    </xf>
    <xf numFmtId="0" fontId="101" fillId="8" borderId="1" xfId="0" applyFont="1" applyFill="1" applyBorder="1" applyAlignment="1">
      <alignment horizontal="center"/>
    </xf>
    <xf numFmtId="178" fontId="102" fillId="0" borderId="0" xfId="0" applyNumberFormat="1" applyFont="1" applyAlignment="1">
      <alignment horizontal="center"/>
    </xf>
    <xf numFmtId="182" fontId="102" fillId="0" borderId="0" xfId="0" applyNumberFormat="1" applyFont="1" applyAlignment="1">
      <alignment horizontal="center"/>
    </xf>
    <xf numFmtId="169" fontId="101" fillId="0" borderId="0" xfId="0" applyNumberFormat="1" applyFont="1" applyAlignment="1">
      <alignment horizontal="center" vertical="top"/>
    </xf>
    <xf numFmtId="167" fontId="101" fillId="4" borderId="1" xfId="0" applyNumberFormat="1" applyFont="1" applyFill="1" applyBorder="1"/>
    <xf numFmtId="4" fontId="101" fillId="25" borderId="1" xfId="0" applyNumberFormat="1" applyFont="1" applyFill="1" applyBorder="1" applyAlignment="1">
      <alignment horizontal="center" vertical="top"/>
    </xf>
    <xf numFmtId="4" fontId="101" fillId="10" borderId="1" xfId="0" applyNumberFormat="1" applyFont="1" applyFill="1" applyBorder="1" applyAlignment="1">
      <alignment horizontal="center" vertical="top"/>
    </xf>
    <xf numFmtId="0" fontId="101" fillId="4" borderId="1" xfId="0" applyFont="1" applyFill="1" applyBorder="1" applyAlignment="1">
      <alignment horizontal="left" vertical="top"/>
    </xf>
    <xf numFmtId="167" fontId="101" fillId="4" borderId="1" xfId="0" applyNumberFormat="1" applyFont="1" applyFill="1" applyBorder="1" applyAlignment="1">
      <alignment horizontal="left" vertical="top"/>
    </xf>
    <xf numFmtId="1" fontId="101" fillId="4" borderId="1" xfId="0" applyNumberFormat="1" applyFont="1" applyFill="1" applyBorder="1" applyAlignment="1">
      <alignment horizontal="center" vertical="top"/>
    </xf>
    <xf numFmtId="1" fontId="101" fillId="4" borderId="1" xfId="0" applyNumberFormat="1" applyFont="1" applyFill="1" applyBorder="1" applyAlignment="1">
      <alignment horizontal="center"/>
    </xf>
    <xf numFmtId="1" fontId="101" fillId="4" borderId="1" xfId="0" applyNumberFormat="1" applyFont="1" applyFill="1" applyBorder="1" applyAlignment="1">
      <alignment horizontal="center" vertical="center"/>
    </xf>
    <xf numFmtId="49" fontId="101" fillId="26" borderId="1" xfId="0" applyNumberFormat="1" applyFont="1" applyFill="1" applyBorder="1" applyAlignment="1">
      <alignment horizontal="left" vertical="top"/>
    </xf>
    <xf numFmtId="4" fontId="101" fillId="26" borderId="1" xfId="0" applyNumberFormat="1" applyFont="1" applyFill="1" applyBorder="1" applyAlignment="1">
      <alignment horizontal="center" vertical="top"/>
    </xf>
    <xf numFmtId="4" fontId="101" fillId="4" borderId="1" xfId="0" applyNumberFormat="1" applyFont="1" applyFill="1" applyBorder="1"/>
    <xf numFmtId="0" fontId="146" fillId="8" borderId="1" xfId="0" applyFont="1" applyFill="1" applyBorder="1" applyAlignment="1">
      <alignment horizontal="center"/>
    </xf>
    <xf numFmtId="4" fontId="101" fillId="4" borderId="1" xfId="0" applyNumberFormat="1" applyFont="1" applyFill="1" applyBorder="1" applyAlignment="1">
      <alignment horizontal="left" vertical="top"/>
    </xf>
    <xf numFmtId="169" fontId="102" fillId="0" borderId="0" xfId="0" applyNumberFormat="1" applyFont="1"/>
    <xf numFmtId="0" fontId="145" fillId="27" borderId="1" xfId="0" applyFont="1" applyFill="1" applyBorder="1" applyAlignment="1">
      <alignment horizontal="left" vertical="top"/>
    </xf>
    <xf numFmtId="0" fontId="102" fillId="27" borderId="1" xfId="0" applyFont="1" applyFill="1" applyBorder="1" applyAlignment="1">
      <alignment horizontal="center"/>
    </xf>
    <xf numFmtId="0" fontId="100" fillId="7" borderId="1" xfId="0" applyFont="1" applyFill="1" applyBorder="1"/>
    <xf numFmtId="0" fontId="147" fillId="23" borderId="143" xfId="0" applyFont="1" applyFill="1" applyBorder="1" applyAlignment="1">
      <alignment horizontal="left" vertical="top"/>
    </xf>
    <xf numFmtId="49" fontId="148" fillId="23" borderId="143" xfId="0" applyNumberFormat="1" applyFont="1" applyFill="1" applyBorder="1" applyAlignment="1">
      <alignment horizontal="left" vertical="top"/>
    </xf>
    <xf numFmtId="0" fontId="148" fillId="23" borderId="1" xfId="0" applyFont="1" applyFill="1" applyBorder="1" applyAlignment="1">
      <alignment horizontal="left" vertical="top"/>
    </xf>
    <xf numFmtId="0" fontId="101" fillId="23" borderId="1" xfId="0" applyFont="1" applyFill="1" applyBorder="1" applyAlignment="1">
      <alignment horizontal="center"/>
    </xf>
    <xf numFmtId="0" fontId="101" fillId="23" borderId="1" xfId="0" applyFont="1" applyFill="1" applyBorder="1"/>
    <xf numFmtId="49" fontId="101" fillId="23" borderId="1" xfId="0" applyNumberFormat="1" applyFont="1" applyFill="1" applyBorder="1" applyAlignment="1">
      <alignment horizontal="center"/>
    </xf>
    <xf numFmtId="0" fontId="101" fillId="7" borderId="1" xfId="0" applyFont="1" applyFill="1" applyBorder="1"/>
    <xf numFmtId="0" fontId="149" fillId="0" borderId="0" xfId="0" applyFont="1"/>
    <xf numFmtId="0" fontId="148" fillId="23" borderId="143" xfId="0" applyFont="1" applyFill="1" applyBorder="1" applyAlignment="1">
      <alignment horizontal="left" vertical="top"/>
    </xf>
    <xf numFmtId="0" fontId="102" fillId="23" borderId="1" xfId="0" applyFont="1" applyFill="1" applyBorder="1" applyAlignment="1">
      <alignment horizontal="center"/>
    </xf>
    <xf numFmtId="49" fontId="101" fillId="4" borderId="143" xfId="0" applyNumberFormat="1" applyFont="1" applyFill="1" applyBorder="1" applyAlignment="1">
      <alignment horizontal="left" vertical="center"/>
    </xf>
    <xf numFmtId="39" fontId="148" fillId="23" borderId="143" xfId="0" applyNumberFormat="1" applyFont="1" applyFill="1" applyBorder="1" applyAlignment="1">
      <alignment horizontal="left" vertical="top"/>
    </xf>
    <xf numFmtId="1" fontId="147" fillId="23" borderId="143" xfId="0" applyNumberFormat="1" applyFont="1" applyFill="1" applyBorder="1" applyAlignment="1">
      <alignment horizontal="left" vertical="top"/>
    </xf>
    <xf numFmtId="49" fontId="147" fillId="23" borderId="143" xfId="0" applyNumberFormat="1" applyFont="1" applyFill="1" applyBorder="1" applyAlignment="1">
      <alignment horizontal="left" vertical="top"/>
    </xf>
    <xf numFmtId="0" fontId="147" fillId="23" borderId="144" xfId="0" applyFont="1" applyFill="1" applyBorder="1" applyAlignment="1">
      <alignment horizontal="left" vertical="top"/>
    </xf>
    <xf numFmtId="49" fontId="148" fillId="23" borderId="144" xfId="0" applyNumberFormat="1" applyFont="1" applyFill="1" applyBorder="1" applyAlignment="1">
      <alignment horizontal="left" vertical="top"/>
    </xf>
    <xf numFmtId="0" fontId="148" fillId="23" borderId="142" xfId="0" applyFont="1" applyFill="1" applyBorder="1" applyAlignment="1">
      <alignment horizontal="left" vertical="top"/>
    </xf>
    <xf numFmtId="0" fontId="148" fillId="23" borderId="145" xfId="0" applyFont="1" applyFill="1" applyBorder="1" applyAlignment="1">
      <alignment horizontal="left" vertical="top"/>
    </xf>
    <xf numFmtId="0" fontId="148" fillId="23" borderId="144" xfId="0" applyFont="1" applyFill="1" applyBorder="1" applyAlignment="1">
      <alignment horizontal="left" vertical="top"/>
    </xf>
    <xf numFmtId="49" fontId="148" fillId="26" borderId="143" xfId="0" applyNumberFormat="1" applyFont="1" applyFill="1" applyBorder="1" applyAlignment="1">
      <alignment horizontal="left" vertical="top"/>
    </xf>
    <xf numFmtId="49" fontId="148" fillId="23" borderId="1" xfId="0" applyNumberFormat="1" applyFont="1" applyFill="1" applyBorder="1" applyAlignment="1">
      <alignment horizontal="left" vertical="top"/>
    </xf>
    <xf numFmtId="49" fontId="147" fillId="23" borderId="1" xfId="0" applyNumberFormat="1" applyFont="1" applyFill="1" applyBorder="1" applyAlignment="1">
      <alignment horizontal="left" vertical="top"/>
    </xf>
    <xf numFmtId="49" fontId="101" fillId="10" borderId="1" xfId="0" applyNumberFormat="1" applyFont="1" applyFill="1" applyBorder="1" applyAlignment="1">
      <alignment horizontal="left" vertical="top"/>
    </xf>
    <xf numFmtId="39" fontId="148" fillId="23" borderId="146" xfId="0" applyNumberFormat="1" applyFont="1" applyFill="1" applyBorder="1" applyAlignment="1">
      <alignment horizontal="left" vertical="top"/>
    </xf>
    <xf numFmtId="39" fontId="148" fillId="23" borderId="144" xfId="0" applyNumberFormat="1" applyFont="1" applyFill="1" applyBorder="1" applyAlignment="1">
      <alignment horizontal="left" vertical="top"/>
    </xf>
    <xf numFmtId="0" fontId="147" fillId="23" borderId="1" xfId="0" applyFont="1" applyFill="1" applyBorder="1" applyAlignment="1">
      <alignment horizontal="left" vertical="top"/>
    </xf>
    <xf numFmtId="39" fontId="148" fillId="23" borderId="1" xfId="0" applyNumberFormat="1" applyFont="1" applyFill="1" applyBorder="1" applyAlignment="1">
      <alignment horizontal="left" vertical="top"/>
    </xf>
    <xf numFmtId="0" fontId="152" fillId="23" borderId="143" xfId="0" applyFont="1" applyFill="1" applyBorder="1" applyAlignment="1">
      <alignment horizontal="left" vertical="top"/>
    </xf>
    <xf numFmtId="0" fontId="148" fillId="23" borderId="146" xfId="0" applyFont="1" applyFill="1" applyBorder="1" applyAlignment="1">
      <alignment horizontal="left" vertical="top"/>
    </xf>
    <xf numFmtId="0" fontId="153" fillId="28" borderId="143" xfId="0" applyFont="1" applyFill="1" applyBorder="1" applyAlignment="1">
      <alignment horizontal="left" vertical="top"/>
    </xf>
    <xf numFmtId="0" fontId="148" fillId="28" borderId="143" xfId="0" applyFont="1" applyFill="1" applyBorder="1" applyAlignment="1">
      <alignment horizontal="left" vertical="top"/>
    </xf>
    <xf numFmtId="0" fontId="147" fillId="4" borderId="143" xfId="0" applyFont="1" applyFill="1" applyBorder="1" applyAlignment="1">
      <alignment horizontal="left" vertical="top"/>
    </xf>
    <xf numFmtId="0" fontId="148" fillId="4" borderId="143" xfId="0" applyFont="1" applyFill="1" applyBorder="1" applyAlignment="1">
      <alignment horizontal="left" vertical="top"/>
    </xf>
    <xf numFmtId="0" fontId="148" fillId="4" borderId="1" xfId="0" applyFont="1" applyFill="1" applyBorder="1" applyAlignment="1">
      <alignment horizontal="left" vertical="top"/>
    </xf>
    <xf numFmtId="169" fontId="101" fillId="4" borderId="1" xfId="0" applyNumberFormat="1" applyFont="1" applyFill="1" applyBorder="1" applyAlignment="1">
      <alignment horizontal="center" vertical="top"/>
    </xf>
    <xf numFmtId="169" fontId="101" fillId="26" borderId="1" xfId="0" applyNumberFormat="1" applyFont="1" applyFill="1" applyBorder="1" applyAlignment="1">
      <alignment horizontal="center" vertical="top"/>
    </xf>
    <xf numFmtId="4" fontId="101" fillId="4" borderId="1" xfId="0" applyNumberFormat="1" applyFont="1" applyFill="1" applyBorder="1" applyAlignment="1">
      <alignment horizontal="center" vertical="top"/>
    </xf>
    <xf numFmtId="49" fontId="101" fillId="0" borderId="0" xfId="0" applyNumberFormat="1" applyFont="1" applyAlignment="1">
      <alignment horizontal="left" vertical="center"/>
    </xf>
    <xf numFmtId="181" fontId="101" fillId="0" borderId="0" xfId="0" applyNumberFormat="1" applyFont="1" applyAlignment="1">
      <alignment horizontal="right" vertical="center"/>
    </xf>
    <xf numFmtId="0" fontId="101" fillId="0" borderId="0" xfId="0" applyFont="1" applyAlignment="1">
      <alignment horizontal="left" vertical="top"/>
    </xf>
    <xf numFmtId="183" fontId="101" fillId="0" borderId="0" xfId="0" applyNumberFormat="1" applyFont="1" applyAlignment="1">
      <alignment horizontal="right" vertical="top"/>
    </xf>
    <xf numFmtId="1" fontId="147" fillId="23" borderId="147" xfId="0" applyNumberFormat="1" applyFont="1" applyFill="1" applyBorder="1" applyAlignment="1">
      <alignment horizontal="left" vertical="top"/>
    </xf>
    <xf numFmtId="49" fontId="148" fillId="23" borderId="147" xfId="0" applyNumberFormat="1" applyFont="1" applyFill="1" applyBorder="1" applyAlignment="1">
      <alignment horizontal="left" vertical="top"/>
    </xf>
    <xf numFmtId="49" fontId="147" fillId="23" borderId="147" xfId="0" applyNumberFormat="1" applyFont="1" applyFill="1" applyBorder="1" applyAlignment="1">
      <alignment horizontal="left" vertical="top"/>
    </xf>
    <xf numFmtId="1" fontId="147" fillId="4" borderId="143" xfId="0" applyNumberFormat="1" applyFont="1" applyFill="1" applyBorder="1" applyAlignment="1">
      <alignment horizontal="left" vertical="top"/>
    </xf>
    <xf numFmtId="0" fontId="148" fillId="23" borderId="147" xfId="0" applyFont="1" applyFill="1" applyBorder="1" applyAlignment="1">
      <alignment horizontal="left" vertical="top"/>
    </xf>
    <xf numFmtId="0" fontId="148" fillId="23" borderId="148" xfId="0" applyFont="1" applyFill="1" applyBorder="1" applyAlignment="1">
      <alignment horizontal="left" vertical="top"/>
    </xf>
    <xf numFmtId="0" fontId="148" fillId="23" borderId="149" xfId="0" applyFont="1" applyFill="1" applyBorder="1" applyAlignment="1">
      <alignment horizontal="left" vertical="top"/>
    </xf>
    <xf numFmtId="0" fontId="147" fillId="23" borderId="150" xfId="0" applyFont="1" applyFill="1" applyBorder="1" applyAlignment="1">
      <alignment horizontal="left" vertical="top"/>
    </xf>
    <xf numFmtId="39" fontId="148" fillId="23" borderId="149" xfId="0" applyNumberFormat="1" applyFont="1" applyFill="1" applyBorder="1" applyAlignment="1">
      <alignment horizontal="left" vertical="top"/>
    </xf>
    <xf numFmtId="39" fontId="148" fillId="23" borderId="147" xfId="0" applyNumberFormat="1" applyFont="1" applyFill="1" applyBorder="1" applyAlignment="1">
      <alignment horizontal="left" vertical="top"/>
    </xf>
    <xf numFmtId="0" fontId="147" fillId="23" borderId="147" xfId="0" applyFont="1" applyFill="1" applyBorder="1" applyAlignment="1">
      <alignment horizontal="left" vertical="top"/>
    </xf>
    <xf numFmtId="0" fontId="154" fillId="29" borderId="151" xfId="0" applyFont="1" applyFill="1" applyBorder="1"/>
    <xf numFmtId="0" fontId="154" fillId="29" borderId="152" xfId="0" applyFont="1" applyFill="1" applyBorder="1"/>
    <xf numFmtId="0" fontId="154" fillId="29" borderId="153" xfId="0" applyFont="1" applyFill="1" applyBorder="1"/>
    <xf numFmtId="3" fontId="155" fillId="29" borderId="154" xfId="0" applyNumberFormat="1" applyFont="1" applyFill="1" applyBorder="1" applyAlignment="1">
      <alignment horizontal="center"/>
    </xf>
    <xf numFmtId="3" fontId="155" fillId="29" borderId="0" xfId="0" applyNumberFormat="1" applyFont="1" applyFill="1" applyAlignment="1">
      <alignment horizontal="center"/>
    </xf>
    <xf numFmtId="3" fontId="155" fillId="29" borderId="155" xfId="0" applyNumberFormat="1" applyFont="1" applyFill="1" applyBorder="1" applyAlignment="1">
      <alignment horizontal="center"/>
    </xf>
    <xf numFmtId="3" fontId="155" fillId="29" borderId="156" xfId="0" applyNumberFormat="1" applyFont="1" applyFill="1" applyBorder="1" applyAlignment="1">
      <alignment horizontal="center"/>
    </xf>
    <xf numFmtId="3" fontId="155" fillId="29" borderId="157" xfId="0" applyNumberFormat="1" applyFont="1" applyFill="1" applyBorder="1" applyAlignment="1">
      <alignment horizontal="center"/>
    </xf>
    <xf numFmtId="3" fontId="155" fillId="29" borderId="158" xfId="0" applyNumberFormat="1" applyFont="1" applyFill="1" applyBorder="1" applyAlignment="1">
      <alignment horizontal="right"/>
    </xf>
    <xf numFmtId="3" fontId="155" fillId="29" borderId="158" xfId="0" applyNumberFormat="1" applyFont="1" applyFill="1" applyBorder="1" applyAlignment="1" applyProtection="1">
      <alignment horizontal="right"/>
      <protection locked="0"/>
    </xf>
    <xf numFmtId="3" fontId="155" fillId="29" borderId="154" xfId="0" applyNumberFormat="1" applyFont="1" applyFill="1" applyBorder="1"/>
    <xf numFmtId="3" fontId="155" fillId="29" borderId="0" xfId="0" applyNumberFormat="1" applyFont="1" applyFill="1"/>
    <xf numFmtId="3" fontId="155" fillId="29" borderId="155" xfId="0" applyNumberFormat="1" applyFont="1" applyFill="1" applyBorder="1"/>
    <xf numFmtId="3" fontId="155" fillId="29" borderId="154" xfId="0" applyNumberFormat="1" applyFont="1" applyFill="1" applyBorder="1" applyProtection="1">
      <protection locked="0"/>
    </xf>
    <xf numFmtId="3" fontId="155" fillId="29" borderId="155" xfId="0" applyNumberFormat="1" applyFont="1" applyFill="1" applyBorder="1" applyProtection="1">
      <protection locked="0"/>
    </xf>
    <xf numFmtId="3" fontId="154" fillId="29" borderId="159" xfId="0" applyNumberFormat="1" applyFont="1" applyFill="1" applyBorder="1"/>
    <xf numFmtId="3" fontId="154" fillId="29" borderId="160" xfId="0" applyNumberFormat="1" applyFont="1" applyFill="1" applyBorder="1"/>
    <xf numFmtId="3" fontId="154" fillId="29" borderId="161" xfId="0" applyNumberFormat="1" applyFont="1" applyFill="1" applyBorder="1"/>
    <xf numFmtId="0" fontId="155" fillId="29" borderId="154" xfId="0" applyFont="1" applyFill="1" applyBorder="1"/>
    <xf numFmtId="0" fontId="155" fillId="29" borderId="155" xfId="0" applyFont="1" applyFill="1" applyBorder="1"/>
    <xf numFmtId="3" fontId="155" fillId="29" borderId="162" xfId="0" applyNumberFormat="1" applyFont="1" applyFill="1" applyBorder="1"/>
    <xf numFmtId="3" fontId="155" fillId="29" borderId="163" xfId="0" applyNumberFormat="1" applyFont="1" applyFill="1" applyBorder="1"/>
    <xf numFmtId="3" fontId="155" fillId="29" borderId="164" xfId="0" applyNumberFormat="1" applyFont="1" applyFill="1" applyBorder="1"/>
    <xf numFmtId="3" fontId="155" fillId="29" borderId="162" xfId="0" applyNumberFormat="1" applyFont="1" applyFill="1" applyBorder="1" applyProtection="1">
      <protection locked="0"/>
    </xf>
    <xf numFmtId="3" fontId="155" fillId="29" borderId="164" xfId="0" applyNumberFormat="1" applyFont="1" applyFill="1" applyBorder="1" applyProtection="1">
      <protection locked="0"/>
    </xf>
    <xf numFmtId="3" fontId="155" fillId="29" borderId="159" xfId="0" applyNumberFormat="1" applyFont="1" applyFill="1" applyBorder="1"/>
    <xf numFmtId="3" fontId="155" fillId="29" borderId="160" xfId="0" applyNumberFormat="1" applyFont="1" applyFill="1" applyBorder="1"/>
    <xf numFmtId="3" fontId="155" fillId="29" borderId="161" xfId="0" applyNumberFormat="1" applyFont="1" applyFill="1" applyBorder="1"/>
    <xf numFmtId="0" fontId="155" fillId="29" borderId="0" xfId="0" applyFont="1" applyFill="1"/>
    <xf numFmtId="37" fontId="155" fillId="29" borderId="155" xfId="0" applyNumberFormat="1" applyFont="1" applyFill="1" applyBorder="1"/>
    <xf numFmtId="37" fontId="154" fillId="30" borderId="165" xfId="0" applyNumberFormat="1" applyFont="1" applyFill="1" applyBorder="1"/>
    <xf numFmtId="174" fontId="154" fillId="30" borderId="166" xfId="0" applyNumberFormat="1" applyFont="1" applyFill="1" applyBorder="1"/>
    <xf numFmtId="37" fontId="154" fillId="30" borderId="167" xfId="0" applyNumberFormat="1" applyFont="1" applyFill="1" applyBorder="1"/>
    <xf numFmtId="0" fontId="154" fillId="30" borderId="168" xfId="0" applyFont="1" applyFill="1" applyBorder="1"/>
    <xf numFmtId="0" fontId="154" fillId="30" borderId="169" xfId="0" applyFont="1" applyFill="1" applyBorder="1"/>
    <xf numFmtId="0" fontId="154" fillId="30" borderId="170" xfId="0" applyFont="1" applyFill="1" applyBorder="1"/>
    <xf numFmtId="0" fontId="154" fillId="31" borderId="154" xfId="0" applyFont="1" applyFill="1" applyBorder="1"/>
    <xf numFmtId="0" fontId="154" fillId="31" borderId="0" xfId="0" applyFont="1" applyFill="1"/>
    <xf numFmtId="0" fontId="154" fillId="31" borderId="155" xfId="0" applyFont="1" applyFill="1" applyBorder="1"/>
    <xf numFmtId="0" fontId="155" fillId="29" borderId="0" xfId="0" applyFont="1" applyFill="1" applyAlignment="1">
      <alignment horizontal="center"/>
    </xf>
    <xf numFmtId="9" fontId="155" fillId="29" borderId="154" xfId="2" applyFont="1" applyFill="1" applyBorder="1"/>
    <xf numFmtId="37" fontId="155" fillId="29" borderId="0" xfId="0" applyNumberFormat="1" applyFont="1" applyFill="1"/>
    <xf numFmtId="37" fontId="155" fillId="29" borderId="155" xfId="0" applyNumberFormat="1" applyFont="1" applyFill="1" applyBorder="1" applyProtection="1">
      <protection locked="0"/>
    </xf>
    <xf numFmtId="9" fontId="155" fillId="29" borderId="156" xfId="2" applyFont="1" applyFill="1" applyBorder="1"/>
    <xf numFmtId="37" fontId="155" fillId="29" borderId="157" xfId="0" applyNumberFormat="1" applyFont="1" applyFill="1" applyBorder="1"/>
    <xf numFmtId="37" fontId="155" fillId="29" borderId="158" xfId="0" applyNumberFormat="1" applyFont="1" applyFill="1" applyBorder="1"/>
    <xf numFmtId="37" fontId="155" fillId="29" borderId="158" xfId="0" applyNumberFormat="1" applyFont="1" applyFill="1" applyBorder="1" applyProtection="1">
      <protection locked="0"/>
    </xf>
    <xf numFmtId="0" fontId="155" fillId="29" borderId="156" xfId="0" applyFont="1" applyFill="1" applyBorder="1"/>
    <xf numFmtId="0" fontId="154" fillId="30" borderId="171" xfId="0" applyFont="1" applyFill="1" applyBorder="1" applyAlignment="1">
      <alignment horizontal="center"/>
    </xf>
    <xf numFmtId="175" fontId="154" fillId="30" borderId="172" xfId="0" applyNumberFormat="1" applyFont="1" applyFill="1" applyBorder="1"/>
    <xf numFmtId="37" fontId="154" fillId="30" borderId="173" xfId="0" applyNumberFormat="1" applyFont="1" applyFill="1" applyBorder="1"/>
    <xf numFmtId="0" fontId="155" fillId="29" borderId="159" xfId="0" applyFont="1" applyFill="1" applyBorder="1"/>
    <xf numFmtId="0" fontId="155" fillId="29" borderId="160" xfId="0" applyFont="1" applyFill="1" applyBorder="1"/>
    <xf numFmtId="37" fontId="155" fillId="29" borderId="161" xfId="0" applyNumberFormat="1" applyFont="1" applyFill="1" applyBorder="1"/>
    <xf numFmtId="37" fontId="155" fillId="29" borderId="161" xfId="0" applyNumberFormat="1" applyFont="1" applyFill="1" applyBorder="1" applyProtection="1">
      <protection locked="0"/>
    </xf>
    <xf numFmtId="0" fontId="155" fillId="29" borderId="157" xfId="0" applyFont="1" applyFill="1" applyBorder="1"/>
    <xf numFmtId="0" fontId="155" fillId="29" borderId="162" xfId="0" applyFont="1" applyFill="1" applyBorder="1"/>
    <xf numFmtId="0" fontId="155" fillId="29" borderId="163" xfId="0" applyFont="1" applyFill="1" applyBorder="1"/>
    <xf numFmtId="37" fontId="155" fillId="29" borderId="164" xfId="0" applyNumberFormat="1" applyFont="1" applyFill="1" applyBorder="1"/>
    <xf numFmtId="37" fontId="155" fillId="29" borderId="164" xfId="0" applyNumberFormat="1" applyFont="1" applyFill="1" applyBorder="1" applyProtection="1">
      <protection locked="0"/>
    </xf>
    <xf numFmtId="37" fontId="154" fillId="30" borderId="174" xfId="0" applyNumberFormat="1" applyFont="1" applyFill="1" applyBorder="1"/>
    <xf numFmtId="0" fontId="154" fillId="30" borderId="175" xfId="0" applyFont="1" applyFill="1" applyBorder="1" applyAlignment="1">
      <alignment horizontal="center"/>
    </xf>
    <xf numFmtId="175" fontId="154" fillId="30" borderId="176" xfId="0" applyNumberFormat="1" applyFont="1" applyFill="1" applyBorder="1"/>
    <xf numFmtId="37" fontId="154" fillId="30" borderId="177" xfId="0" applyNumberFormat="1" applyFont="1" applyFill="1" applyBorder="1"/>
    <xf numFmtId="0" fontId="155" fillId="31" borderId="156" xfId="0" applyFont="1" applyFill="1" applyBorder="1"/>
    <xf numFmtId="0" fontId="155" fillId="31" borderId="157" xfId="0" applyFont="1" applyFill="1" applyBorder="1"/>
    <xf numFmtId="37" fontId="154" fillId="31" borderId="155" xfId="0" applyNumberFormat="1" applyFont="1" applyFill="1" applyBorder="1"/>
    <xf numFmtId="0" fontId="155" fillId="30" borderId="178" xfId="0" applyFont="1" applyFill="1" applyBorder="1"/>
    <xf numFmtId="0" fontId="155" fillId="30" borderId="179" xfId="0" applyFont="1" applyFill="1" applyBorder="1"/>
    <xf numFmtId="37" fontId="154" fillId="30" borderId="180" xfId="0" applyNumberFormat="1" applyFont="1" applyFill="1" applyBorder="1"/>
    <xf numFmtId="0" fontId="156" fillId="29" borderId="0" xfId="0" applyFont="1" applyFill="1"/>
    <xf numFmtId="37" fontId="156" fillId="29" borderId="0" xfId="0" applyNumberFormat="1" applyFont="1" applyFill="1"/>
    <xf numFmtId="0" fontId="157" fillId="29" borderId="0" xfId="0" applyFont="1" applyFill="1"/>
    <xf numFmtId="0" fontId="158" fillId="29" borderId="0" xfId="0" applyFont="1" applyFill="1"/>
    <xf numFmtId="0" fontId="155" fillId="29" borderId="154" xfId="0" applyFont="1" applyFill="1" applyBorder="1" applyAlignment="1">
      <alignment horizontal="center"/>
    </xf>
    <xf numFmtId="0" fontId="155" fillId="29" borderId="155" xfId="0" applyFont="1" applyFill="1" applyBorder="1" applyAlignment="1">
      <alignment horizontal="center"/>
    </xf>
    <xf numFmtId="3" fontId="155" fillId="29" borderId="158" xfId="0" applyNumberFormat="1" applyFont="1" applyFill="1" applyBorder="1" applyAlignment="1" applyProtection="1">
      <alignment horizontal="center"/>
      <protection locked="0"/>
    </xf>
    <xf numFmtId="3" fontId="155" fillId="29" borderId="156" xfId="0" applyNumberFormat="1" applyFont="1" applyFill="1" applyBorder="1"/>
    <xf numFmtId="3" fontId="155" fillId="29" borderId="157" xfId="0" applyNumberFormat="1" applyFont="1" applyFill="1" applyBorder="1"/>
    <xf numFmtId="3" fontId="155" fillId="29" borderId="158" xfId="0" applyNumberFormat="1" applyFont="1" applyFill="1" applyBorder="1"/>
    <xf numFmtId="0" fontId="154" fillId="29" borderId="154" xfId="0" applyFont="1" applyFill="1" applyBorder="1"/>
    <xf numFmtId="0" fontId="154" fillId="29" borderId="0" xfId="0" applyFont="1" applyFill="1"/>
    <xf numFmtId="0" fontId="154" fillId="29" borderId="155" xfId="0" applyFont="1" applyFill="1" applyBorder="1"/>
    <xf numFmtId="0" fontId="155" fillId="29" borderId="154" xfId="0" applyFont="1" applyFill="1" applyBorder="1" applyAlignment="1">
      <alignment horizontal="right"/>
    </xf>
    <xf numFmtId="175" fontId="155" fillId="29" borderId="0" xfId="0" applyNumberFormat="1" applyFont="1" applyFill="1"/>
    <xf numFmtId="0" fontId="154" fillId="30" borderId="181" xfId="0" applyFont="1" applyFill="1" applyBorder="1" applyAlignment="1">
      <alignment horizontal="center"/>
    </xf>
    <xf numFmtId="175" fontId="154" fillId="30" borderId="182" xfId="0" applyNumberFormat="1" applyFont="1" applyFill="1" applyBorder="1"/>
    <xf numFmtId="0" fontId="154" fillId="30" borderId="178" xfId="0" applyFont="1" applyFill="1" applyBorder="1"/>
    <xf numFmtId="0" fontId="154" fillId="30" borderId="179" xfId="0" applyFont="1" applyFill="1" applyBorder="1"/>
    <xf numFmtId="37" fontId="157" fillId="29" borderId="0" xfId="0" applyNumberFormat="1" applyFont="1" applyFill="1"/>
    <xf numFmtId="37" fontId="155" fillId="29" borderId="154" xfId="0" applyNumberFormat="1" applyFont="1" applyFill="1" applyBorder="1"/>
    <xf numFmtId="37" fontId="155" fillId="29" borderId="154" xfId="0" applyNumberFormat="1" applyFont="1" applyFill="1" applyBorder="1" applyProtection="1">
      <protection locked="0"/>
    </xf>
    <xf numFmtId="37" fontId="155" fillId="29" borderId="0" xfId="0" applyNumberFormat="1" applyFont="1" applyFill="1" applyProtection="1">
      <protection locked="0"/>
    </xf>
    <xf numFmtId="175" fontId="155" fillId="29" borderId="155" xfId="0" applyNumberFormat="1" applyFont="1" applyFill="1" applyBorder="1"/>
    <xf numFmtId="37" fontId="155" fillId="29" borderId="156" xfId="0" applyNumberFormat="1" applyFont="1" applyFill="1" applyBorder="1"/>
    <xf numFmtId="2" fontId="155" fillId="29" borderId="157" xfId="0" applyNumberFormat="1" applyFont="1" applyFill="1" applyBorder="1"/>
    <xf numFmtId="175" fontId="155" fillId="29" borderId="158" xfId="0" applyNumberFormat="1" applyFont="1" applyFill="1" applyBorder="1"/>
    <xf numFmtId="37" fontId="155" fillId="29" borderId="159" xfId="0" applyNumberFormat="1" applyFont="1" applyFill="1" applyBorder="1"/>
    <xf numFmtId="37" fontId="155" fillId="29" borderId="160" xfId="0" applyNumberFormat="1" applyFont="1" applyFill="1" applyBorder="1"/>
    <xf numFmtId="37" fontId="155" fillId="29" borderId="159" xfId="0" applyNumberFormat="1" applyFont="1" applyFill="1" applyBorder="1" applyProtection="1">
      <protection locked="0"/>
    </xf>
    <xf numFmtId="37" fontId="155" fillId="29" borderId="160" xfId="0" applyNumberFormat="1" applyFont="1" applyFill="1" applyBorder="1" applyProtection="1">
      <protection locked="0"/>
    </xf>
    <xf numFmtId="174" fontId="155" fillId="29" borderId="0" xfId="0" applyNumberFormat="1" applyFont="1" applyFill="1"/>
    <xf numFmtId="176" fontId="155" fillId="29" borderId="0" xfId="0" applyNumberFormat="1" applyFont="1" applyFill="1"/>
    <xf numFmtId="37" fontId="154" fillId="29" borderId="154" xfId="0" applyNumberFormat="1" applyFont="1" applyFill="1" applyBorder="1"/>
    <xf numFmtId="174" fontId="154" fillId="29" borderId="0" xfId="0" applyNumberFormat="1" applyFont="1" applyFill="1"/>
    <xf numFmtId="37" fontId="154" fillId="29" borderId="156" xfId="0" applyNumberFormat="1" applyFont="1" applyFill="1" applyBorder="1"/>
    <xf numFmtId="176" fontId="155" fillId="29" borderId="157" xfId="0" applyNumberFormat="1" applyFont="1" applyFill="1" applyBorder="1"/>
    <xf numFmtId="37" fontId="154" fillId="31" borderId="165" xfId="0" applyNumberFormat="1" applyFont="1" applyFill="1" applyBorder="1"/>
    <xf numFmtId="37" fontId="154" fillId="31" borderId="166" xfId="0" applyNumberFormat="1" applyFont="1" applyFill="1" applyBorder="1"/>
    <xf numFmtId="37" fontId="154" fillId="31" borderId="167" xfId="0" applyNumberFormat="1" applyFont="1" applyFill="1" applyBorder="1"/>
    <xf numFmtId="37" fontId="154" fillId="31" borderId="156" xfId="0" applyNumberFormat="1" applyFont="1" applyFill="1" applyBorder="1"/>
    <xf numFmtId="39" fontId="154" fillId="31" borderId="157" xfId="0" applyNumberFormat="1" applyFont="1" applyFill="1" applyBorder="1"/>
    <xf numFmtId="175" fontId="154" fillId="29" borderId="155" xfId="0" applyNumberFormat="1" applyFont="1" applyFill="1" applyBorder="1"/>
    <xf numFmtId="37" fontId="155" fillId="29" borderId="183" xfId="0" applyNumberFormat="1" applyFont="1" applyFill="1" applyBorder="1"/>
    <xf numFmtId="174" fontId="155" fillId="29" borderId="0" xfId="0" applyNumberFormat="1" applyFont="1" applyFill="1" applyProtection="1">
      <protection locked="0"/>
    </xf>
    <xf numFmtId="174" fontId="155" fillId="29" borderId="160" xfId="0" applyNumberFormat="1" applyFont="1" applyFill="1" applyBorder="1"/>
    <xf numFmtId="174" fontId="155" fillId="29" borderId="160" xfId="0" applyNumberFormat="1" applyFont="1" applyFill="1" applyBorder="1" applyProtection="1">
      <protection locked="0"/>
    </xf>
    <xf numFmtId="174" fontId="155" fillId="29" borderId="157" xfId="0" applyNumberFormat="1" applyFont="1" applyFill="1" applyBorder="1"/>
    <xf numFmtId="37" fontId="154" fillId="31" borderId="159" xfId="0" applyNumberFormat="1" applyFont="1" applyFill="1" applyBorder="1"/>
    <xf numFmtId="174" fontId="154" fillId="31" borderId="160" xfId="0" applyNumberFormat="1" applyFont="1" applyFill="1" applyBorder="1"/>
    <xf numFmtId="37" fontId="154" fillId="31" borderId="161" xfId="0" applyNumberFormat="1" applyFont="1" applyFill="1" applyBorder="1"/>
    <xf numFmtId="37" fontId="154" fillId="30" borderId="166" xfId="0" applyNumberFormat="1" applyFont="1" applyFill="1" applyBorder="1"/>
    <xf numFmtId="175" fontId="154" fillId="30" borderId="170" xfId="0" applyNumberFormat="1" applyFont="1" applyFill="1" applyBorder="1"/>
    <xf numFmtId="175" fontId="154" fillId="31" borderId="155" xfId="0" applyNumberFormat="1" applyFont="1" applyFill="1" applyBorder="1"/>
    <xf numFmtId="37" fontId="154" fillId="29" borderId="159" xfId="0" applyNumberFormat="1" applyFont="1" applyFill="1" applyBorder="1"/>
    <xf numFmtId="175" fontId="154" fillId="29" borderId="160" xfId="0" applyNumberFormat="1" applyFont="1" applyFill="1" applyBorder="1"/>
    <xf numFmtId="37" fontId="154" fillId="29" borderId="161" xfId="0" applyNumberFormat="1" applyFont="1" applyFill="1" applyBorder="1"/>
    <xf numFmtId="0" fontId="155" fillId="29" borderId="158" xfId="0" applyFont="1" applyFill="1" applyBorder="1"/>
    <xf numFmtId="175" fontId="155" fillId="29" borderId="0" xfId="2" applyNumberFormat="1" applyFont="1" applyFill="1"/>
    <xf numFmtId="37" fontId="155" fillId="29" borderId="162" xfId="0" applyNumberFormat="1" applyFont="1" applyFill="1" applyBorder="1"/>
    <xf numFmtId="175" fontId="155" fillId="29" borderId="163" xfId="0" applyNumberFormat="1" applyFont="1" applyFill="1" applyBorder="1"/>
    <xf numFmtId="37" fontId="155" fillId="29" borderId="162" xfId="0" applyNumberFormat="1" applyFont="1" applyFill="1" applyBorder="1" applyProtection="1">
      <protection locked="0"/>
    </xf>
    <xf numFmtId="175" fontId="154" fillId="30" borderId="166" xfId="0" applyNumberFormat="1" applyFont="1" applyFill="1" applyBorder="1"/>
    <xf numFmtId="37" fontId="154" fillId="30" borderId="184" xfId="0" applyNumberFormat="1" applyFont="1" applyFill="1" applyBorder="1"/>
    <xf numFmtId="174" fontId="154" fillId="30" borderId="185" xfId="0" applyNumberFormat="1" applyFont="1" applyFill="1" applyBorder="1"/>
    <xf numFmtId="37" fontId="154" fillId="30" borderId="186" xfId="0" applyNumberFormat="1" applyFont="1" applyFill="1" applyBorder="1"/>
    <xf numFmtId="37" fontId="154" fillId="31" borderId="154" xfId="0" applyNumberFormat="1" applyFont="1" applyFill="1" applyBorder="1"/>
    <xf numFmtId="174" fontId="154" fillId="31" borderId="0" xfId="0" applyNumberFormat="1" applyFont="1" applyFill="1"/>
    <xf numFmtId="37" fontId="154" fillId="29" borderId="0" xfId="0" applyNumberFormat="1" applyFont="1" applyFill="1"/>
    <xf numFmtId="0" fontId="155" fillId="30" borderId="187" xfId="0" applyFont="1" applyFill="1" applyBorder="1"/>
    <xf numFmtId="0" fontId="155" fillId="30" borderId="188" xfId="0" applyFont="1" applyFill="1" applyBorder="1"/>
    <xf numFmtId="37" fontId="154" fillId="30" borderId="189" xfId="0" applyNumberFormat="1" applyFont="1" applyFill="1" applyBorder="1"/>
    <xf numFmtId="37" fontId="158" fillId="29" borderId="0" xfId="0" applyNumberFormat="1" applyFont="1" applyFill="1"/>
    <xf numFmtId="0" fontId="157" fillId="29" borderId="0" xfId="0" applyFont="1" applyFill="1" applyAlignment="1">
      <alignment horizontal="center"/>
    </xf>
    <xf numFmtId="0" fontId="157" fillId="29" borderId="169" xfId="0" applyFont="1" applyFill="1" applyBorder="1" applyAlignment="1">
      <alignment horizontal="center"/>
    </xf>
    <xf numFmtId="37" fontId="157" fillId="29" borderId="169" xfId="0" applyNumberFormat="1" applyFont="1" applyFill="1" applyBorder="1" applyAlignment="1">
      <alignment horizontal="center"/>
    </xf>
    <xf numFmtId="0" fontId="155" fillId="29" borderId="190" xfId="0" applyFont="1" applyFill="1" applyBorder="1" applyAlignment="1">
      <alignment horizontal="center"/>
    </xf>
    <xf numFmtId="0" fontId="155" fillId="29" borderId="157" xfId="0" applyFont="1" applyFill="1" applyBorder="1" applyAlignment="1">
      <alignment horizontal="center"/>
    </xf>
    <xf numFmtId="0" fontId="155" fillId="29" borderId="191" xfId="0" applyFont="1" applyFill="1" applyBorder="1" applyAlignment="1">
      <alignment horizontal="center"/>
    </xf>
    <xf numFmtId="37" fontId="159" fillId="29" borderId="190" xfId="0" applyNumberFormat="1" applyFont="1" applyFill="1" applyBorder="1"/>
    <xf numFmtId="37" fontId="159" fillId="29" borderId="157" xfId="0" applyNumberFormat="1" applyFont="1" applyFill="1" applyBorder="1"/>
    <xf numFmtId="37" fontId="159" fillId="29" borderId="191" xfId="0" applyNumberFormat="1" applyFont="1" applyFill="1" applyBorder="1"/>
    <xf numFmtId="37" fontId="160" fillId="30" borderId="190" xfId="0" applyNumberFormat="1" applyFont="1" applyFill="1" applyBorder="1"/>
    <xf numFmtId="37" fontId="160" fillId="30" borderId="157" xfId="0" applyNumberFormat="1" applyFont="1" applyFill="1" applyBorder="1"/>
    <xf numFmtId="37" fontId="160" fillId="30" borderId="191" xfId="0" applyNumberFormat="1" applyFont="1" applyFill="1" applyBorder="1"/>
    <xf numFmtId="37" fontId="159" fillId="29" borderId="192" xfId="0" applyNumberFormat="1" applyFont="1" applyFill="1" applyBorder="1"/>
    <xf numFmtId="0" fontId="159" fillId="29" borderId="0" xfId="0" applyFont="1" applyFill="1"/>
    <xf numFmtId="37" fontId="159" fillId="29" borderId="193" xfId="0" applyNumberFormat="1" applyFont="1" applyFill="1" applyBorder="1"/>
    <xf numFmtId="175" fontId="159" fillId="29" borderId="192" xfId="2" applyNumberFormat="1" applyFont="1" applyFill="1" applyBorder="1"/>
    <xf numFmtId="174" fontId="159" fillId="29" borderId="0" xfId="0" applyNumberFormat="1" applyFont="1" applyFill="1"/>
    <xf numFmtId="0" fontId="159" fillId="29" borderId="192" xfId="0" applyFont="1" applyFill="1" applyBorder="1"/>
    <xf numFmtId="175" fontId="159" fillId="29" borderId="190" xfId="2" applyNumberFormat="1" applyFont="1" applyFill="1" applyBorder="1"/>
    <xf numFmtId="174" fontId="159" fillId="29" borderId="157" xfId="0" applyNumberFormat="1" applyFont="1" applyFill="1" applyBorder="1"/>
    <xf numFmtId="0" fontId="159" fillId="29" borderId="190" xfId="0" applyFont="1" applyFill="1" applyBorder="1"/>
    <xf numFmtId="175" fontId="160" fillId="30" borderId="194" xfId="0" applyNumberFormat="1" applyFont="1" applyFill="1" applyBorder="1"/>
    <xf numFmtId="172" fontId="160" fillId="30" borderId="172" xfId="1" applyNumberFormat="1" applyFont="1" applyFill="1" applyBorder="1"/>
    <xf numFmtId="37" fontId="160" fillId="30" borderId="195" xfId="0" applyNumberFormat="1" applyFont="1" applyFill="1" applyBorder="1"/>
    <xf numFmtId="0" fontId="160" fillId="30" borderId="172" xfId="0" applyFont="1" applyFill="1" applyBorder="1"/>
    <xf numFmtId="37" fontId="159" fillId="29" borderId="193" xfId="0" applyNumberFormat="1" applyFont="1" applyFill="1" applyBorder="1" applyProtection="1">
      <protection locked="0"/>
    </xf>
    <xf numFmtId="175" fontId="159" fillId="29" borderId="157" xfId="2" applyNumberFormat="1" applyFont="1" applyFill="1" applyBorder="1"/>
    <xf numFmtId="175" fontId="159" fillId="29" borderId="0" xfId="2" applyNumberFormat="1" applyFont="1" applyFill="1"/>
    <xf numFmtId="174" fontId="160" fillId="30" borderId="172" xfId="0" applyNumberFormat="1" applyFont="1" applyFill="1" applyBorder="1"/>
    <xf numFmtId="0" fontId="159" fillId="29" borderId="196" xfId="0" applyFont="1" applyFill="1" applyBorder="1"/>
    <xf numFmtId="174" fontId="159" fillId="29" borderId="160" xfId="0" applyNumberFormat="1" applyFont="1" applyFill="1" applyBorder="1"/>
    <xf numFmtId="37" fontId="159" fillId="29" borderId="197" xfId="0" applyNumberFormat="1" applyFont="1" applyFill="1" applyBorder="1"/>
    <xf numFmtId="0" fontId="159" fillId="29" borderId="198" xfId="0" applyFont="1" applyFill="1" applyBorder="1"/>
    <xf numFmtId="174" fontId="159" fillId="29" borderId="163" xfId="0" applyNumberFormat="1" applyFont="1" applyFill="1" applyBorder="1"/>
    <xf numFmtId="37" fontId="159" fillId="29" borderId="199" xfId="0" applyNumberFormat="1" applyFont="1" applyFill="1" applyBorder="1"/>
    <xf numFmtId="0" fontId="159" fillId="29" borderId="200" xfId="0" applyFont="1" applyFill="1" applyBorder="1"/>
    <xf numFmtId="174" fontId="159" fillId="29" borderId="201" xfId="0" applyNumberFormat="1" applyFont="1" applyFill="1" applyBorder="1"/>
    <xf numFmtId="37" fontId="159" fillId="29" borderId="191" xfId="0" applyNumberFormat="1" applyFont="1" applyFill="1" applyBorder="1" applyProtection="1">
      <protection locked="0"/>
    </xf>
    <xf numFmtId="0" fontId="161" fillId="29" borderId="192" xfId="0" applyFont="1" applyFill="1" applyBorder="1"/>
    <xf numFmtId="0" fontId="161" fillId="29" borderId="0" xfId="0" applyFont="1" applyFill="1"/>
    <xf numFmtId="37" fontId="161" fillId="29" borderId="193" xfId="0" applyNumberFormat="1" applyFont="1" applyFill="1" applyBorder="1"/>
    <xf numFmtId="175" fontId="160" fillId="29" borderId="196" xfId="0" applyNumberFormat="1" applyFont="1" applyFill="1" applyBorder="1"/>
    <xf numFmtId="0" fontId="160" fillId="29" borderId="160" xfId="0" applyFont="1" applyFill="1" applyBorder="1"/>
    <xf numFmtId="37" fontId="159" fillId="31" borderId="197" xfId="0" applyNumberFormat="1" applyFont="1" applyFill="1" applyBorder="1"/>
    <xf numFmtId="175" fontId="160" fillId="29" borderId="192" xfId="0" applyNumberFormat="1" applyFont="1" applyFill="1" applyBorder="1"/>
    <xf numFmtId="0" fontId="160" fillId="29" borderId="0" xfId="0" applyFont="1" applyFill="1"/>
    <xf numFmtId="175" fontId="160" fillId="29" borderId="190" xfId="0" applyNumberFormat="1" applyFont="1" applyFill="1" applyBorder="1"/>
    <xf numFmtId="0" fontId="159" fillId="30" borderId="172" xfId="0" applyFont="1" applyFill="1" applyBorder="1"/>
    <xf numFmtId="0" fontId="162" fillId="31" borderId="196" xfId="0" applyFont="1" applyFill="1" applyBorder="1"/>
    <xf numFmtId="0" fontId="161" fillId="31" borderId="160" xfId="0" applyFont="1" applyFill="1" applyBorder="1"/>
    <xf numFmtId="37" fontId="161" fillId="31" borderId="197" xfId="0" applyNumberFormat="1" applyFont="1" applyFill="1" applyBorder="1"/>
    <xf numFmtId="0" fontId="160" fillId="30" borderId="202" xfId="0" applyFont="1" applyFill="1" applyBorder="1" applyAlignment="1">
      <alignment horizontal="center"/>
    </xf>
    <xf numFmtId="175" fontId="160" fillId="30" borderId="203" xfId="0" applyNumberFormat="1" applyFont="1" applyFill="1" applyBorder="1"/>
    <xf numFmtId="37" fontId="160" fillId="30" borderId="204" xfId="0" applyNumberFormat="1" applyFont="1" applyFill="1" applyBorder="1"/>
    <xf numFmtId="0" fontId="160" fillId="30" borderId="205" xfId="0" applyFont="1" applyFill="1" applyBorder="1" applyAlignment="1">
      <alignment horizontal="center"/>
    </xf>
    <xf numFmtId="175" fontId="160" fillId="30" borderId="188" xfId="0" applyNumberFormat="1" applyFont="1" applyFill="1" applyBorder="1"/>
    <xf numFmtId="37" fontId="160" fillId="30" borderId="206" xfId="0" applyNumberFormat="1" applyFont="1" applyFill="1" applyBorder="1"/>
    <xf numFmtId="39" fontId="159" fillId="29" borderId="0" xfId="0" applyNumberFormat="1" applyFont="1" applyFill="1"/>
    <xf numFmtId="0" fontId="160" fillId="30" borderId="207" xfId="0" applyFont="1" applyFill="1" applyBorder="1" applyAlignment="1">
      <alignment horizontal="center"/>
    </xf>
    <xf numFmtId="175" fontId="160" fillId="30" borderId="207" xfId="0" applyNumberFormat="1" applyFont="1" applyFill="1" applyBorder="1"/>
    <xf numFmtId="37" fontId="160" fillId="30" borderId="207" xfId="0" applyNumberFormat="1" applyFont="1" applyFill="1" applyBorder="1"/>
    <xf numFmtId="0" fontId="160" fillId="30" borderId="208" xfId="0" applyFont="1" applyFill="1" applyBorder="1" applyAlignment="1">
      <alignment horizontal="center"/>
    </xf>
    <xf numFmtId="37" fontId="160" fillId="30" borderId="209" xfId="0" applyNumberFormat="1" applyFont="1" applyFill="1" applyBorder="1"/>
    <xf numFmtId="0" fontId="163" fillId="29" borderId="0" xfId="0" applyFont="1" applyFill="1"/>
    <xf numFmtId="0" fontId="163" fillId="29" borderId="192" xfId="0" applyFont="1" applyFill="1" applyBorder="1"/>
    <xf numFmtId="0" fontId="163" fillId="29" borderId="193" xfId="0" applyFont="1" applyFill="1" applyBorder="1"/>
    <xf numFmtId="37" fontId="159" fillId="29" borderId="0" xfId="0" applyNumberFormat="1" applyFont="1" applyFill="1"/>
    <xf numFmtId="0" fontId="157" fillId="29" borderId="192" xfId="0" applyFont="1" applyFill="1" applyBorder="1"/>
    <xf numFmtId="0" fontId="155" fillId="29" borderId="192" xfId="0" applyFont="1" applyFill="1" applyBorder="1"/>
    <xf numFmtId="0" fontId="154" fillId="29" borderId="192" xfId="0" applyFont="1" applyFill="1" applyBorder="1"/>
    <xf numFmtId="0" fontId="160" fillId="30" borderId="210" xfId="0" applyFont="1" applyFill="1" applyBorder="1" applyAlignment="1">
      <alignment horizontal="center"/>
    </xf>
    <xf numFmtId="175" fontId="160" fillId="30" borderId="210" xfId="0" applyNumberFormat="1" applyFont="1" applyFill="1" applyBorder="1"/>
    <xf numFmtId="37" fontId="160" fillId="30" borderId="210" xfId="0" applyNumberFormat="1" applyFont="1" applyFill="1" applyBorder="1"/>
    <xf numFmtId="0" fontId="160" fillId="30" borderId="211" xfId="0" applyFont="1" applyFill="1" applyBorder="1" applyAlignment="1">
      <alignment horizontal="center"/>
    </xf>
    <xf numFmtId="37" fontId="160" fillId="30" borderId="212" xfId="0" applyNumberFormat="1" applyFont="1" applyFill="1" applyBorder="1"/>
    <xf numFmtId="0" fontId="132" fillId="32" borderId="1" xfId="0" applyFont="1" applyFill="1" applyBorder="1"/>
    <xf numFmtId="0" fontId="132" fillId="32" borderId="1" xfId="0" applyFont="1" applyFill="1" applyBorder="1" applyAlignment="1">
      <alignment horizontal="center" vertical="center"/>
    </xf>
    <xf numFmtId="0" fontId="132" fillId="32" borderId="1" xfId="0" applyFont="1" applyFill="1" applyBorder="1" applyAlignment="1">
      <alignment horizontal="right"/>
    </xf>
    <xf numFmtId="175" fontId="104" fillId="3" borderId="13" xfId="2" applyNumberFormat="1" applyFont="1" applyFill="1" applyBorder="1"/>
    <xf numFmtId="3" fontId="111" fillId="0" borderId="95" xfId="0" applyNumberFormat="1" applyFont="1" applyBorder="1"/>
    <xf numFmtId="3" fontId="111" fillId="0" borderId="21" xfId="0" applyNumberFormat="1" applyFont="1" applyBorder="1"/>
    <xf numFmtId="175" fontId="104" fillId="3" borderId="36" xfId="2" applyNumberFormat="1" applyFont="1" applyFill="1" applyBorder="1"/>
    <xf numFmtId="0" fontId="132" fillId="32" borderId="1" xfId="0" applyFont="1" applyFill="1" applyBorder="1" applyAlignment="1">
      <alignment vertical="center"/>
    </xf>
    <xf numFmtId="0" fontId="105" fillId="0" borderId="1" xfId="0" applyFont="1" applyBorder="1" applyAlignment="1">
      <alignment horizontal="right" vertical="center"/>
    </xf>
    <xf numFmtId="0" fontId="105" fillId="0" borderId="1" xfId="0" applyFont="1" applyBorder="1" applyAlignment="1">
      <alignment horizontal="center" vertical="center"/>
    </xf>
    <xf numFmtId="0" fontId="105" fillId="0" borderId="1" xfId="0" applyFont="1" applyBorder="1"/>
    <xf numFmtId="37" fontId="112" fillId="0" borderId="110" xfId="0" applyNumberFormat="1" applyFont="1" applyBorder="1"/>
    <xf numFmtId="0" fontId="105" fillId="0" borderId="1" xfId="0" applyFont="1" applyBorder="1" applyAlignment="1">
      <alignment horizontal="right"/>
    </xf>
    <xf numFmtId="43" fontId="110" fillId="0" borderId="0" xfId="1" applyFont="1"/>
    <xf numFmtId="37" fontId="111" fillId="0" borderId="21" xfId="0" applyNumberFormat="1" applyFont="1" applyBorder="1"/>
    <xf numFmtId="37" fontId="112" fillId="0" borderId="1" xfId="0" applyNumberFormat="1" applyFont="1" applyBorder="1"/>
    <xf numFmtId="0" fontId="100" fillId="0" borderId="213" xfId="0" applyFont="1" applyBorder="1" applyAlignment="1">
      <alignment horizontal="center" vertical="center"/>
    </xf>
    <xf numFmtId="0" fontId="101" fillId="0" borderId="215" xfId="0" applyFont="1" applyBorder="1" applyAlignment="1">
      <alignment horizontal="center" vertical="center"/>
    </xf>
    <xf numFmtId="169" fontId="100" fillId="0" borderId="216" xfId="0" applyNumberFormat="1" applyFont="1" applyBorder="1" applyAlignment="1">
      <alignment horizontal="center" vertical="center"/>
    </xf>
    <xf numFmtId="169" fontId="101" fillId="0" borderId="216" xfId="0" applyNumberFormat="1" applyFont="1" applyBorder="1" applyAlignment="1">
      <alignment horizontal="center" vertical="center"/>
    </xf>
    <xf numFmtId="0" fontId="101" fillId="0" borderId="217" xfId="0" applyFont="1" applyBorder="1" applyAlignment="1">
      <alignment horizontal="center" vertical="center"/>
    </xf>
    <xf numFmtId="169" fontId="101" fillId="0" borderId="218" xfId="0" applyNumberFormat="1" applyFont="1" applyBorder="1" applyAlignment="1">
      <alignment horizontal="center" vertical="center"/>
    </xf>
    <xf numFmtId="0" fontId="154" fillId="29" borderId="151" xfId="0" applyFont="1" applyFill="1" applyBorder="1" applyAlignment="1">
      <alignment horizontal="center"/>
    </xf>
    <xf numFmtId="0" fontId="154" fillId="29" borderId="152" xfId="0" applyFont="1" applyFill="1" applyBorder="1" applyAlignment="1">
      <alignment horizontal="center"/>
    </xf>
    <xf numFmtId="0" fontId="154" fillId="29" borderId="153" xfId="0" applyFont="1" applyFill="1" applyBorder="1" applyAlignment="1">
      <alignment horizontal="center"/>
    </xf>
    <xf numFmtId="0" fontId="105" fillId="0" borderId="14" xfId="0" applyFont="1" applyBorder="1" applyAlignment="1">
      <alignment horizontal="center"/>
    </xf>
    <xf numFmtId="0" fontId="108" fillId="0" borderId="14" xfId="0" applyFont="1" applyBorder="1"/>
    <xf numFmtId="169" fontId="100" fillId="0" borderId="1" xfId="0" applyNumberFormat="1" applyFont="1" applyBorder="1" applyAlignment="1">
      <alignment horizontal="center" vertical="center"/>
    </xf>
    <xf numFmtId="169" fontId="101" fillId="0" borderId="1" xfId="0" applyNumberFormat="1" applyFont="1" applyBorder="1" applyAlignment="1">
      <alignment horizontal="center" vertical="center"/>
    </xf>
    <xf numFmtId="0" fontId="128" fillId="0" borderId="219" xfId="0" applyFont="1" applyBorder="1" applyAlignment="1">
      <alignment horizontal="center" vertical="center"/>
    </xf>
    <xf numFmtId="0" fontId="125" fillId="0" borderId="214" xfId="0" applyFont="1" applyBorder="1" applyAlignment="1">
      <alignment horizontal="center" vertical="center"/>
    </xf>
    <xf numFmtId="169" fontId="101" fillId="0" borderId="220" xfId="0" applyNumberFormat="1" applyFont="1" applyBorder="1" applyAlignment="1">
      <alignment horizontal="center" vertical="center"/>
    </xf>
    <xf numFmtId="175" fontId="114" fillId="0" borderId="8" xfId="0" applyNumberFormat="1" applyFont="1" applyBorder="1" applyAlignment="1">
      <alignment vertical="center"/>
    </xf>
    <xf numFmtId="175" fontId="114" fillId="0" borderId="9" xfId="0" applyNumberFormat="1" applyFont="1" applyBorder="1" applyAlignment="1">
      <alignment vertical="center"/>
    </xf>
    <xf numFmtId="0" fontId="164" fillId="0" borderId="0" xfId="0" applyFont="1"/>
    <xf numFmtId="0" fontId="164" fillId="0" borderId="0" xfId="0" applyFont="1" applyAlignment="1">
      <alignment horizontal="center"/>
    </xf>
    <xf numFmtId="0" fontId="164" fillId="0" borderId="0" xfId="0" applyFont="1" applyAlignment="1">
      <alignment horizontal="right" vertical="center"/>
    </xf>
    <xf numFmtId="0" fontId="164" fillId="0" borderId="0" xfId="0" applyFont="1" applyAlignment="1">
      <alignment horizontal="center" vertical="center"/>
    </xf>
    <xf numFmtId="0" fontId="164" fillId="0" borderId="0" xfId="0" applyFont="1" applyAlignment="1">
      <alignment horizontal="right"/>
    </xf>
    <xf numFmtId="0" fontId="111" fillId="0" borderId="1" xfId="0" applyFont="1" applyBorder="1"/>
    <xf numFmtId="0" fontId="111" fillId="0" borderId="20" xfId="0" applyFont="1" applyBorder="1"/>
    <xf numFmtId="14" fontId="102" fillId="0" borderId="0" xfId="0" applyNumberFormat="1" applyFont="1" applyAlignment="1">
      <alignment horizontal="left"/>
    </xf>
    <xf numFmtId="0" fontId="101" fillId="0" borderId="213" xfId="0" applyFont="1" applyBorder="1"/>
    <xf numFmtId="0" fontId="127" fillId="0" borderId="219" xfId="0" applyFont="1" applyBorder="1"/>
    <xf numFmtId="0" fontId="101" fillId="0" borderId="214" xfId="0" applyFont="1" applyBorder="1"/>
    <xf numFmtId="0" fontId="100" fillId="0" borderId="215" xfId="0" applyFont="1" applyBorder="1" applyAlignment="1">
      <alignment horizontal="left"/>
    </xf>
    <xf numFmtId="169" fontId="100" fillId="0" borderId="1" xfId="0" applyNumberFormat="1" applyFont="1" applyBorder="1" applyAlignment="1">
      <alignment horizontal="center"/>
    </xf>
    <xf numFmtId="0" fontId="101" fillId="0" borderId="216" xfId="0" applyFont="1" applyBorder="1"/>
    <xf numFmtId="169" fontId="101" fillId="0" borderId="1" xfId="0" applyNumberFormat="1" applyFont="1" applyBorder="1" applyAlignment="1">
      <alignment horizontal="right"/>
    </xf>
    <xf numFmtId="0" fontId="101" fillId="0" borderId="215" xfId="0" applyFont="1" applyBorder="1"/>
    <xf numFmtId="0" fontId="101" fillId="0" borderId="1" xfId="0" applyFont="1" applyBorder="1"/>
    <xf numFmtId="0" fontId="100" fillId="0" borderId="217" xfId="0" applyFont="1" applyBorder="1" applyAlignment="1">
      <alignment horizontal="left"/>
    </xf>
    <xf numFmtId="169" fontId="101" fillId="0" borderId="220" xfId="0" applyNumberFormat="1" applyFont="1" applyBorder="1" applyAlignment="1">
      <alignment horizontal="right"/>
    </xf>
    <xf numFmtId="177" fontId="102" fillId="0" borderId="0" xfId="0" applyNumberFormat="1" applyFont="1"/>
    <xf numFmtId="3" fontId="0" fillId="0" borderId="0" xfId="0" applyNumberFormat="1"/>
    <xf numFmtId="10" fontId="110" fillId="0" borderId="0" xfId="0" applyNumberFormat="1" applyFont="1"/>
    <xf numFmtId="172" fontId="110" fillId="0" borderId="0" xfId="1" applyNumberFormat="1" applyFont="1"/>
    <xf numFmtId="184" fontId="102" fillId="0" borderId="0" xfId="3" applyNumberFormat="1" applyFont="1"/>
    <xf numFmtId="184" fontId="102" fillId="10" borderId="1" xfId="3" applyNumberFormat="1" applyFont="1" applyFill="1" applyBorder="1" applyAlignment="1">
      <alignment horizontal="center" vertical="center"/>
    </xf>
    <xf numFmtId="184" fontId="102" fillId="10" borderId="1" xfId="3" applyNumberFormat="1" applyFont="1" applyFill="1" applyBorder="1" applyAlignment="1">
      <alignment horizontal="center"/>
    </xf>
    <xf numFmtId="17" fontId="110" fillId="0" borderId="0" xfId="0" applyNumberFormat="1" applyFont="1" applyAlignment="1">
      <alignment horizontal="right"/>
    </xf>
    <xf numFmtId="10" fontId="0" fillId="0" borderId="0" xfId="0" applyNumberFormat="1"/>
    <xf numFmtId="10" fontId="101" fillId="0" borderId="216" xfId="0" applyNumberFormat="1" applyFont="1" applyBorder="1" applyAlignment="1">
      <alignment horizontal="center"/>
    </xf>
    <xf numFmtId="0" fontId="102" fillId="34" borderId="0" xfId="0" applyFont="1" applyFill="1" applyAlignment="1">
      <alignment horizontal="center"/>
    </xf>
    <xf numFmtId="0" fontId="102" fillId="35" borderId="0" xfId="0" applyFont="1" applyFill="1" applyAlignment="1">
      <alignment horizontal="center"/>
    </xf>
    <xf numFmtId="3" fontId="114" fillId="3" borderId="29" xfId="0" applyNumberFormat="1" applyFont="1" applyFill="1" applyBorder="1" applyAlignment="1">
      <alignment horizontal="right"/>
    </xf>
    <xf numFmtId="1" fontId="111" fillId="0" borderId="14" xfId="0" applyNumberFormat="1" applyFont="1" applyBorder="1"/>
    <xf numFmtId="1" fontId="111" fillId="0" borderId="92" xfId="0" applyNumberFormat="1" applyFont="1" applyBorder="1"/>
    <xf numFmtId="37" fontId="112" fillId="33" borderId="0" xfId="0" applyNumberFormat="1" applyFont="1" applyFill="1"/>
    <xf numFmtId="37" fontId="112" fillId="0" borderId="111" xfId="0" applyNumberFormat="1" applyFont="1" applyBorder="1"/>
    <xf numFmtId="172" fontId="111" fillId="0" borderId="0" xfId="1" applyNumberFormat="1" applyFont="1"/>
    <xf numFmtId="49" fontId="145" fillId="27" borderId="1" xfId="0" applyNumberFormat="1" applyFont="1" applyFill="1" applyBorder="1" applyAlignment="1">
      <alignment horizontal="left" vertical="top"/>
    </xf>
    <xf numFmtId="49" fontId="147" fillId="23" borderId="144" xfId="0" applyNumberFormat="1" applyFont="1" applyFill="1" applyBorder="1" applyAlignment="1">
      <alignment horizontal="left" vertical="top"/>
    </xf>
    <xf numFmtId="49" fontId="150" fillId="23" borderId="143" xfId="0" applyNumberFormat="1" applyFont="1" applyFill="1" applyBorder="1" applyAlignment="1">
      <alignment horizontal="left" vertical="top"/>
    </xf>
    <xf numFmtId="49" fontId="147" fillId="23" borderId="143" xfId="0" quotePrefix="1" applyNumberFormat="1" applyFont="1" applyFill="1" applyBorder="1" applyAlignment="1">
      <alignment horizontal="left" vertical="top"/>
    </xf>
    <xf numFmtId="0" fontId="0" fillId="36" borderId="0" xfId="0" applyFill="1"/>
    <xf numFmtId="43" fontId="102" fillId="36" borderId="0" xfId="0" applyNumberFormat="1" applyFont="1" applyFill="1"/>
    <xf numFmtId="1" fontId="102" fillId="36" borderId="0" xfId="0" applyNumberFormat="1" applyFont="1" applyFill="1" applyAlignment="1">
      <alignment horizontal="center"/>
    </xf>
    <xf numFmtId="49" fontId="96" fillId="0" borderId="1" xfId="10" applyNumberFormat="1" applyAlignment="1">
      <alignment horizontal="left" vertical="center"/>
    </xf>
    <xf numFmtId="43" fontId="96" fillId="0" borderId="1" xfId="1" applyFont="1" applyBorder="1" applyAlignment="1">
      <alignment horizontal="left" vertical="center"/>
    </xf>
    <xf numFmtId="0" fontId="95" fillId="36" borderId="1" xfId="11" applyFill="1"/>
    <xf numFmtId="165" fontId="95" fillId="36" borderId="1" xfId="12" applyFont="1" applyFill="1" applyAlignment="1">
      <alignment horizontal="right" vertical="center"/>
    </xf>
    <xf numFmtId="49" fontId="101" fillId="37" borderId="1" xfId="0" applyNumberFormat="1" applyFont="1" applyFill="1" applyBorder="1" applyAlignment="1">
      <alignment horizontal="left" vertical="center"/>
    </xf>
    <xf numFmtId="0" fontId="101" fillId="37" borderId="1" xfId="0" applyFont="1" applyFill="1" applyBorder="1" applyAlignment="1">
      <alignment horizontal="left" vertical="top"/>
    </xf>
    <xf numFmtId="0" fontId="101" fillId="37" borderId="1" xfId="0" applyFont="1" applyFill="1" applyBorder="1"/>
    <xf numFmtId="181" fontId="101" fillId="37" borderId="1" xfId="0" applyNumberFormat="1" applyFont="1" applyFill="1" applyBorder="1" applyAlignment="1">
      <alignment horizontal="right" vertical="center"/>
    </xf>
    <xf numFmtId="4" fontId="101" fillId="37" borderId="1" xfId="0" applyNumberFormat="1" applyFont="1" applyFill="1" applyBorder="1"/>
    <xf numFmtId="37" fontId="0" fillId="0" borderId="0" xfId="0" applyNumberFormat="1"/>
    <xf numFmtId="49" fontId="101" fillId="10" borderId="143" xfId="0" applyNumberFormat="1" applyFont="1" applyFill="1" applyBorder="1" applyAlignment="1">
      <alignment horizontal="left" vertical="top"/>
    </xf>
    <xf numFmtId="49" fontId="151" fillId="23" borderId="143" xfId="0" applyNumberFormat="1" applyFont="1" applyFill="1" applyBorder="1" applyAlignment="1">
      <alignment horizontal="left" vertical="top"/>
    </xf>
    <xf numFmtId="49" fontId="101" fillId="0" borderId="1" xfId="0" applyNumberFormat="1" applyFont="1" applyBorder="1" applyAlignment="1">
      <alignment horizontal="left" vertical="top"/>
    </xf>
    <xf numFmtId="0" fontId="148" fillId="23" borderId="0" xfId="0" applyFont="1" applyFill="1" applyAlignment="1">
      <alignment horizontal="left" vertical="top"/>
    </xf>
    <xf numFmtId="49" fontId="101" fillId="10" borderId="144" xfId="0" applyNumberFormat="1" applyFont="1" applyFill="1" applyBorder="1" applyAlignment="1">
      <alignment horizontal="left" vertical="top"/>
    </xf>
    <xf numFmtId="3" fontId="104" fillId="0" borderId="0" xfId="0" applyNumberFormat="1" applyFont="1"/>
    <xf numFmtId="49" fontId="148" fillId="23" borderId="145" xfId="0" applyNumberFormat="1" applyFont="1" applyFill="1" applyBorder="1" applyAlignment="1">
      <alignment horizontal="left" vertical="top"/>
    </xf>
    <xf numFmtId="0" fontId="72" fillId="36" borderId="1" xfId="690" applyFill="1"/>
    <xf numFmtId="165" fontId="72" fillId="36" borderId="1" xfId="691" applyFont="1" applyFill="1" applyAlignment="1">
      <alignment horizontal="right" vertical="center"/>
    </xf>
    <xf numFmtId="0" fontId="67" fillId="36" borderId="1" xfId="1397" applyFill="1"/>
    <xf numFmtId="165" fontId="67" fillId="36" borderId="1" xfId="1398" applyFont="1" applyFill="1" applyAlignment="1">
      <alignment horizontal="right" vertical="center"/>
    </xf>
    <xf numFmtId="0" fontId="65" fillId="33" borderId="1" xfId="2755" applyFill="1"/>
    <xf numFmtId="185" fontId="65" fillId="33" borderId="1" xfId="2755" applyNumberFormat="1" applyFill="1" applyAlignment="1">
      <alignment horizontal="right" vertical="center"/>
    </xf>
    <xf numFmtId="186" fontId="65" fillId="33" borderId="1" xfId="2755" applyNumberFormat="1" applyFill="1" applyAlignment="1">
      <alignment horizontal="right" vertical="center"/>
    </xf>
    <xf numFmtId="49" fontId="65" fillId="33" borderId="1" xfId="2755" applyNumberFormat="1" applyFill="1" applyAlignment="1">
      <alignment horizontal="left" vertical="center"/>
    </xf>
    <xf numFmtId="49" fontId="166" fillId="36" borderId="1" xfId="2807" applyNumberFormat="1" applyFont="1" applyFill="1" applyAlignment="1">
      <alignment horizontal="left" vertical="center"/>
    </xf>
    <xf numFmtId="165" fontId="166" fillId="36" borderId="1" xfId="2808" applyFont="1" applyFill="1" applyAlignment="1">
      <alignment horizontal="right" vertical="center"/>
    </xf>
    <xf numFmtId="49" fontId="63" fillId="36" borderId="1" xfId="2807" applyNumberFormat="1" applyFill="1" applyAlignment="1">
      <alignment horizontal="left" vertical="center"/>
    </xf>
    <xf numFmtId="0" fontId="63" fillId="36" borderId="1" xfId="2807" applyFill="1"/>
    <xf numFmtId="165" fontId="63" fillId="36" borderId="1" xfId="2808" applyFont="1" applyFill="1" applyAlignment="1">
      <alignment horizontal="right" vertical="center"/>
    </xf>
    <xf numFmtId="186" fontId="61" fillId="34" borderId="1" xfId="2811" applyNumberFormat="1" applyFill="1" applyAlignment="1">
      <alignment horizontal="right" vertical="center"/>
    </xf>
    <xf numFmtId="0" fontId="61" fillId="0" borderId="1" xfId="2811"/>
    <xf numFmtId="49" fontId="166" fillId="0" borderId="1" xfId="2811" applyNumberFormat="1" applyFont="1" applyAlignment="1">
      <alignment horizontal="left" vertical="center"/>
    </xf>
    <xf numFmtId="49" fontId="61" fillId="0" borderId="1" xfId="2811" applyNumberFormat="1" applyAlignment="1">
      <alignment horizontal="left" vertical="center"/>
    </xf>
    <xf numFmtId="185" fontId="166" fillId="0" borderId="1" xfId="2811" applyNumberFormat="1" applyFont="1" applyAlignment="1">
      <alignment horizontal="right" vertical="center"/>
    </xf>
    <xf numFmtId="185" fontId="61" fillId="0" borderId="1" xfId="2811" applyNumberFormat="1" applyAlignment="1">
      <alignment horizontal="right" vertical="center"/>
    </xf>
    <xf numFmtId="186" fontId="166" fillId="0" borderId="1" xfId="2811" applyNumberFormat="1" applyFont="1" applyAlignment="1">
      <alignment horizontal="right" vertical="center"/>
    </xf>
    <xf numFmtId="186" fontId="61" fillId="0" borderId="1" xfId="2811" applyNumberFormat="1" applyAlignment="1">
      <alignment horizontal="right" vertical="center"/>
    </xf>
    <xf numFmtId="49" fontId="125" fillId="0" borderId="1" xfId="4224" applyNumberFormat="1" applyFont="1" applyAlignment="1">
      <alignment horizontal="center" vertical="center"/>
    </xf>
    <xf numFmtId="186" fontId="61" fillId="34" borderId="1" xfId="5565" applyNumberFormat="1" applyFill="1" applyAlignment="1">
      <alignment horizontal="right" vertical="center"/>
    </xf>
    <xf numFmtId="0" fontId="61" fillId="0" borderId="1" xfId="5565"/>
    <xf numFmtId="49" fontId="166" fillId="0" borderId="1" xfId="5565" applyNumberFormat="1" applyFont="1" applyAlignment="1">
      <alignment horizontal="left" vertical="center"/>
    </xf>
    <xf numFmtId="49" fontId="61" fillId="0" borderId="1" xfId="5565" applyNumberFormat="1" applyAlignment="1">
      <alignment horizontal="left" vertical="center"/>
    </xf>
    <xf numFmtId="185" fontId="166" fillId="0" borderId="1" xfId="5565" applyNumberFormat="1" applyFont="1" applyAlignment="1">
      <alignment horizontal="right" vertical="center"/>
    </xf>
    <xf numFmtId="185" fontId="61" fillId="0" borderId="1" xfId="5565" applyNumberFormat="1" applyAlignment="1">
      <alignment horizontal="right" vertical="center"/>
    </xf>
    <xf numFmtId="186" fontId="166" fillId="0" borderId="1" xfId="5565" applyNumberFormat="1" applyFont="1" applyAlignment="1">
      <alignment horizontal="right" vertical="center"/>
    </xf>
    <xf numFmtId="186" fontId="61" fillId="0" borderId="1" xfId="5565" applyNumberFormat="1" applyAlignment="1">
      <alignment horizontal="right" vertical="center"/>
    </xf>
    <xf numFmtId="49" fontId="125" fillId="0" borderId="1" xfId="5551" applyNumberFormat="1" applyFont="1" applyAlignment="1">
      <alignment horizontal="center" vertical="center"/>
    </xf>
    <xf numFmtId="165" fontId="111" fillId="0" borderId="8" xfId="0" applyNumberFormat="1" applyFont="1" applyBorder="1"/>
    <xf numFmtId="165" fontId="110" fillId="0" borderId="0" xfId="0" applyNumberFormat="1" applyFont="1"/>
    <xf numFmtId="43" fontId="115" fillId="0" borderId="0" xfId="1" applyFont="1"/>
    <xf numFmtId="10" fontId="115" fillId="0" borderId="0" xfId="2" applyNumberFormat="1" applyFont="1"/>
    <xf numFmtId="3" fontId="111" fillId="0" borderId="1" xfId="0" applyNumberFormat="1" applyFont="1" applyBorder="1"/>
    <xf numFmtId="3" fontId="111" fillId="0" borderId="20" xfId="0" applyNumberFormat="1" applyFont="1" applyBorder="1"/>
    <xf numFmtId="3" fontId="111" fillId="0" borderId="23" xfId="0" applyNumberFormat="1" applyFont="1" applyBorder="1"/>
    <xf numFmtId="0" fontId="58" fillId="0" borderId="1" xfId="5626"/>
    <xf numFmtId="2" fontId="171" fillId="0" borderId="1" xfId="5626" applyNumberFormat="1" applyFont="1" applyAlignment="1">
      <alignment horizontal="center"/>
    </xf>
    <xf numFmtId="0" fontId="171" fillId="0" borderId="1" xfId="5626" applyFont="1"/>
    <xf numFmtId="2" fontId="58" fillId="0" borderId="1" xfId="5626" applyNumberFormat="1" applyAlignment="1">
      <alignment horizontal="center"/>
    </xf>
    <xf numFmtId="0" fontId="172" fillId="0" borderId="1" xfId="5626" applyFont="1"/>
    <xf numFmtId="2" fontId="169" fillId="38" borderId="221" xfId="5626" applyNumberFormat="1" applyFont="1" applyFill="1" applyBorder="1" applyAlignment="1">
      <alignment horizontal="center"/>
    </xf>
    <xf numFmtId="2" fontId="169" fillId="38" borderId="223" xfId="5626" applyNumberFormat="1" applyFont="1" applyFill="1" applyBorder="1" applyAlignment="1">
      <alignment horizontal="center"/>
    </xf>
    <xf numFmtId="0" fontId="58" fillId="0" borderId="163" xfId="5626" applyBorder="1"/>
    <xf numFmtId="0" fontId="58" fillId="0" borderId="224" xfId="5626" applyBorder="1"/>
    <xf numFmtId="0" fontId="169" fillId="0" borderId="225" xfId="5627" applyFont="1" applyBorder="1"/>
    <xf numFmtId="0" fontId="58" fillId="29" borderId="226" xfId="5626" applyFill="1" applyBorder="1"/>
    <xf numFmtId="37" fontId="169" fillId="0" borderId="221" xfId="5626" applyNumberFormat="1" applyFont="1" applyBorder="1" applyAlignment="1">
      <alignment horizontal="center"/>
    </xf>
    <xf numFmtId="37" fontId="169" fillId="0" borderId="223" xfId="5626" applyNumberFormat="1" applyFont="1" applyBorder="1" applyAlignment="1">
      <alignment horizontal="center"/>
    </xf>
    <xf numFmtId="175" fontId="169" fillId="0" borderId="223" xfId="5628" applyNumberFormat="1" applyFont="1" applyBorder="1" applyAlignment="1">
      <alignment horizontal="center"/>
    </xf>
    <xf numFmtId="0" fontId="170" fillId="0" borderId="1" xfId="5626" applyFont="1"/>
    <xf numFmtId="0" fontId="58" fillId="0" borderId="225" xfId="5626" applyBorder="1"/>
    <xf numFmtId="0" fontId="58"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58" fillId="0" borderId="226" xfId="5626" applyBorder="1" applyAlignment="1">
      <alignment horizontal="left"/>
    </xf>
    <xf numFmtId="37" fontId="58" fillId="0" borderId="227" xfId="5626" applyNumberFormat="1" applyBorder="1" applyAlignment="1">
      <alignment horizontal="center"/>
    </xf>
    <xf numFmtId="37" fontId="58"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69" fillId="0" borderId="226" xfId="5626" applyFont="1" applyBorder="1"/>
    <xf numFmtId="37" fontId="169" fillId="0" borderId="227" xfId="5629" applyNumberFormat="1" applyFont="1" applyBorder="1" applyAlignment="1">
      <alignment horizontal="center"/>
    </xf>
    <xf numFmtId="37" fontId="169"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58" fillId="0" borderId="225" xfId="5626" applyBorder="1" applyAlignment="1">
      <alignment horizontal="left"/>
    </xf>
    <xf numFmtId="37" fontId="0" fillId="0" borderId="229" xfId="5629" applyNumberFormat="1" applyFont="1" applyFill="1" applyBorder="1" applyAlignment="1">
      <alignment horizontal="center"/>
    </xf>
    <xf numFmtId="0" fontId="170"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58" fillId="0" borderId="232" xfId="5626" applyBorder="1" applyAlignment="1">
      <alignment horizontal="left"/>
    </xf>
    <xf numFmtId="0" fontId="58" fillId="0" borderId="227" xfId="5626" applyBorder="1"/>
    <xf numFmtId="175" fontId="0" fillId="0" borderId="231" xfId="5628" applyNumberFormat="1" applyFont="1" applyBorder="1" applyAlignment="1">
      <alignment horizontal="center"/>
    </xf>
    <xf numFmtId="2" fontId="58" fillId="0" borderId="231" xfId="5626" applyNumberFormat="1" applyBorder="1" applyAlignment="1">
      <alignment horizontal="center"/>
    </xf>
    <xf numFmtId="0" fontId="58" fillId="0" borderId="1" xfId="5626" applyAlignment="1">
      <alignment horizontal="left"/>
    </xf>
    <xf numFmtId="2" fontId="0" fillId="0" borderId="1" xfId="5629" applyNumberFormat="1" applyFont="1" applyBorder="1" applyAlignment="1">
      <alignment horizontal="center"/>
    </xf>
    <xf numFmtId="37" fontId="169" fillId="0" borderId="230" xfId="5629" applyNumberFormat="1" applyFont="1" applyBorder="1" applyAlignment="1">
      <alignment horizontal="center"/>
    </xf>
    <xf numFmtId="37" fontId="173" fillId="0" borderId="228" xfId="5629" applyNumberFormat="1" applyFont="1" applyBorder="1" applyAlignment="1">
      <alignment horizontal="center"/>
    </xf>
    <xf numFmtId="0" fontId="169" fillId="0" borderId="232" xfId="5626" applyFont="1" applyBorder="1"/>
    <xf numFmtId="37" fontId="169" fillId="0" borderId="231" xfId="5629" applyNumberFormat="1" applyFont="1" applyBorder="1" applyAlignment="1">
      <alignment horizontal="center"/>
    </xf>
    <xf numFmtId="0" fontId="168" fillId="0" borderId="1" xfId="5626" applyFont="1"/>
    <xf numFmtId="0" fontId="58" fillId="29" borderId="233" xfId="5626" applyFill="1" applyBorder="1"/>
    <xf numFmtId="0" fontId="169" fillId="0" borderId="1" xfId="5626" applyFont="1"/>
    <xf numFmtId="0" fontId="58" fillId="0" borderId="1" xfId="5626" applyAlignment="1">
      <alignment horizontal="center"/>
    </xf>
    <xf numFmtId="2" fontId="168" fillId="0" borderId="1" xfId="5626" applyNumberFormat="1" applyFont="1" applyAlignment="1">
      <alignment horizontal="center"/>
    </xf>
    <xf numFmtId="2" fontId="58" fillId="0" borderId="1" xfId="5626" applyNumberFormat="1"/>
    <xf numFmtId="1" fontId="101" fillId="36" borderId="232" xfId="5626" applyNumberFormat="1" applyFont="1" applyFill="1" applyBorder="1" applyAlignment="1">
      <alignment horizontal="left" vertical="top"/>
    </xf>
    <xf numFmtId="187" fontId="58" fillId="33" borderId="1" xfId="5626" applyNumberFormat="1" applyFill="1" applyAlignment="1">
      <alignment horizontal="center"/>
    </xf>
    <xf numFmtId="0" fontId="169" fillId="0" borderId="1" xfId="5626" applyFont="1" applyAlignment="1">
      <alignment horizontal="center" vertical="center"/>
    </xf>
    <xf numFmtId="0" fontId="169" fillId="0" borderId="225" xfId="5626" applyFont="1" applyBorder="1" applyAlignment="1">
      <alignment horizontal="center" vertical="center"/>
    </xf>
    <xf numFmtId="0" fontId="169" fillId="0" borderId="233" xfId="5626" applyFont="1" applyBorder="1" applyAlignment="1">
      <alignment horizontal="center" vertical="center"/>
    </xf>
    <xf numFmtId="0" fontId="169" fillId="0" borderId="233" xfId="5626" applyFont="1" applyBorder="1" applyAlignment="1">
      <alignment horizontal="center" wrapText="1"/>
    </xf>
    <xf numFmtId="0" fontId="58" fillId="0" borderId="1" xfId="5626" applyAlignment="1">
      <alignment horizontal="center" vertical="center"/>
    </xf>
    <xf numFmtId="0" fontId="169" fillId="0" borderId="225" xfId="5626" applyFont="1" applyBorder="1" applyAlignment="1">
      <alignment horizontal="center"/>
    </xf>
    <xf numFmtId="3" fontId="58" fillId="36" borderId="226" xfId="5626" applyNumberFormat="1" applyFill="1" applyBorder="1" applyAlignment="1">
      <alignment horizontal="center"/>
    </xf>
    <xf numFmtId="2" fontId="169" fillId="0" borderId="226" xfId="5626" applyNumberFormat="1" applyFont="1" applyBorder="1" applyAlignment="1">
      <alignment horizontal="center"/>
    </xf>
    <xf numFmtId="0" fontId="169" fillId="0" borderId="226" xfId="5626" applyFont="1" applyBorder="1" applyAlignment="1">
      <alignment horizontal="center"/>
    </xf>
    <xf numFmtId="0" fontId="169" fillId="0" borderId="232" xfId="5626" applyFont="1" applyBorder="1" applyAlignment="1">
      <alignment horizontal="center"/>
    </xf>
    <xf numFmtId="3" fontId="58" fillId="36" borderId="232" xfId="5626" applyNumberFormat="1" applyFill="1" applyBorder="1" applyAlignment="1">
      <alignment horizontal="center"/>
    </xf>
    <xf numFmtId="175" fontId="111" fillId="0" borderId="0" xfId="2" applyNumberFormat="1" applyFont="1"/>
    <xf numFmtId="175" fontId="111" fillId="0" borderId="8" xfId="2" applyNumberFormat="1" applyFont="1" applyBorder="1"/>
    <xf numFmtId="175" fontId="111" fillId="0" borderId="93" xfId="2" applyNumberFormat="1" applyFont="1" applyBorder="1"/>
    <xf numFmtId="175" fontId="104" fillId="3" borderId="35" xfId="2" applyNumberFormat="1" applyFont="1" applyFill="1" applyBorder="1"/>
    <xf numFmtId="175" fontId="112" fillId="0" borderId="71" xfId="2" applyNumberFormat="1" applyFont="1" applyBorder="1"/>
    <xf numFmtId="175" fontId="112" fillId="0" borderId="85" xfId="2" applyNumberFormat="1" applyFont="1" applyBorder="1"/>
    <xf numFmtId="175" fontId="112" fillId="0" borderId="14" xfId="2" applyNumberFormat="1" applyFont="1" applyBorder="1"/>
    <xf numFmtId="175" fontId="112" fillId="0" borderId="0" xfId="2" applyNumberFormat="1" applyFont="1"/>
    <xf numFmtId="37" fontId="167" fillId="0" borderId="0" xfId="0" applyNumberFormat="1" applyFont="1"/>
    <xf numFmtId="187" fontId="58" fillId="0" borderId="1" xfId="5626" applyNumberFormat="1"/>
    <xf numFmtId="185" fontId="53" fillId="36" borderId="1" xfId="5635" applyNumberFormat="1" applyFill="1" applyAlignment="1">
      <alignment horizontal="right" vertical="center"/>
    </xf>
    <xf numFmtId="0" fontId="53" fillId="36" borderId="1" xfId="5635" applyFill="1"/>
    <xf numFmtId="4" fontId="101" fillId="36" borderId="0" xfId="0" applyNumberFormat="1" applyFont="1" applyFill="1" applyAlignment="1">
      <alignment horizontal="center" vertical="top"/>
    </xf>
    <xf numFmtId="10" fontId="101" fillId="0" borderId="218" xfId="0" applyNumberFormat="1" applyFont="1" applyBorder="1" applyAlignment="1">
      <alignment horizontal="center"/>
    </xf>
    <xf numFmtId="49" fontId="175" fillId="23" borderId="143" xfId="11272" applyNumberFormat="1" applyFill="1" applyBorder="1" applyAlignment="1">
      <alignment horizontal="left" vertical="top"/>
    </xf>
    <xf numFmtId="0" fontId="47" fillId="36" borderId="1" xfId="11277" applyFill="1"/>
    <xf numFmtId="185" fontId="47" fillId="36" borderId="1" xfId="11277" applyNumberFormat="1" applyFill="1" applyAlignment="1">
      <alignment horizontal="right" vertical="center"/>
    </xf>
    <xf numFmtId="0" fontId="46" fillId="0" borderId="0" xfId="0" applyFont="1"/>
    <xf numFmtId="9" fontId="111" fillId="0" borderId="0" xfId="2" applyFont="1" applyAlignment="1">
      <alignment horizontal="right"/>
    </xf>
    <xf numFmtId="9" fontId="111" fillId="0" borderId="0" xfId="2" applyFont="1"/>
    <xf numFmtId="9" fontId="111" fillId="0" borderId="8" xfId="2" applyFont="1" applyFill="1" applyBorder="1"/>
    <xf numFmtId="175" fontId="111" fillId="0" borderId="0" xfId="2" applyNumberFormat="1" applyFont="1" applyFill="1"/>
    <xf numFmtId="0" fontId="44" fillId="36" borderId="1" xfId="11279" applyFill="1"/>
    <xf numFmtId="185" fontId="44" fillId="36" borderId="1" xfId="11279" applyNumberFormat="1" applyFill="1" applyAlignment="1">
      <alignment horizontal="right" vertical="center"/>
    </xf>
    <xf numFmtId="0" fontId="43" fillId="0" borderId="1" xfId="11280"/>
    <xf numFmtId="49" fontId="125" fillId="0" borderId="227" xfId="11280" applyNumberFormat="1" applyFont="1" applyBorder="1" applyAlignment="1">
      <alignment horizontal="center" vertical="center"/>
    </xf>
    <xf numFmtId="49" fontId="125" fillId="0" borderId="1" xfId="11280" applyNumberFormat="1" applyFont="1" applyAlignment="1">
      <alignment horizontal="center" vertical="center"/>
    </xf>
    <xf numFmtId="3" fontId="125" fillId="0" borderId="1" xfId="11280" applyNumberFormat="1" applyFont="1" applyAlignment="1">
      <alignment horizontal="center" vertical="center"/>
    </xf>
    <xf numFmtId="49" fontId="125" fillId="0" borderId="224" xfId="11280" applyNumberFormat="1" applyFont="1" applyBorder="1" applyAlignment="1">
      <alignment horizontal="center" vertical="center"/>
    </xf>
    <xf numFmtId="0" fontId="43" fillId="0" borderId="227" xfId="11280" applyBorder="1" applyAlignment="1">
      <alignment horizontal="center"/>
    </xf>
    <xf numFmtId="0" fontId="43" fillId="0" borderId="1" xfId="11280" applyAlignment="1">
      <alignment horizontal="center"/>
    </xf>
    <xf numFmtId="3" fontId="43" fillId="0" borderId="1" xfId="11280" applyNumberFormat="1" applyAlignment="1">
      <alignment horizontal="center"/>
    </xf>
    <xf numFmtId="0" fontId="43" fillId="0" borderId="224" xfId="11280" applyBorder="1" applyAlignment="1">
      <alignment horizontal="center"/>
    </xf>
    <xf numFmtId="0" fontId="147" fillId="39" borderId="143" xfId="0" applyFont="1" applyFill="1" applyBorder="1" applyAlignment="1">
      <alignment horizontal="left" vertical="top"/>
    </xf>
    <xf numFmtId="0" fontId="148" fillId="39" borderId="143" xfId="0" applyFont="1" applyFill="1" applyBorder="1" applyAlignment="1">
      <alignment horizontal="left" vertical="top"/>
    </xf>
    <xf numFmtId="49" fontId="147" fillId="39" borderId="143" xfId="0" applyNumberFormat="1" applyFont="1" applyFill="1" applyBorder="1" applyAlignment="1">
      <alignment horizontal="left" vertical="top"/>
    </xf>
    <xf numFmtId="9" fontId="113" fillId="0" borderId="0" xfId="2" applyFont="1"/>
    <xf numFmtId="0" fontId="42" fillId="0" borderId="1" xfId="11280" applyFont="1" applyAlignment="1">
      <alignment horizontal="center"/>
    </xf>
    <xf numFmtId="0" fontId="42" fillId="0" borderId="224" xfId="11280" applyFont="1" applyBorder="1" applyAlignment="1">
      <alignment horizontal="center"/>
    </xf>
    <xf numFmtId="0" fontId="38" fillId="0" borderId="0" xfId="0" applyFont="1"/>
    <xf numFmtId="43" fontId="58" fillId="0" borderId="1" xfId="1" applyFont="1" applyBorder="1"/>
    <xf numFmtId="43" fontId="58" fillId="0" borderId="1" xfId="1" applyFont="1" applyBorder="1" applyAlignment="1">
      <alignment horizontal="center"/>
    </xf>
    <xf numFmtId="165" fontId="58" fillId="0" borderId="1" xfId="5626" applyNumberFormat="1"/>
    <xf numFmtId="0" fontId="114" fillId="3" borderId="127" xfId="0" applyFont="1" applyFill="1" applyBorder="1"/>
    <xf numFmtId="0" fontId="114" fillId="3" borderId="128" xfId="0" applyFont="1" applyFill="1" applyBorder="1"/>
    <xf numFmtId="0" fontId="114" fillId="3" borderId="128" xfId="0" applyFont="1" applyFill="1" applyBorder="1" applyAlignment="1">
      <alignment horizontal="center"/>
    </xf>
    <xf numFmtId="175" fontId="114" fillId="3" borderId="128" xfId="0" applyNumberFormat="1" applyFont="1" applyFill="1" applyBorder="1"/>
    <xf numFmtId="37" fontId="114" fillId="3" borderId="128" xfId="0" applyNumberFormat="1" applyFont="1" applyFill="1" applyBorder="1"/>
    <xf numFmtId="175" fontId="114" fillId="3" borderId="129" xfId="0" applyNumberFormat="1" applyFont="1" applyFill="1" applyBorder="1"/>
    <xf numFmtId="9" fontId="114" fillId="3" borderId="108" xfId="2" applyFont="1" applyFill="1" applyBorder="1"/>
    <xf numFmtId="3" fontId="104" fillId="3" borderId="27" xfId="0" applyNumberFormat="1" applyFont="1" applyFill="1" applyBorder="1"/>
    <xf numFmtId="0" fontId="31" fillId="0" borderId="0" xfId="0" applyFont="1"/>
    <xf numFmtId="0" fontId="29" fillId="36" borderId="1" xfId="11293" applyFill="1"/>
    <xf numFmtId="185" fontId="29" fillId="36" borderId="1" xfId="11293" applyNumberFormat="1" applyFill="1" applyAlignment="1">
      <alignment horizontal="right" vertical="center"/>
    </xf>
    <xf numFmtId="0" fontId="26" fillId="0" borderId="1" xfId="11280" applyFont="1" applyAlignment="1">
      <alignment horizontal="center"/>
    </xf>
    <xf numFmtId="0" fontId="26" fillId="0" borderId="224" xfId="11280" applyFont="1" applyBorder="1" applyAlignment="1">
      <alignment horizontal="center"/>
    </xf>
    <xf numFmtId="0" fontId="26" fillId="0" borderId="0" xfId="0" applyFont="1"/>
    <xf numFmtId="9" fontId="111" fillId="0" borderId="14" xfId="2" applyFont="1" applyBorder="1" applyAlignment="1">
      <alignment horizontal="right"/>
    </xf>
    <xf numFmtId="172" fontId="112" fillId="0" borderId="73" xfId="0" applyNumberFormat="1" applyFont="1" applyBorder="1"/>
    <xf numFmtId="0" fontId="16" fillId="0" borderId="0" xfId="0" applyFont="1"/>
    <xf numFmtId="3" fontId="26" fillId="0" borderId="0" xfId="0" applyNumberFormat="1" applyFont="1"/>
    <xf numFmtId="0" fontId="11" fillId="0" borderId="1" xfId="11280" applyFont="1" applyAlignment="1">
      <alignment horizontal="center"/>
    </xf>
    <xf numFmtId="175" fontId="111" fillId="0" borderId="1" xfId="0" applyNumberFormat="1" applyFont="1" applyBorder="1"/>
    <xf numFmtId="0" fontId="6" fillId="0" borderId="1" xfId="11280" applyFont="1" applyAlignment="1">
      <alignment horizontal="center"/>
    </xf>
    <xf numFmtId="0" fontId="5" fillId="36" borderId="1" xfId="11316" applyFill="1"/>
    <xf numFmtId="185" fontId="5" fillId="36" borderId="1" xfId="11316" applyNumberFormat="1" applyFill="1" applyAlignment="1">
      <alignment horizontal="right" vertical="center"/>
    </xf>
    <xf numFmtId="49" fontId="166" fillId="36" borderId="1" xfId="11320" applyNumberFormat="1" applyFont="1" applyFill="1" applyAlignment="1">
      <alignment horizontal="left" vertical="center"/>
    </xf>
    <xf numFmtId="185" fontId="166" fillId="36" borderId="1" xfId="11320" applyNumberFormat="1" applyFont="1" applyFill="1" applyAlignment="1">
      <alignment horizontal="right" vertical="center"/>
    </xf>
    <xf numFmtId="49" fontId="1" fillId="36" borderId="1" xfId="11320" applyNumberFormat="1" applyFill="1" applyAlignment="1">
      <alignment horizontal="left" vertical="center"/>
    </xf>
    <xf numFmtId="0" fontId="1" fillId="36" borderId="1" xfId="11320" applyFill="1"/>
    <xf numFmtId="185" fontId="1" fillId="36" borderId="1" xfId="11320" applyNumberFormat="1" applyFill="1" applyAlignment="1">
      <alignment horizontal="right" vertical="center"/>
    </xf>
    <xf numFmtId="0" fontId="100" fillId="8" borderId="44" xfId="0" applyFont="1" applyFill="1" applyBorder="1" applyAlignment="1">
      <alignment horizontal="center" vertical="center" wrapText="1"/>
    </xf>
    <xf numFmtId="0" fontId="108" fillId="0" borderId="49" xfId="0" applyFont="1" applyBorder="1"/>
    <xf numFmtId="0" fontId="124" fillId="9" borderId="50" xfId="0" applyFont="1" applyFill="1" applyBorder="1" applyAlignment="1">
      <alignment horizontal="center" vertical="center" wrapText="1"/>
    </xf>
    <xf numFmtId="0" fontId="108" fillId="0" borderId="51" xfId="0" applyFont="1" applyBorder="1"/>
    <xf numFmtId="0" fontId="102" fillId="13" borderId="89" xfId="0" applyFont="1" applyFill="1" applyBorder="1" applyAlignment="1">
      <alignment horizontal="left" vertical="top" wrapText="1"/>
    </xf>
    <xf numFmtId="0" fontId="108" fillId="0" borderId="69" xfId="0" applyFont="1" applyBorder="1"/>
    <xf numFmtId="0" fontId="108" fillId="0" borderId="83" xfId="0" applyFont="1" applyBorder="1"/>
    <xf numFmtId="0" fontId="124" fillId="0" borderId="14" xfId="0" applyFont="1" applyBorder="1" applyAlignment="1">
      <alignment horizontal="center"/>
    </xf>
    <xf numFmtId="0" fontId="108" fillId="0" borderId="14" xfId="0" applyFont="1" applyBorder="1"/>
    <xf numFmtId="0" fontId="104" fillId="0" borderId="17" xfId="0" applyFont="1" applyBorder="1" applyAlignment="1">
      <alignment horizontal="center"/>
    </xf>
    <xf numFmtId="0" fontId="108" fillId="0" borderId="17" xfId="0" applyFont="1" applyBorder="1"/>
    <xf numFmtId="0" fontId="108" fillId="0" borderId="4" xfId="0" applyFont="1" applyBorder="1"/>
    <xf numFmtId="0" fontId="104" fillId="0" borderId="16" xfId="0" applyFont="1" applyBorder="1" applyAlignment="1">
      <alignment horizontal="center"/>
    </xf>
    <xf numFmtId="0" fontId="108" fillId="0" borderId="18" xfId="0" applyFont="1" applyBorder="1"/>
    <xf numFmtId="0" fontId="104" fillId="0" borderId="3" xfId="0" applyFont="1" applyBorder="1" applyAlignment="1">
      <alignment horizontal="center"/>
    </xf>
    <xf numFmtId="0" fontId="104" fillId="0" borderId="104" xfId="0" applyFont="1" applyBorder="1" applyAlignment="1">
      <alignment horizontal="center" vertical="center"/>
    </xf>
    <xf numFmtId="0" fontId="108" fillId="0" borderId="102" xfId="0" applyFont="1" applyBorder="1"/>
    <xf numFmtId="0" fontId="108" fillId="0" borderId="105" xfId="0" applyFont="1" applyBorder="1"/>
    <xf numFmtId="0" fontId="104" fillId="0" borderId="102" xfId="0" applyFont="1" applyBorder="1" applyAlignment="1">
      <alignment horizontal="center" vertical="center"/>
    </xf>
    <xf numFmtId="0" fontId="108" fillId="0" borderId="103" xfId="0" applyFont="1" applyBorder="1"/>
    <xf numFmtId="0" fontId="171" fillId="0" borderId="234" xfId="11280" applyFont="1" applyBorder="1" applyAlignment="1">
      <alignment horizontal="center" wrapText="1"/>
    </xf>
    <xf numFmtId="0" fontId="171" fillId="0" borderId="235" xfId="11280" applyFont="1" applyBorder="1" applyAlignment="1">
      <alignment horizontal="center" wrapText="1"/>
    </xf>
    <xf numFmtId="0" fontId="171" fillId="0" borderId="236" xfId="11280" applyFont="1" applyBorder="1" applyAlignment="1">
      <alignment horizontal="center" wrapText="1"/>
    </xf>
    <xf numFmtId="0" fontId="169" fillId="0" borderId="221" xfId="5626" applyFont="1" applyBorder="1" applyAlignment="1">
      <alignment horizontal="center"/>
    </xf>
    <xf numFmtId="0" fontId="169" fillId="0" borderId="223" xfId="5626" applyFont="1" applyBorder="1" applyAlignment="1">
      <alignment horizontal="center"/>
    </xf>
    <xf numFmtId="0" fontId="171" fillId="0" borderId="1" xfId="5626" applyFont="1" applyAlignment="1">
      <alignment horizontal="left" vertical="center"/>
    </xf>
    <xf numFmtId="2" fontId="169" fillId="38" borderId="221" xfId="5626" applyNumberFormat="1" applyFont="1" applyFill="1" applyBorder="1" applyAlignment="1">
      <alignment horizontal="center"/>
    </xf>
    <xf numFmtId="2" fontId="169" fillId="38" borderId="222" xfId="5626" applyNumberFormat="1" applyFont="1" applyFill="1" applyBorder="1" applyAlignment="1">
      <alignment horizontal="center"/>
    </xf>
    <xf numFmtId="2" fontId="169" fillId="38" borderId="223" xfId="5626" applyNumberFormat="1" applyFont="1" applyFill="1" applyBorder="1" applyAlignment="1">
      <alignment horizontal="center"/>
    </xf>
    <xf numFmtId="2" fontId="169" fillId="38" borderId="221" xfId="5626" applyNumberFormat="1" applyFont="1" applyFill="1" applyBorder="1" applyAlignment="1">
      <alignment horizontal="center" wrapText="1"/>
    </xf>
    <xf numFmtId="2" fontId="169" fillId="38" borderId="222" xfId="5626" applyNumberFormat="1" applyFont="1" applyFill="1" applyBorder="1" applyAlignment="1">
      <alignment horizontal="center" wrapText="1"/>
    </xf>
    <xf numFmtId="2" fontId="169" fillId="38" borderId="223" xfId="5626" applyNumberFormat="1" applyFont="1" applyFill="1" applyBorder="1" applyAlignment="1">
      <alignment horizontal="center" wrapText="1"/>
    </xf>
    <xf numFmtId="0" fontId="169" fillId="0" borderId="1" xfId="5626" applyFont="1" applyAlignment="1">
      <alignment horizontal="center"/>
    </xf>
    <xf numFmtId="0" fontId="100" fillId="0" borderId="127" xfId="0" applyFont="1" applyBorder="1" applyAlignment="1">
      <alignment horizontal="center"/>
    </xf>
    <xf numFmtId="0" fontId="108" fillId="0" borderId="128" xfId="0" applyFont="1" applyBorder="1"/>
    <xf numFmtId="0" fontId="108" fillId="0" borderId="129" xfId="0" applyFont="1" applyBorder="1"/>
    <xf numFmtId="0" fontId="101" fillId="0" borderId="130" xfId="0" applyFont="1" applyBorder="1" applyAlignment="1">
      <alignment horizontal="center"/>
    </xf>
    <xf numFmtId="0" fontId="108" fillId="0" borderId="63" xfId="0" applyFont="1" applyBorder="1"/>
    <xf numFmtId="0" fontId="108" fillId="0" borderId="131" xfId="0" applyFont="1" applyBorder="1"/>
  </cellXfs>
  <cellStyles count="11321">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-1.0%</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(1,208)</c:v>
                  </c:pt>
                  <c:pt idx="9">
                    <c:v>3,459 </c:v>
                  </c:pt>
                  <c:pt idx="10">
                    <c:v>-74.1%</c:v>
                  </c:pt>
                  <c:pt idx="13">
                    <c:v>0 </c:v>
                  </c:pt>
                </c:lvl>
                <c:lvl>
                  <c:pt idx="0">
                    <c:v>0 </c:v>
                  </c:pt>
                  <c:pt idx="2">
                    <c:v>0 </c:v>
                  </c:pt>
                  <c:pt idx="3">
                    <c:v>0.0%</c:v>
                  </c:pt>
                  <c:pt idx="6">
                    <c:v>(2,099)</c:v>
                  </c:pt>
                </c:lvl>
                <c:lvl>
                  <c:pt idx="0">
                    <c:v>0 </c:v>
                  </c:pt>
                  <c:pt idx="2">
                    <c:v>0 </c:v>
                  </c:pt>
                  <c:pt idx="3">
                    <c:v>0.0%</c:v>
                  </c:pt>
                  <c:pt idx="6">
                    <c:v>0 </c:v>
                  </c:pt>
                </c:lvl>
                <c:lvl>
                  <c:pt idx="0">
                    <c:v>45,226 </c:v>
                  </c:pt>
                  <c:pt idx="2">
                    <c:v>10,577 </c:v>
                  </c:pt>
                  <c:pt idx="3">
                    <c:v>30.5%</c:v>
                  </c:pt>
                  <c:pt idx="6">
                    <c:v>4,315 </c:v>
                  </c:pt>
                </c:lvl>
              </c:multiLvlStrCache>
            </c:multiLvlStrRef>
          </c:cat>
          <c:val>
            <c:numRef>
              <c:f>Print_Mois!$AF$498:$AL$498</c:f>
              <c:numCache>
                <c:formatCode>#,##0_);\(#,##0\)</c:formatCode>
                <c:ptCount val="7"/>
                <c:pt idx="0">
                  <c:v>-38513.079999999922</c:v>
                </c:pt>
                <c:pt idx="2">
                  <c:v>-56992.053609235896</c:v>
                </c:pt>
                <c:pt idx="3" formatCode="0.0%">
                  <c:v>-3.0841568809184667</c:v>
                </c:pt>
                <c:pt idx="4" formatCode="General">
                  <c:v>0</c:v>
                </c:pt>
                <c:pt idx="5" formatCode="0.0%">
                  <c:v>8.8424347551669981E-3</c:v>
                </c:pt>
                <c:pt idx="6">
                  <c:v>85014.179999999222</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0" sqref="D20"/>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6</v>
      </c>
      <c r="C3" s="4">
        <f>+VLOOKUP(B3,$K$3:$L$14,2,0)</f>
        <v>12</v>
      </c>
      <c r="G3" s="3" t="s">
        <v>7</v>
      </c>
      <c r="K3" s="5" t="s">
        <v>8</v>
      </c>
      <c r="L3" s="4">
        <v>1</v>
      </c>
      <c r="M3" s="4" t="str">
        <f t="shared" ref="M3:M14" si="0">+IF($K3=$B$3,"X","")</f>
        <v/>
      </c>
      <c r="N3" s="4" t="str">
        <f t="shared" ref="N3:N14" si="1">+IF(K3=B3,"X",IF(L3&lt;=$C$3,"X",""))</f>
        <v>X</v>
      </c>
    </row>
    <row r="4" spans="1:1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
      </c>
      <c r="N12" s="4" t="str">
        <f t="shared" si="1"/>
        <v>X</v>
      </c>
    </row>
    <row r="13" spans="1:14">
      <c r="A13" s="3"/>
      <c r="I13" s="3"/>
      <c r="K13" s="5" t="s">
        <v>23</v>
      </c>
      <c r="L13" s="4">
        <v>11</v>
      </c>
      <c r="M13" s="4" t="str">
        <f t="shared" si="0"/>
        <v/>
      </c>
      <c r="N13" s="4" t="str">
        <f t="shared" si="1"/>
        <v>X</v>
      </c>
    </row>
    <row r="14" spans="1:14">
      <c r="A14" s="3"/>
      <c r="I14" s="3"/>
      <c r="K14" s="5" t="s">
        <v>6</v>
      </c>
      <c r="L14" s="4">
        <v>12</v>
      </c>
      <c r="M14" s="4" t="str">
        <f t="shared" si="0"/>
        <v>X</v>
      </c>
      <c r="N14" s="4" t="str">
        <f t="shared" si="1"/>
        <v>X</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D69" sqref="D6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Décembre 2024</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322625.68</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322625.68</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793463.33</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241667.19999999998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206850</v>
      </c>
      <c r="C10" s="15"/>
      <c r="D10" s="20" t="s">
        <v>33</v>
      </c>
      <c r="E10" s="21">
        <f>-SUMIFS(BV_Data_An_Cour!$P:$P,BV_Data_An_Cour!$U:$U,$A$1,BV_Data_An_Cour!$V:$V,$D10)</f>
        <v>494919.72</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214515.86</v>
      </c>
      <c r="C11" s="15"/>
      <c r="D11" s="20" t="s">
        <v>35</v>
      </c>
      <c r="E11" s="21">
        <f>-SUMIFS(BV_Data_An_Cour!$P:$P,BV_Data_An_Cour!$U:$U,$A$1,BV_Data_An_Cour!$V:$V,$D11)</f>
        <v>92596.680000000008</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15562.94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-601.24</v>
      </c>
      <c r="C13" s="15"/>
      <c r="D13" s="20" t="s">
        <v>39</v>
      </c>
      <c r="E13" s="21">
        <f>-SUMIFS(BV_Data_An_Cour!$P:$P,BV_Data_An_Cour!$U:$U,$A$1,BV_Data_An_Cour!$V:$V,$D13)</f>
        <v>23300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19377.48</v>
      </c>
      <c r="C14" s="15"/>
      <c r="D14" s="20" t="s">
        <v>41</v>
      </c>
      <c r="E14" s="21">
        <f>-SUMIFS(BV_Data_An_Cour!$P:$P,BV_Data_An_Cour!$U:$U,$A$1,BV_Data_An_Cour!$V:$V,$D14)</f>
        <v>116447.87</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-2723.9500000000003</v>
      </c>
      <c r="C15" s="15"/>
      <c r="D15" s="20" t="s">
        <v>43</v>
      </c>
      <c r="E15" s="21">
        <f>-SUMIFS(BV_Data_An_Cour!$P:$P,BV_Data_An_Cour!$U:$U,$A$1,BV_Data_An_Cour!$V:$V,$D15)</f>
        <v>133651.46000000002</v>
      </c>
      <c r="F15" s="3"/>
      <c r="G15" s="3"/>
      <c r="H15" s="3"/>
      <c r="I15" s="3"/>
      <c r="J15" s="3"/>
      <c r="K15" s="3"/>
      <c r="L15" s="3"/>
      <c r="M15" s="3"/>
      <c r="N15" s="3"/>
      <c r="O15" s="3"/>
      <c r="P15" s="3"/>
      <c r="Q15" s="3"/>
      <c r="R15" s="3"/>
      <c r="S15" s="3"/>
      <c r="T15" s="3"/>
      <c r="U15" s="3"/>
      <c r="V15" s="3"/>
      <c r="W15" s="3"/>
      <c r="X15" s="3"/>
      <c r="Y15" s="3"/>
    </row>
    <row r="16" spans="1:25">
      <c r="A16" s="17" t="s">
        <v>44</v>
      </c>
      <c r="B16" s="18">
        <f>+SUM(B8:B15)</f>
        <v>1488111.6199999996</v>
      </c>
      <c r="C16" s="19"/>
      <c r="D16" s="17" t="s">
        <v>45</v>
      </c>
      <c r="E16" s="18">
        <f>+SUM(E10:E15)</f>
        <v>860915.73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5853156.0800000001</v>
      </c>
      <c r="C18" s="15"/>
      <c r="D18" s="20" t="s">
        <v>47</v>
      </c>
      <c r="E18" s="21">
        <f>-SUMIFS(BV_Data_An_Cour!$P:$P,BV_Data_An_Cour!$U:$U,$A$1,BV_Data_An_Cour!$V:$V,$D18)</f>
        <v>6888217.6600000001</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684346.02</v>
      </c>
      <c r="C19" s="15"/>
      <c r="D19" s="20" t="s">
        <v>49</v>
      </c>
      <c r="E19" s="21">
        <f>-SUMIFS(BV_Data_An_Cour!$P:$P,BV_Data_An_Cour!$U:$U,$A$1,BV_Data_An_Cour!$V:$V,$D19)</f>
        <v>456844.77</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670832.29</v>
      </c>
      <c r="C20" s="15"/>
      <c r="D20" s="17" t="s">
        <v>51</v>
      </c>
      <c r="E20" s="18">
        <f>+SUM(E18:E19)</f>
        <v>7345062.4299999997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7208334.3899999997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380342.98</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-8754.7200000000012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9677.94</v>
      </c>
      <c r="C24" s="15"/>
      <c r="D24" s="20" t="s">
        <v>57</v>
      </c>
      <c r="E24" s="21">
        <f>-SUMIFS(BV_Data_An_Cour!$P:$P,BV_Data_An_Cour!$U:$U,$A$1,BV_Data_An_Cour!$V:$V,$D24)</f>
        <v>424375.9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-27864.87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163012.43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795964.16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144825.5</v>
      </c>
      <c r="C30" s="19"/>
      <c r="D30" s="23" t="s">
        <v>63</v>
      </c>
      <c r="E30" s="24">
        <f>+E5+E7+E16+E20+E28</f>
        <v>9001942.3200000003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9163897.1899999995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10178141.98</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366258.37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18796.760000000009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48448.800000000003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10611645.92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9001942.3200000003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1723600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8076036.290000001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12335245.92</v>
      </c>
      <c r="C53" s="19"/>
      <c r="D53" s="23" t="s">
        <v>89</v>
      </c>
      <c r="E53" s="24">
        <f>SUM(E48:E51)</f>
        <v>12497200.790000001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21499143.109999999</v>
      </c>
      <c r="C56" s="19"/>
      <c r="D56" s="23" t="s">
        <v>91</v>
      </c>
      <c r="E56" s="24">
        <f>+E53+E45</f>
        <v>21499143.109999999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X473" zoomScale="80" zoomScaleNormal="80" workbookViewId="0">
      <selection activeCell="AL505" sqref="AL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3862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32266637.104539726</v>
      </c>
      <c r="F8" s="735"/>
      <c r="G8" s="736"/>
      <c r="H8" s="738">
        <v>1621482.1660572723</v>
      </c>
      <c r="I8" s="735"/>
      <c r="J8" s="736"/>
      <c r="K8" s="738">
        <v>1621482.1660572723</v>
      </c>
      <c r="L8" s="735"/>
      <c r="M8" s="736"/>
      <c r="N8" s="738">
        <v>2270075.0324801812</v>
      </c>
      <c r="O8" s="735"/>
      <c r="P8" s="736"/>
      <c r="Q8" s="738">
        <v>3243094.3321145447</v>
      </c>
      <c r="R8" s="735"/>
      <c r="S8" s="736"/>
      <c r="T8" s="738">
        <v>3729070.9819317264</v>
      </c>
      <c r="U8" s="735"/>
      <c r="V8" s="736"/>
      <c r="W8" s="738">
        <v>2918459.89890309</v>
      </c>
      <c r="X8" s="735"/>
      <c r="Y8" s="736"/>
      <c r="Z8" s="738">
        <v>2594371.4656916359</v>
      </c>
      <c r="AA8" s="735"/>
      <c r="AB8" s="736"/>
      <c r="AC8" s="738">
        <v>2918927.89890309</v>
      </c>
      <c r="AD8" s="735"/>
      <c r="AE8" s="736"/>
      <c r="AF8" s="738">
        <v>2594475.4656916359</v>
      </c>
      <c r="AG8" s="735"/>
      <c r="AH8" s="736"/>
      <c r="AI8" s="738">
        <v>3890933.1985374531</v>
      </c>
      <c r="AJ8" s="735"/>
      <c r="AK8" s="736"/>
      <c r="AL8" s="738">
        <v>3242782.3321145447</v>
      </c>
      <c r="AM8" s="735"/>
      <c r="AN8" s="736"/>
      <c r="AO8" s="738">
        <v>1621482.1660572723</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120</v>
      </c>
      <c r="D9" s="740">
        <v>2187.1313189070997</v>
      </c>
      <c r="E9" s="741">
        <v>262455.75826885196</v>
      </c>
      <c r="F9" s="742">
        <v>6</v>
      </c>
      <c r="G9" s="740">
        <v>2198.1219285498491</v>
      </c>
      <c r="H9" s="743">
        <v>13188.731571299095</v>
      </c>
      <c r="I9" s="742">
        <v>6</v>
      </c>
      <c r="J9" s="740">
        <v>2198.1219285498491</v>
      </c>
      <c r="K9" s="743">
        <v>13188.731571299095</v>
      </c>
      <c r="L9" s="742">
        <v>8.4</v>
      </c>
      <c r="M9" s="740">
        <v>2198.1219285498491</v>
      </c>
      <c r="N9" s="743">
        <v>18464.224199818735</v>
      </c>
      <c r="O9" s="742">
        <v>12</v>
      </c>
      <c r="P9" s="740">
        <v>2198.1219285498491</v>
      </c>
      <c r="Q9" s="743">
        <v>26377.46314259819</v>
      </c>
      <c r="R9" s="742">
        <v>14</v>
      </c>
      <c r="S9" s="740">
        <v>2166.7201867134227</v>
      </c>
      <c r="T9" s="743">
        <v>30334.082613987917</v>
      </c>
      <c r="U9" s="742">
        <v>10.999999999999998</v>
      </c>
      <c r="V9" s="740">
        <v>2158.1560753034883</v>
      </c>
      <c r="W9" s="743">
        <v>23739.716828338369</v>
      </c>
      <c r="X9" s="742">
        <v>9.6</v>
      </c>
      <c r="Y9" s="740">
        <v>2198.1219285498491</v>
      </c>
      <c r="Z9" s="743">
        <v>21101.970514078552</v>
      </c>
      <c r="AA9" s="742">
        <v>10.999999999999998</v>
      </c>
      <c r="AB9" s="740">
        <v>2158.1560753034883</v>
      </c>
      <c r="AC9" s="743">
        <v>23739.716828338369</v>
      </c>
      <c r="AD9" s="742">
        <v>9.6</v>
      </c>
      <c r="AE9" s="740">
        <v>2198.1219285498491</v>
      </c>
      <c r="AF9" s="743">
        <v>21101.970514078552</v>
      </c>
      <c r="AG9" s="742">
        <v>14.399999999999999</v>
      </c>
      <c r="AH9" s="740">
        <v>2198.1219285498491</v>
      </c>
      <c r="AI9" s="743">
        <v>31652.955771117824</v>
      </c>
      <c r="AJ9" s="742">
        <v>12</v>
      </c>
      <c r="AK9" s="740">
        <v>2198.1219285498491</v>
      </c>
      <c r="AL9" s="743">
        <v>26377.46314259819</v>
      </c>
      <c r="AM9" s="742">
        <v>6</v>
      </c>
      <c r="AN9" s="740">
        <v>2198.1219285498491</v>
      </c>
      <c r="AO9" s="743">
        <v>13188.731571299095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496</v>
      </c>
      <c r="D10" s="740">
        <v>2858.8784302962704</v>
      </c>
      <c r="E10" s="741">
        <v>1418003.7014269501</v>
      </c>
      <c r="F10" s="742">
        <v>25</v>
      </c>
      <c r="G10" s="740">
        <v>2850.2586963355784</v>
      </c>
      <c r="H10" s="743">
        <v>71256.467408389464</v>
      </c>
      <c r="I10" s="742">
        <v>25</v>
      </c>
      <c r="J10" s="740">
        <v>2850.2586963355784</v>
      </c>
      <c r="K10" s="743">
        <v>71256.467408389464</v>
      </c>
      <c r="L10" s="742">
        <v>35.000000000000007</v>
      </c>
      <c r="M10" s="740">
        <v>2850.258696335578</v>
      </c>
      <c r="N10" s="743">
        <v>99759.054371745253</v>
      </c>
      <c r="O10" s="742">
        <v>50</v>
      </c>
      <c r="P10" s="740">
        <v>2850.2586963355784</v>
      </c>
      <c r="Q10" s="743">
        <v>142512.93481677893</v>
      </c>
      <c r="R10" s="742">
        <v>57.04</v>
      </c>
      <c r="S10" s="740">
        <v>2873.2446535640911</v>
      </c>
      <c r="T10" s="743">
        <v>163889.87503929576</v>
      </c>
      <c r="U10" s="742">
        <v>44.64</v>
      </c>
      <c r="V10" s="740">
        <v>2873.2446535640911</v>
      </c>
      <c r="W10" s="743">
        <v>128261.64133510103</v>
      </c>
      <c r="X10" s="742">
        <v>40</v>
      </c>
      <c r="Y10" s="740">
        <v>2850.2586963355784</v>
      </c>
      <c r="Z10" s="743">
        <v>114010.34785342314</v>
      </c>
      <c r="AA10" s="742">
        <v>45</v>
      </c>
      <c r="AB10" s="740">
        <v>2850.2586963355784</v>
      </c>
      <c r="AC10" s="743">
        <v>128261.64133510103</v>
      </c>
      <c r="AD10" s="742">
        <v>40</v>
      </c>
      <c r="AE10" s="740">
        <v>2850.2586963355784</v>
      </c>
      <c r="AF10" s="743">
        <v>114010.34785342314</v>
      </c>
      <c r="AG10" s="742">
        <v>59.519999999999996</v>
      </c>
      <c r="AH10" s="740">
        <v>2873.2446535640911</v>
      </c>
      <c r="AI10" s="743">
        <v>171015.5217801347</v>
      </c>
      <c r="AJ10" s="742">
        <v>49.800000000000004</v>
      </c>
      <c r="AK10" s="740">
        <v>2861.7055184092151</v>
      </c>
      <c r="AL10" s="743">
        <v>142512.93481677893</v>
      </c>
      <c r="AM10" s="742">
        <v>25</v>
      </c>
      <c r="AN10" s="740">
        <v>2850.2586963355784</v>
      </c>
      <c r="AO10" s="743">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616</v>
      </c>
      <c r="D16" s="745">
        <v>2728.0186034022763</v>
      </c>
      <c r="E16" s="746">
        <v>1680459.4596958021</v>
      </c>
      <c r="F16" s="744">
        <v>31</v>
      </c>
      <c r="G16" s="745">
        <v>2724.0386767641471</v>
      </c>
      <c r="H16" s="746">
        <v>84445.198979688561</v>
      </c>
      <c r="I16" s="744">
        <v>31</v>
      </c>
      <c r="J16" s="745">
        <v>2724.0386767641471</v>
      </c>
      <c r="K16" s="746">
        <v>84445.198979688561</v>
      </c>
      <c r="L16" s="744">
        <v>43.400000000000006</v>
      </c>
      <c r="M16" s="745">
        <v>2724.0386767641471</v>
      </c>
      <c r="N16" s="746">
        <v>118223.27857156399</v>
      </c>
      <c r="O16" s="744">
        <v>62</v>
      </c>
      <c r="P16" s="745">
        <v>2724.0386767641471</v>
      </c>
      <c r="Q16" s="746">
        <v>168890.39795937712</v>
      </c>
      <c r="R16" s="744">
        <v>71.039999999999992</v>
      </c>
      <c r="S16" s="745">
        <v>2734.0084129122142</v>
      </c>
      <c r="T16" s="746">
        <v>194223.95765328367</v>
      </c>
      <c r="U16" s="744">
        <v>55.64</v>
      </c>
      <c r="V16" s="745">
        <v>2731.8720014996297</v>
      </c>
      <c r="W16" s="746">
        <v>152001.35816343941</v>
      </c>
      <c r="X16" s="744">
        <v>49.6</v>
      </c>
      <c r="Y16" s="745">
        <v>2724.0386767641471</v>
      </c>
      <c r="Z16" s="746">
        <v>135112.31836750169</v>
      </c>
      <c r="AA16" s="744">
        <v>56</v>
      </c>
      <c r="AB16" s="745">
        <v>2714.3099672042749</v>
      </c>
      <c r="AC16" s="746">
        <v>152001.35816343941</v>
      </c>
      <c r="AD16" s="744">
        <v>49.6</v>
      </c>
      <c r="AE16" s="745">
        <v>2724.0386767641471</v>
      </c>
      <c r="AF16" s="746">
        <v>135112.31836750169</v>
      </c>
      <c r="AG16" s="744">
        <v>73.919999999999987</v>
      </c>
      <c r="AH16" s="745">
        <v>2741.7272396002782</v>
      </c>
      <c r="AI16" s="746">
        <v>202668.47755125252</v>
      </c>
      <c r="AJ16" s="744">
        <v>61.800000000000004</v>
      </c>
      <c r="AK16" s="745">
        <v>2732.8543359122509</v>
      </c>
      <c r="AL16" s="746">
        <v>168890.39795937712</v>
      </c>
      <c r="AM16" s="744">
        <v>31</v>
      </c>
      <c r="AN16" s="745">
        <v>2724.0386767641471</v>
      </c>
      <c r="AO16" s="746">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48.995000000000005</v>
      </c>
      <c r="D18" s="750">
        <v>2522.7033983960591</v>
      </c>
      <c r="E18" s="751">
        <v>123599.85300441494</v>
      </c>
      <c r="F18" s="752">
        <v>2.4500000000000002</v>
      </c>
      <c r="G18" s="750">
        <v>2535.1215876200376</v>
      </c>
      <c r="H18" s="753">
        <v>6211.0478896690929</v>
      </c>
      <c r="I18" s="752">
        <v>2.4500000000000002</v>
      </c>
      <c r="J18" s="750">
        <v>2535.1215876200376</v>
      </c>
      <c r="K18" s="753">
        <v>6211.0478896690929</v>
      </c>
      <c r="L18" s="752">
        <v>3.43</v>
      </c>
      <c r="M18" s="750">
        <v>2535.1215876200381</v>
      </c>
      <c r="N18" s="753">
        <v>8695.4670455367304</v>
      </c>
      <c r="O18" s="752">
        <v>5</v>
      </c>
      <c r="P18" s="750">
        <v>2484.4191558676371</v>
      </c>
      <c r="Q18" s="753">
        <v>12422.095779338186</v>
      </c>
      <c r="R18" s="752">
        <v>5.6350000000000007</v>
      </c>
      <c r="S18" s="750">
        <v>2535.1215876200376</v>
      </c>
      <c r="T18" s="753">
        <v>14285.410146238914</v>
      </c>
      <c r="U18" s="752">
        <v>4.41</v>
      </c>
      <c r="V18" s="750">
        <v>2535.1215876200376</v>
      </c>
      <c r="W18" s="753">
        <v>11179.886201404366</v>
      </c>
      <c r="X18" s="752">
        <v>3.92</v>
      </c>
      <c r="Y18" s="750">
        <v>2535.1215876200381</v>
      </c>
      <c r="Z18" s="753">
        <v>9937.6766234705483</v>
      </c>
      <c r="AA18" s="752">
        <v>4.41</v>
      </c>
      <c r="AB18" s="750">
        <v>2535.1215876200376</v>
      </c>
      <c r="AC18" s="753">
        <v>11179.886201404366</v>
      </c>
      <c r="AD18" s="752">
        <v>4</v>
      </c>
      <c r="AE18" s="750">
        <v>2484.4191558676371</v>
      </c>
      <c r="AF18" s="753">
        <v>9937.6766234705483</v>
      </c>
      <c r="AG18" s="752">
        <v>5.88</v>
      </c>
      <c r="AH18" s="750">
        <v>2535.1215876200376</v>
      </c>
      <c r="AI18" s="753">
        <v>14906.514935205822</v>
      </c>
      <c r="AJ18" s="752">
        <v>4.96</v>
      </c>
      <c r="AK18" s="750">
        <v>2504.4547942214085</v>
      </c>
      <c r="AL18" s="753">
        <v>12422.095779338186</v>
      </c>
      <c r="AM18" s="752">
        <v>2.4500000000000002</v>
      </c>
      <c r="AN18" s="750">
        <v>2535.1215876200376</v>
      </c>
      <c r="AO18" s="753">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44.774999999999999</v>
      </c>
      <c r="D20" s="740">
        <v>2664.4640678584237</v>
      </c>
      <c r="E20" s="741">
        <v>119301.37863836091</v>
      </c>
      <c r="F20" s="742">
        <v>2.25</v>
      </c>
      <c r="G20" s="740">
        <v>2664.4640678584237</v>
      </c>
      <c r="H20" s="743">
        <v>5995.0441526814539</v>
      </c>
      <c r="I20" s="742">
        <v>2.25</v>
      </c>
      <c r="J20" s="740">
        <v>2664.4640678584237</v>
      </c>
      <c r="K20" s="743">
        <v>5995.0441526814539</v>
      </c>
      <c r="L20" s="742">
        <v>3.1500000000000004</v>
      </c>
      <c r="M20" s="740">
        <v>2664.4640678584237</v>
      </c>
      <c r="N20" s="743">
        <v>8393.061813754035</v>
      </c>
      <c r="O20" s="742">
        <v>4.5</v>
      </c>
      <c r="P20" s="740">
        <v>2664.4640678584237</v>
      </c>
      <c r="Q20" s="743">
        <v>11990.088305362908</v>
      </c>
      <c r="R20" s="742">
        <v>5.1749999999999998</v>
      </c>
      <c r="S20" s="740">
        <v>2664.4640678584237</v>
      </c>
      <c r="T20" s="743">
        <v>13788.601551167343</v>
      </c>
      <c r="U20" s="742">
        <v>4.05</v>
      </c>
      <c r="V20" s="740">
        <v>2664.4640678584233</v>
      </c>
      <c r="W20" s="743">
        <v>10791.079474826614</v>
      </c>
      <c r="X20" s="742">
        <v>3.6</v>
      </c>
      <c r="Y20" s="740">
        <v>2664.4640678584233</v>
      </c>
      <c r="Z20" s="743">
        <v>9592.0706442903247</v>
      </c>
      <c r="AA20" s="742">
        <v>4.05</v>
      </c>
      <c r="AB20" s="740">
        <v>2664.4640678584233</v>
      </c>
      <c r="AC20" s="743">
        <v>10791.079474826614</v>
      </c>
      <c r="AD20" s="742">
        <v>3.6</v>
      </c>
      <c r="AE20" s="740">
        <v>2664.4640678584233</v>
      </c>
      <c r="AF20" s="743">
        <v>9592.0706442903247</v>
      </c>
      <c r="AG20" s="742">
        <v>5.3999999999999995</v>
      </c>
      <c r="AH20" s="740">
        <v>2664.4640678584237</v>
      </c>
      <c r="AI20" s="743">
        <v>14388.105966435487</v>
      </c>
      <c r="AJ20" s="742">
        <v>4.5</v>
      </c>
      <c r="AK20" s="740">
        <v>2664.4640678584237</v>
      </c>
      <c r="AL20" s="743">
        <v>11990.088305362908</v>
      </c>
      <c r="AM20" s="742">
        <v>2.25</v>
      </c>
      <c r="AN20" s="740">
        <v>2664.4640678584237</v>
      </c>
      <c r="AO20" s="743">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84575</v>
      </c>
      <c r="F22" s="739"/>
      <c r="G22" s="740"/>
      <c r="H22" s="743">
        <v>4250</v>
      </c>
      <c r="I22" s="739"/>
      <c r="J22" s="740"/>
      <c r="K22" s="743">
        <v>4250</v>
      </c>
      <c r="L22" s="739"/>
      <c r="M22" s="740"/>
      <c r="N22" s="743">
        <v>5950.0000000000009</v>
      </c>
      <c r="O22" s="739"/>
      <c r="P22" s="740"/>
      <c r="Q22" s="743">
        <v>8500</v>
      </c>
      <c r="R22" s="739"/>
      <c r="S22" s="740"/>
      <c r="T22" s="743">
        <v>9775</v>
      </c>
      <c r="U22" s="739"/>
      <c r="V22" s="740"/>
      <c r="W22" s="743">
        <v>7650</v>
      </c>
      <c r="X22" s="739"/>
      <c r="Y22" s="740"/>
      <c r="Z22" s="743">
        <v>6800</v>
      </c>
      <c r="AA22" s="739"/>
      <c r="AB22" s="740"/>
      <c r="AC22" s="743">
        <v>7650</v>
      </c>
      <c r="AD22" s="739"/>
      <c r="AE22" s="740"/>
      <c r="AF22" s="743">
        <v>6800</v>
      </c>
      <c r="AG22" s="739"/>
      <c r="AH22" s="740"/>
      <c r="AI22" s="743">
        <v>10200</v>
      </c>
      <c r="AJ22" s="739"/>
      <c r="AK22" s="740"/>
      <c r="AL22" s="743">
        <v>8500</v>
      </c>
      <c r="AM22" s="739"/>
      <c r="AN22" s="740"/>
      <c r="AO22" s="743">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200</v>
      </c>
      <c r="E24" s="741">
        <v>132999</v>
      </c>
      <c r="F24" s="742"/>
      <c r="G24" s="740">
        <v>200</v>
      </c>
      <c r="H24" s="743">
        <v>6690.0000000000009</v>
      </c>
      <c r="I24" s="742"/>
      <c r="J24" s="740">
        <v>200</v>
      </c>
      <c r="K24" s="743">
        <v>6690.0000000000009</v>
      </c>
      <c r="L24" s="742"/>
      <c r="M24" s="740">
        <v>200.00000000000003</v>
      </c>
      <c r="N24" s="743">
        <v>9366.0000000000018</v>
      </c>
      <c r="O24" s="742"/>
      <c r="P24" s="740">
        <v>200</v>
      </c>
      <c r="Q24" s="743">
        <v>13400</v>
      </c>
      <c r="R24" s="742"/>
      <c r="S24" s="740">
        <v>200</v>
      </c>
      <c r="T24" s="743">
        <v>15335</v>
      </c>
      <c r="U24" s="742"/>
      <c r="V24" s="740">
        <v>200</v>
      </c>
      <c r="W24" s="743">
        <v>12010</v>
      </c>
      <c r="X24" s="742"/>
      <c r="Y24" s="740">
        <v>200</v>
      </c>
      <c r="Z24" s="743">
        <v>10704</v>
      </c>
      <c r="AA24" s="742"/>
      <c r="AB24" s="740">
        <v>200</v>
      </c>
      <c r="AC24" s="743">
        <v>12082</v>
      </c>
      <c r="AD24" s="742"/>
      <c r="AE24" s="740">
        <v>200</v>
      </c>
      <c r="AF24" s="743">
        <v>10720</v>
      </c>
      <c r="AG24" s="742"/>
      <c r="AH24" s="740">
        <v>200</v>
      </c>
      <c r="AI24" s="743">
        <v>15959.999999999996</v>
      </c>
      <c r="AJ24" s="742"/>
      <c r="AK24" s="740">
        <v>200</v>
      </c>
      <c r="AL24" s="743">
        <v>13352.000000000002</v>
      </c>
      <c r="AM24" s="742"/>
      <c r="AN24" s="740">
        <v>200</v>
      </c>
      <c r="AO24" s="743">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1080</v>
      </c>
      <c r="E25" s="741">
        <v>718194.6</v>
      </c>
      <c r="F25" s="742"/>
      <c r="G25" s="740">
        <v>1080</v>
      </c>
      <c r="H25" s="743">
        <v>36126</v>
      </c>
      <c r="I25" s="742"/>
      <c r="J25" s="740">
        <v>1080</v>
      </c>
      <c r="K25" s="743">
        <v>36126</v>
      </c>
      <c r="L25" s="742"/>
      <c r="M25" s="740">
        <v>1080</v>
      </c>
      <c r="N25" s="743">
        <v>50576.400000000009</v>
      </c>
      <c r="O25" s="742"/>
      <c r="P25" s="740">
        <v>1080</v>
      </c>
      <c r="Q25" s="743">
        <v>72360</v>
      </c>
      <c r="R25" s="742"/>
      <c r="S25" s="740">
        <v>1080</v>
      </c>
      <c r="T25" s="743">
        <v>82809</v>
      </c>
      <c r="U25" s="742"/>
      <c r="V25" s="740">
        <v>1080</v>
      </c>
      <c r="W25" s="743">
        <v>64854</v>
      </c>
      <c r="X25" s="742"/>
      <c r="Y25" s="740">
        <v>1080</v>
      </c>
      <c r="Z25" s="743">
        <v>57801.600000000006</v>
      </c>
      <c r="AA25" s="742"/>
      <c r="AB25" s="740">
        <v>1080</v>
      </c>
      <c r="AC25" s="743">
        <v>65242.799999999996</v>
      </c>
      <c r="AD25" s="742"/>
      <c r="AE25" s="740">
        <v>1080</v>
      </c>
      <c r="AF25" s="743">
        <v>57888</v>
      </c>
      <c r="AG25" s="742"/>
      <c r="AH25" s="740">
        <v>1080</v>
      </c>
      <c r="AI25" s="743">
        <v>86183.999999999985</v>
      </c>
      <c r="AJ25" s="742"/>
      <c r="AK25" s="740">
        <v>1080</v>
      </c>
      <c r="AL25" s="743">
        <v>72100.800000000003</v>
      </c>
      <c r="AM25" s="742"/>
      <c r="AN25" s="740">
        <v>1080</v>
      </c>
      <c r="AO25" s="743">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20.000000000000004</v>
      </c>
      <c r="E26" s="741">
        <v>13299.900000000001</v>
      </c>
      <c r="F26" s="742"/>
      <c r="G26" s="740">
        <v>20</v>
      </c>
      <c r="H26" s="743">
        <v>669</v>
      </c>
      <c r="I26" s="742"/>
      <c r="J26" s="740">
        <v>20</v>
      </c>
      <c r="K26" s="743">
        <v>669</v>
      </c>
      <c r="L26" s="742"/>
      <c r="M26" s="740">
        <v>20</v>
      </c>
      <c r="N26" s="743">
        <v>936.60000000000014</v>
      </c>
      <c r="O26" s="742"/>
      <c r="P26" s="740">
        <v>20</v>
      </c>
      <c r="Q26" s="743">
        <v>1340</v>
      </c>
      <c r="R26" s="742"/>
      <c r="S26" s="740">
        <v>20</v>
      </c>
      <c r="T26" s="743">
        <v>1533.5</v>
      </c>
      <c r="U26" s="742"/>
      <c r="V26" s="740">
        <v>20</v>
      </c>
      <c r="W26" s="743">
        <v>1201</v>
      </c>
      <c r="X26" s="742"/>
      <c r="Y26" s="740">
        <v>20</v>
      </c>
      <c r="Z26" s="743">
        <v>1070.4000000000001</v>
      </c>
      <c r="AA26" s="742"/>
      <c r="AB26" s="740">
        <v>19.999999999999996</v>
      </c>
      <c r="AC26" s="743">
        <v>1208.1999999999998</v>
      </c>
      <c r="AD26" s="742"/>
      <c r="AE26" s="740">
        <v>20</v>
      </c>
      <c r="AF26" s="743">
        <v>1072</v>
      </c>
      <c r="AG26" s="742"/>
      <c r="AH26" s="740">
        <v>20</v>
      </c>
      <c r="AI26" s="743">
        <v>1595.9999999999995</v>
      </c>
      <c r="AJ26" s="742"/>
      <c r="AK26" s="740">
        <v>20</v>
      </c>
      <c r="AL26" s="743">
        <v>1335.2</v>
      </c>
      <c r="AM26" s="742"/>
      <c r="AN26" s="740">
        <v>20</v>
      </c>
      <c r="AO26" s="743">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664.995</v>
      </c>
      <c r="D27" s="745">
        <v>1300</v>
      </c>
      <c r="E27" s="746">
        <v>864493.5</v>
      </c>
      <c r="F27" s="744">
        <v>33.450000000000003</v>
      </c>
      <c r="G27" s="745">
        <v>1300</v>
      </c>
      <c r="H27" s="746">
        <v>43485</v>
      </c>
      <c r="I27" s="744">
        <v>33.450000000000003</v>
      </c>
      <c r="J27" s="745">
        <v>1300</v>
      </c>
      <c r="K27" s="746">
        <v>43485</v>
      </c>
      <c r="L27" s="744">
        <v>46.830000000000005</v>
      </c>
      <c r="M27" s="745">
        <v>1300</v>
      </c>
      <c r="N27" s="746">
        <v>60879.000000000007</v>
      </c>
      <c r="O27" s="744">
        <v>67</v>
      </c>
      <c r="P27" s="745">
        <v>1300</v>
      </c>
      <c r="Q27" s="746">
        <v>87100</v>
      </c>
      <c r="R27" s="744">
        <v>76.674999999999997</v>
      </c>
      <c r="S27" s="745">
        <v>1300</v>
      </c>
      <c r="T27" s="746">
        <v>99677.5</v>
      </c>
      <c r="U27" s="744">
        <v>60.05</v>
      </c>
      <c r="V27" s="745">
        <v>1300</v>
      </c>
      <c r="W27" s="746">
        <v>78065</v>
      </c>
      <c r="X27" s="744">
        <v>53.52</v>
      </c>
      <c r="Y27" s="745">
        <v>1300</v>
      </c>
      <c r="Z27" s="746">
        <v>69576</v>
      </c>
      <c r="AA27" s="744">
        <v>60.41</v>
      </c>
      <c r="AB27" s="745">
        <v>1299.9999999999998</v>
      </c>
      <c r="AC27" s="746">
        <v>78532.999999999985</v>
      </c>
      <c r="AD27" s="744">
        <v>53.6</v>
      </c>
      <c r="AE27" s="745">
        <v>1300</v>
      </c>
      <c r="AF27" s="746">
        <v>69680</v>
      </c>
      <c r="AG27" s="744">
        <v>79.799999999999983</v>
      </c>
      <c r="AH27" s="745">
        <v>1300</v>
      </c>
      <c r="AI27" s="746">
        <v>103739.99999999999</v>
      </c>
      <c r="AJ27" s="744">
        <v>66.760000000000005</v>
      </c>
      <c r="AK27" s="745">
        <v>1300</v>
      </c>
      <c r="AL27" s="746">
        <v>86788</v>
      </c>
      <c r="AM27" s="744">
        <v>33.450000000000003</v>
      </c>
      <c r="AN27" s="745">
        <v>1300</v>
      </c>
      <c r="AO27" s="746">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709.77</v>
      </c>
      <c r="D30" s="760">
        <v>4046.9859128148241</v>
      </c>
      <c r="E30" s="761">
        <v>2872429.1913385778</v>
      </c>
      <c r="F30" s="759">
        <v>35.700000000000003</v>
      </c>
      <c r="G30" s="760">
        <v>4044.4339221859691</v>
      </c>
      <c r="H30" s="761">
        <v>144386.29102203911</v>
      </c>
      <c r="I30" s="759">
        <v>35.700000000000003</v>
      </c>
      <c r="J30" s="760">
        <v>4044.4339221859691</v>
      </c>
      <c r="K30" s="761">
        <v>144386.29102203911</v>
      </c>
      <c r="L30" s="759">
        <v>49.980000000000004</v>
      </c>
      <c r="M30" s="760">
        <v>4044.4339221859695</v>
      </c>
      <c r="N30" s="761">
        <v>202140.80743085477</v>
      </c>
      <c r="O30" s="759">
        <v>71.5</v>
      </c>
      <c r="P30" s="760">
        <v>4040.5955530640308</v>
      </c>
      <c r="Q30" s="761">
        <v>288902.58204407821</v>
      </c>
      <c r="R30" s="759">
        <v>81.849999999999994</v>
      </c>
      <c r="S30" s="760">
        <v>4053.151733056689</v>
      </c>
      <c r="T30" s="761">
        <v>331750.46935068996</v>
      </c>
      <c r="U30" s="759">
        <v>64.099999999999994</v>
      </c>
      <c r="V30" s="760">
        <v>4051.2843032709889</v>
      </c>
      <c r="W30" s="761">
        <v>259687.32383967037</v>
      </c>
      <c r="X30" s="759">
        <v>57.120000000000005</v>
      </c>
      <c r="Y30" s="760">
        <v>4044.4339221859691</v>
      </c>
      <c r="Z30" s="761">
        <v>231018.06563526258</v>
      </c>
      <c r="AA30" s="759">
        <v>64.459999999999994</v>
      </c>
      <c r="AB30" s="760">
        <v>4035.9187688437851</v>
      </c>
      <c r="AC30" s="761">
        <v>260155.32383967037</v>
      </c>
      <c r="AD30" s="759">
        <v>57.2</v>
      </c>
      <c r="AE30" s="760">
        <v>4040.5955530640308</v>
      </c>
      <c r="AF30" s="761">
        <v>231122.06563526258</v>
      </c>
      <c r="AG30" s="759">
        <v>85.199999999999989</v>
      </c>
      <c r="AH30" s="760">
        <v>4059.89552174758</v>
      </c>
      <c r="AI30" s="761">
        <v>345903.09845289378</v>
      </c>
      <c r="AJ30" s="759">
        <v>71.260000000000005</v>
      </c>
      <c r="AK30" s="760">
        <v>4049.8257373572578</v>
      </c>
      <c r="AL30" s="761">
        <v>288590.58204407821</v>
      </c>
      <c r="AM30" s="759">
        <v>35.700000000000003</v>
      </c>
      <c r="AN30" s="760">
        <v>4044.4339221859691</v>
      </c>
      <c r="AO30" s="761">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0.34000000000000008</v>
      </c>
      <c r="D34" s="770">
        <v>922.38312516345832</v>
      </c>
      <c r="E34" s="758">
        <v>613380.16631807399</v>
      </c>
      <c r="F34" s="769">
        <v>0.34</v>
      </c>
      <c r="G34" s="770">
        <v>921.46857804429294</v>
      </c>
      <c r="H34" s="771">
        <v>30823.123935581603</v>
      </c>
      <c r="I34" s="769">
        <v>0.34</v>
      </c>
      <c r="J34" s="770">
        <v>921.46857804429294</v>
      </c>
      <c r="K34" s="771">
        <v>30823.123935581603</v>
      </c>
      <c r="L34" s="769">
        <v>0.34</v>
      </c>
      <c r="M34" s="770">
        <v>921.46857804429305</v>
      </c>
      <c r="N34" s="771">
        <v>43152.37350981425</v>
      </c>
      <c r="O34" s="769">
        <v>0.34</v>
      </c>
      <c r="P34" s="770">
        <v>920.09325180840608</v>
      </c>
      <c r="Q34" s="771">
        <v>61646.247871163207</v>
      </c>
      <c r="R34" s="769">
        <v>0.34</v>
      </c>
      <c r="S34" s="770">
        <v>924.59321880453456</v>
      </c>
      <c r="T34" s="771">
        <v>70893.185051837689</v>
      </c>
      <c r="U34" s="769">
        <v>0.34</v>
      </c>
      <c r="V34" s="770">
        <v>923.92378158279575</v>
      </c>
      <c r="W34" s="771">
        <v>55481.623084046885</v>
      </c>
      <c r="X34" s="769">
        <v>0.34</v>
      </c>
      <c r="Y34" s="770">
        <v>921.46857804429317</v>
      </c>
      <c r="Z34" s="771">
        <v>49316.998296930571</v>
      </c>
      <c r="AA34" s="769">
        <v>0.34</v>
      </c>
      <c r="AB34" s="770">
        <v>918.41786267251928</v>
      </c>
      <c r="AC34" s="771">
        <v>55481.623084046885</v>
      </c>
      <c r="AD34" s="769">
        <v>0.34</v>
      </c>
      <c r="AE34" s="770">
        <v>920.09325180840619</v>
      </c>
      <c r="AF34" s="771">
        <v>49316.998296930571</v>
      </c>
      <c r="AG34" s="769">
        <v>0.34</v>
      </c>
      <c r="AH34" s="770">
        <v>927.01124618290544</v>
      </c>
      <c r="AI34" s="771">
        <v>73975.497445395842</v>
      </c>
      <c r="AJ34" s="769">
        <v>0.34</v>
      </c>
      <c r="AK34" s="770">
        <v>923.40095672802875</v>
      </c>
      <c r="AL34" s="771">
        <v>61646.247871163207</v>
      </c>
      <c r="AM34" s="769">
        <v>0.34</v>
      </c>
      <c r="AN34" s="770">
        <v>921.46857804429294</v>
      </c>
      <c r="AO34" s="771">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v>
      </c>
      <c r="D35" s="773">
        <v>390</v>
      </c>
      <c r="E35" s="774">
        <v>259348.05</v>
      </c>
      <c r="F35" s="772">
        <v>0.3</v>
      </c>
      <c r="G35" s="773">
        <v>389.99999999999994</v>
      </c>
      <c r="H35" s="775">
        <v>13045.5</v>
      </c>
      <c r="I35" s="772">
        <v>0.3</v>
      </c>
      <c r="J35" s="773">
        <v>389.99999999999994</v>
      </c>
      <c r="K35" s="775">
        <v>13045.5</v>
      </c>
      <c r="L35" s="772">
        <v>0.3</v>
      </c>
      <c r="M35" s="773">
        <v>389.99999999999994</v>
      </c>
      <c r="N35" s="775">
        <v>18263.7</v>
      </c>
      <c r="O35" s="772">
        <v>0.3</v>
      </c>
      <c r="P35" s="773">
        <v>390</v>
      </c>
      <c r="Q35" s="775">
        <v>26130</v>
      </c>
      <c r="R35" s="772">
        <v>0.3</v>
      </c>
      <c r="S35" s="773">
        <v>390</v>
      </c>
      <c r="T35" s="775">
        <v>29903.25</v>
      </c>
      <c r="U35" s="772">
        <v>0.3</v>
      </c>
      <c r="V35" s="773">
        <v>390</v>
      </c>
      <c r="W35" s="775">
        <v>23419.5</v>
      </c>
      <c r="X35" s="772">
        <v>0.3</v>
      </c>
      <c r="Y35" s="773">
        <v>389.99999999999994</v>
      </c>
      <c r="Z35" s="775">
        <v>20872.8</v>
      </c>
      <c r="AA35" s="772">
        <v>0.3</v>
      </c>
      <c r="AB35" s="773">
        <v>389.99999999999994</v>
      </c>
      <c r="AC35" s="775">
        <v>23559.899999999994</v>
      </c>
      <c r="AD35" s="772">
        <v>0.3</v>
      </c>
      <c r="AE35" s="773">
        <v>390</v>
      </c>
      <c r="AF35" s="775">
        <v>20904</v>
      </c>
      <c r="AG35" s="772">
        <v>0.3</v>
      </c>
      <c r="AH35" s="773">
        <v>390</v>
      </c>
      <c r="AI35" s="775">
        <v>31121.999999999993</v>
      </c>
      <c r="AJ35" s="772">
        <v>0.3</v>
      </c>
      <c r="AK35" s="773">
        <v>389.99999999999994</v>
      </c>
      <c r="AL35" s="775">
        <v>26036.399999999998</v>
      </c>
      <c r="AM35" s="772">
        <v>0.3</v>
      </c>
      <c r="AN35" s="773">
        <v>389.99999999999994</v>
      </c>
      <c r="AO35" s="775">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76474.425000000003</v>
      </c>
      <c r="F36" s="747"/>
      <c r="G36" s="770">
        <v>115</v>
      </c>
      <c r="H36" s="771">
        <v>3846.7500000000005</v>
      </c>
      <c r="I36" s="747"/>
      <c r="J36" s="770">
        <v>115</v>
      </c>
      <c r="K36" s="771">
        <v>3846.7500000000005</v>
      </c>
      <c r="L36" s="747"/>
      <c r="M36" s="770">
        <v>115</v>
      </c>
      <c r="N36" s="771">
        <v>5385.4500000000007</v>
      </c>
      <c r="O36" s="747"/>
      <c r="P36" s="770">
        <v>115</v>
      </c>
      <c r="Q36" s="771">
        <v>7705</v>
      </c>
      <c r="R36" s="747"/>
      <c r="S36" s="770">
        <v>115</v>
      </c>
      <c r="T36" s="771">
        <v>8817.625</v>
      </c>
      <c r="U36" s="747"/>
      <c r="V36" s="770">
        <v>115</v>
      </c>
      <c r="W36" s="771">
        <v>6905.75</v>
      </c>
      <c r="X36" s="747"/>
      <c r="Y36" s="770">
        <v>115</v>
      </c>
      <c r="Z36" s="771">
        <v>6154.8</v>
      </c>
      <c r="AA36" s="747"/>
      <c r="AB36" s="770">
        <v>115</v>
      </c>
      <c r="AC36" s="771">
        <v>6947.15</v>
      </c>
      <c r="AD36" s="747"/>
      <c r="AE36" s="770">
        <v>115</v>
      </c>
      <c r="AF36" s="771">
        <v>6164</v>
      </c>
      <c r="AG36" s="747"/>
      <c r="AH36" s="770">
        <v>115</v>
      </c>
      <c r="AI36" s="771">
        <v>9176.9999999999982</v>
      </c>
      <c r="AJ36" s="747"/>
      <c r="AK36" s="770">
        <v>115</v>
      </c>
      <c r="AL36" s="771">
        <v>7677.4000000000005</v>
      </c>
      <c r="AM36" s="747"/>
      <c r="AN36" s="770">
        <v>115</v>
      </c>
      <c r="AO36" s="771">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2.9999999999999996</v>
      </c>
      <c r="E37" s="758">
        <v>1994.9849999999997</v>
      </c>
      <c r="F37" s="747"/>
      <c r="G37" s="770">
        <v>3</v>
      </c>
      <c r="H37" s="771">
        <v>100.35000000000001</v>
      </c>
      <c r="I37" s="747"/>
      <c r="J37" s="770">
        <v>3</v>
      </c>
      <c r="K37" s="771">
        <v>100.35000000000001</v>
      </c>
      <c r="L37" s="747"/>
      <c r="M37" s="770">
        <v>3</v>
      </c>
      <c r="N37" s="771">
        <v>140.49</v>
      </c>
      <c r="O37" s="747"/>
      <c r="P37" s="770">
        <v>3</v>
      </c>
      <c r="Q37" s="771">
        <v>201</v>
      </c>
      <c r="R37" s="747"/>
      <c r="S37" s="770">
        <v>3</v>
      </c>
      <c r="T37" s="771">
        <v>230.02499999999998</v>
      </c>
      <c r="U37" s="747"/>
      <c r="V37" s="770">
        <v>2.9999999999999996</v>
      </c>
      <c r="W37" s="771">
        <v>180.14999999999998</v>
      </c>
      <c r="X37" s="747"/>
      <c r="Y37" s="770">
        <v>3</v>
      </c>
      <c r="Z37" s="771">
        <v>160.56</v>
      </c>
      <c r="AA37" s="747"/>
      <c r="AB37" s="770">
        <v>3</v>
      </c>
      <c r="AC37" s="771">
        <v>181.23</v>
      </c>
      <c r="AD37" s="747"/>
      <c r="AE37" s="770">
        <v>3</v>
      </c>
      <c r="AF37" s="771">
        <v>160.80000000000001</v>
      </c>
      <c r="AG37" s="747"/>
      <c r="AH37" s="770">
        <v>3</v>
      </c>
      <c r="AI37" s="771">
        <v>239.39999999999995</v>
      </c>
      <c r="AJ37" s="747"/>
      <c r="AK37" s="770">
        <v>3</v>
      </c>
      <c r="AL37" s="771">
        <v>200.28000000000003</v>
      </c>
      <c r="AM37" s="747"/>
      <c r="AN37" s="770">
        <v>3</v>
      </c>
      <c r="AO37" s="771">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85.05</v>
      </c>
      <c r="E38" s="774">
        <v>56557.82475</v>
      </c>
      <c r="F38" s="776"/>
      <c r="G38" s="773">
        <v>85.05</v>
      </c>
      <c r="H38" s="775">
        <v>2844.9225000000001</v>
      </c>
      <c r="I38" s="776"/>
      <c r="J38" s="773">
        <v>85.05</v>
      </c>
      <c r="K38" s="775">
        <v>2844.9225000000001</v>
      </c>
      <c r="L38" s="776"/>
      <c r="M38" s="773">
        <v>85.05</v>
      </c>
      <c r="N38" s="775">
        <v>3982.8915000000002</v>
      </c>
      <c r="O38" s="776"/>
      <c r="P38" s="773">
        <v>85.05</v>
      </c>
      <c r="Q38" s="775">
        <v>5698.3499999999995</v>
      </c>
      <c r="R38" s="776"/>
      <c r="S38" s="773">
        <v>85.05</v>
      </c>
      <c r="T38" s="775">
        <v>6521.2087499999998</v>
      </c>
      <c r="U38" s="776"/>
      <c r="V38" s="773">
        <v>85.05</v>
      </c>
      <c r="W38" s="775">
        <v>5107.2524999999996</v>
      </c>
      <c r="X38" s="776"/>
      <c r="Y38" s="773">
        <v>85.05</v>
      </c>
      <c r="Z38" s="775">
        <v>4551.8760000000002</v>
      </c>
      <c r="AA38" s="776"/>
      <c r="AB38" s="773">
        <v>85.050000000000011</v>
      </c>
      <c r="AC38" s="775">
        <v>5137.8705</v>
      </c>
      <c r="AD38" s="776"/>
      <c r="AE38" s="773">
        <v>85.05</v>
      </c>
      <c r="AF38" s="775">
        <v>4558.68</v>
      </c>
      <c r="AG38" s="776"/>
      <c r="AH38" s="773">
        <v>85.05</v>
      </c>
      <c r="AI38" s="775">
        <v>6786.989999999998</v>
      </c>
      <c r="AJ38" s="776"/>
      <c r="AK38" s="773">
        <v>85.05</v>
      </c>
      <c r="AL38" s="775">
        <v>5677.9380000000001</v>
      </c>
      <c r="AM38" s="776"/>
      <c r="AN38" s="773">
        <v>85.05</v>
      </c>
      <c r="AO38" s="775">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116.29034804772968</v>
      </c>
      <c r="E39" s="758">
        <v>77332.5</v>
      </c>
      <c r="F39" s="747"/>
      <c r="G39" s="770">
        <v>191.06128550074737</v>
      </c>
      <c r="H39" s="771">
        <v>6391</v>
      </c>
      <c r="I39" s="747"/>
      <c r="J39" s="770">
        <v>191.06128550074737</v>
      </c>
      <c r="K39" s="771">
        <v>6391</v>
      </c>
      <c r="L39" s="747"/>
      <c r="M39" s="770">
        <v>203.9931667734358</v>
      </c>
      <c r="N39" s="771">
        <v>9553</v>
      </c>
      <c r="O39" s="747"/>
      <c r="P39" s="770">
        <v>112.4776119402985</v>
      </c>
      <c r="Q39" s="771">
        <v>7536</v>
      </c>
      <c r="R39" s="747"/>
      <c r="S39" s="770">
        <v>26.977502445386371</v>
      </c>
      <c r="T39" s="771">
        <v>2068.5</v>
      </c>
      <c r="U39" s="747"/>
      <c r="V39" s="770">
        <v>137.0691090757702</v>
      </c>
      <c r="W39" s="771">
        <v>8231</v>
      </c>
      <c r="X39" s="747"/>
      <c r="Y39" s="770">
        <v>165.99402092675635</v>
      </c>
      <c r="Z39" s="771">
        <v>8884</v>
      </c>
      <c r="AA39" s="747"/>
      <c r="AB39" s="770">
        <v>61.165369971858965</v>
      </c>
      <c r="AC39" s="771">
        <v>3695</v>
      </c>
      <c r="AD39" s="747"/>
      <c r="AE39" s="770">
        <v>81.641791044776113</v>
      </c>
      <c r="AF39" s="771">
        <v>4376</v>
      </c>
      <c r="AG39" s="747"/>
      <c r="AH39" s="770">
        <v>78.395989974937379</v>
      </c>
      <c r="AI39" s="771">
        <v>6256.0000000000018</v>
      </c>
      <c r="AJ39" s="747"/>
      <c r="AK39" s="770">
        <v>113.2414619532654</v>
      </c>
      <c r="AL39" s="771">
        <v>7559.9999999999991</v>
      </c>
      <c r="AM39" s="747"/>
      <c r="AN39" s="770">
        <v>191.06128550074737</v>
      </c>
      <c r="AO39" s="771">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306.72127074983638</v>
      </c>
      <c r="E40" s="758">
        <v>203968.11144228745</v>
      </c>
      <c r="F40" s="747"/>
      <c r="G40" s="770">
        <v>376.75365470852012</v>
      </c>
      <c r="H40" s="771">
        <v>12602.409749999999</v>
      </c>
      <c r="I40" s="747"/>
      <c r="J40" s="770">
        <v>457.45428754708507</v>
      </c>
      <c r="K40" s="771">
        <v>15301.845918449997</v>
      </c>
      <c r="L40" s="747"/>
      <c r="M40" s="770">
        <v>413.62169091928234</v>
      </c>
      <c r="N40" s="771">
        <v>19369.903785749993</v>
      </c>
      <c r="O40" s="747"/>
      <c r="P40" s="770">
        <v>318.30489402145508</v>
      </c>
      <c r="Q40" s="771">
        <v>21326.427899437491</v>
      </c>
      <c r="R40" s="747"/>
      <c r="S40" s="770">
        <v>234.37934533420278</v>
      </c>
      <c r="T40" s="771">
        <v>17971.036303499997</v>
      </c>
      <c r="U40" s="747"/>
      <c r="V40" s="770">
        <v>277.29498755495416</v>
      </c>
      <c r="W40" s="771">
        <v>16651.564002674997</v>
      </c>
      <c r="X40" s="747"/>
      <c r="Y40" s="770">
        <v>337.05323834360985</v>
      </c>
      <c r="Z40" s="771">
        <v>18039.089316149999</v>
      </c>
      <c r="AA40" s="747"/>
      <c r="AB40" s="770">
        <v>275.89284711761292</v>
      </c>
      <c r="AC40" s="771">
        <v>16666.686894374994</v>
      </c>
      <c r="AD40" s="747"/>
      <c r="AE40" s="770">
        <v>409.69587666744388</v>
      </c>
      <c r="AF40" s="771">
        <v>21959.698989374992</v>
      </c>
      <c r="AG40" s="747"/>
      <c r="AH40" s="770">
        <v>242.16209411842112</v>
      </c>
      <c r="AI40" s="771">
        <v>19324.535110650002</v>
      </c>
      <c r="AJ40" s="747"/>
      <c r="AK40" s="770">
        <v>188.77186563810668</v>
      </c>
      <c r="AL40" s="771">
        <v>12602.409750000003</v>
      </c>
      <c r="AM40" s="747"/>
      <c r="AN40" s="770">
        <v>363.30354923542609</v>
      </c>
      <c r="AO40" s="771">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0.44876861243345384</v>
      </c>
      <c r="E44" s="779">
        <v>1289056.0625103614</v>
      </c>
      <c r="F44" s="777" t="s">
        <v>119</v>
      </c>
      <c r="G44" s="778">
        <v>0.48241460939632846</v>
      </c>
      <c r="H44" s="779">
        <v>69654.056185581605</v>
      </c>
      <c r="I44" s="777" t="s">
        <v>119</v>
      </c>
      <c r="J44" s="778">
        <v>0.50111054063288862</v>
      </c>
      <c r="K44" s="779">
        <v>72353.492354031609</v>
      </c>
      <c r="L44" s="777" t="s">
        <v>119</v>
      </c>
      <c r="M44" s="778">
        <v>0.49395176592296264</v>
      </c>
      <c r="N44" s="779">
        <v>99847.80879556424</v>
      </c>
      <c r="O44" s="777" t="s">
        <v>119</v>
      </c>
      <c r="P44" s="778">
        <v>0.45081987446802874</v>
      </c>
      <c r="Q44" s="779">
        <v>130243.02577060071</v>
      </c>
      <c r="R44" s="777" t="s">
        <v>119</v>
      </c>
      <c r="S44" s="778">
        <v>0.41116695440495538</v>
      </c>
      <c r="T44" s="779">
        <v>136404.83010533769</v>
      </c>
      <c r="U44" s="777" t="s">
        <v>119</v>
      </c>
      <c r="V44" s="778">
        <v>0.44660185130301311</v>
      </c>
      <c r="W44" s="779">
        <v>115976.83958672188</v>
      </c>
      <c r="X44" s="777" t="s">
        <v>119</v>
      </c>
      <c r="Y44" s="778">
        <v>0.46740986821161618</v>
      </c>
      <c r="Z44" s="779">
        <v>107980.12361308058</v>
      </c>
      <c r="AA44" s="777" t="s">
        <v>119</v>
      </c>
      <c r="AB44" s="778">
        <v>0.42924149631180325</v>
      </c>
      <c r="AC44" s="779">
        <v>111669.46047842185</v>
      </c>
      <c r="AD44" s="777" t="s">
        <v>119</v>
      </c>
      <c r="AE44" s="778">
        <v>0.46486334825277409</v>
      </c>
      <c r="AF44" s="779">
        <v>107440.17728630558</v>
      </c>
      <c r="AG44" s="777" t="s">
        <v>119</v>
      </c>
      <c r="AH44" s="778">
        <v>0.4246317052752524</v>
      </c>
      <c r="AI44" s="779">
        <v>146881.42255604581</v>
      </c>
      <c r="AJ44" s="777" t="s">
        <v>119</v>
      </c>
      <c r="AK44" s="778">
        <v>0.42066748942840043</v>
      </c>
      <c r="AL44" s="779">
        <v>121400.6756211632</v>
      </c>
      <c r="AM44" s="777" t="s">
        <v>119</v>
      </c>
      <c r="AN44" s="778">
        <v>0.47929862085690178</v>
      </c>
      <c r="AO44" s="779">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230110.85</v>
      </c>
      <c r="F45" s="747"/>
      <c r="G45" s="757"/>
      <c r="H45" s="771">
        <v>18197.116666666669</v>
      </c>
      <c r="I45" s="747"/>
      <c r="J45" s="757"/>
      <c r="K45" s="771">
        <v>18197.116666666669</v>
      </c>
      <c r="L45" s="747"/>
      <c r="M45" s="757"/>
      <c r="N45" s="771">
        <v>21133.479166666668</v>
      </c>
      <c r="O45" s="747"/>
      <c r="P45" s="757"/>
      <c r="Q45" s="771">
        <v>18197.116666666669</v>
      </c>
      <c r="R45" s="747"/>
      <c r="S45" s="757"/>
      <c r="T45" s="771">
        <v>21133.479166666668</v>
      </c>
      <c r="U45" s="747"/>
      <c r="V45" s="757"/>
      <c r="W45" s="771">
        <v>18197.116666666669</v>
      </c>
      <c r="X45" s="747"/>
      <c r="Y45" s="757"/>
      <c r="Z45" s="771">
        <v>18197.116666666669</v>
      </c>
      <c r="AA45" s="747"/>
      <c r="AB45" s="757"/>
      <c r="AC45" s="771">
        <v>21133.479166666668</v>
      </c>
      <c r="AD45" s="747"/>
      <c r="AE45" s="757"/>
      <c r="AF45" s="771">
        <v>18197.116666666669</v>
      </c>
      <c r="AG45" s="747"/>
      <c r="AH45" s="757"/>
      <c r="AI45" s="771">
        <v>18197.116666666669</v>
      </c>
      <c r="AJ45" s="747"/>
      <c r="AK45" s="757"/>
      <c r="AL45" s="771">
        <v>21133.479166666668</v>
      </c>
      <c r="AM45" s="747"/>
      <c r="AN45" s="757"/>
      <c r="AO45" s="771">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145957.64400000003</v>
      </c>
      <c r="F46" s="747"/>
      <c r="G46" s="757"/>
      <c r="H46" s="771">
        <v>11267.511076923076</v>
      </c>
      <c r="I46" s="747"/>
      <c r="J46" s="757"/>
      <c r="K46" s="771">
        <v>11267.511076923076</v>
      </c>
      <c r="L46" s="747"/>
      <c r="M46" s="757"/>
      <c r="N46" s="771">
        <v>13954.388846153846</v>
      </c>
      <c r="O46" s="747"/>
      <c r="P46" s="757"/>
      <c r="Q46" s="771">
        <v>11267.511076923076</v>
      </c>
      <c r="R46" s="747"/>
      <c r="S46" s="757"/>
      <c r="T46" s="771">
        <v>13954.388846153846</v>
      </c>
      <c r="U46" s="747"/>
      <c r="V46" s="757"/>
      <c r="W46" s="771">
        <v>11267.511076923076</v>
      </c>
      <c r="X46" s="747"/>
      <c r="Y46" s="757"/>
      <c r="Z46" s="771">
        <v>11267.511076923076</v>
      </c>
      <c r="AA46" s="747"/>
      <c r="AB46" s="757"/>
      <c r="AC46" s="771">
        <v>13954.388846153846</v>
      </c>
      <c r="AD46" s="747"/>
      <c r="AE46" s="757"/>
      <c r="AF46" s="771">
        <v>11267.511076923076</v>
      </c>
      <c r="AG46" s="747"/>
      <c r="AH46" s="757"/>
      <c r="AI46" s="771">
        <v>11267.511076923076</v>
      </c>
      <c r="AJ46" s="747"/>
      <c r="AK46" s="757"/>
      <c r="AL46" s="771">
        <v>13954.388846153846</v>
      </c>
      <c r="AM46" s="747"/>
      <c r="AN46" s="757"/>
      <c r="AO46" s="771">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34636.600000000006</v>
      </c>
      <c r="F47" s="780"/>
      <c r="G47" s="781"/>
      <c r="H47" s="783">
        <v>2664.3538461538465</v>
      </c>
      <c r="I47" s="780"/>
      <c r="J47" s="781"/>
      <c r="K47" s="783">
        <v>2664.3538461538465</v>
      </c>
      <c r="L47" s="780"/>
      <c r="M47" s="781"/>
      <c r="N47" s="783">
        <v>3330.4423076923076</v>
      </c>
      <c r="O47" s="780"/>
      <c r="P47" s="781"/>
      <c r="Q47" s="783">
        <v>2664.3538461538465</v>
      </c>
      <c r="R47" s="780"/>
      <c r="S47" s="781"/>
      <c r="T47" s="783">
        <v>3330.4423076923076</v>
      </c>
      <c r="U47" s="780"/>
      <c r="V47" s="781"/>
      <c r="W47" s="783">
        <v>2664.3538461538465</v>
      </c>
      <c r="X47" s="780"/>
      <c r="Y47" s="781"/>
      <c r="Z47" s="783">
        <v>2664.3538461538465</v>
      </c>
      <c r="AA47" s="780"/>
      <c r="AB47" s="781"/>
      <c r="AC47" s="783">
        <v>3330.4423076923076</v>
      </c>
      <c r="AD47" s="780"/>
      <c r="AE47" s="781"/>
      <c r="AF47" s="783">
        <v>2664.3538461538465</v>
      </c>
      <c r="AG47" s="780"/>
      <c r="AH47" s="781"/>
      <c r="AI47" s="783">
        <v>2664.3538461538465</v>
      </c>
      <c r="AJ47" s="780"/>
      <c r="AK47" s="781"/>
      <c r="AL47" s="783">
        <v>3330.4423076923076</v>
      </c>
      <c r="AM47" s="780"/>
      <c r="AN47" s="781"/>
      <c r="AO47" s="783">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138466.75834874599</v>
      </c>
      <c r="F52" s="747"/>
      <c r="G52" s="757"/>
      <c r="H52" s="771">
        <v>10293.565807018116</v>
      </c>
      <c r="I52" s="747"/>
      <c r="J52" s="757"/>
      <c r="K52" s="771">
        <v>8944.9153385371192</v>
      </c>
      <c r="L52" s="747"/>
      <c r="M52" s="757"/>
      <c r="N52" s="771">
        <v>12708.147504669267</v>
      </c>
      <c r="O52" s="747"/>
      <c r="P52" s="757"/>
      <c r="Q52" s="771">
        <v>12428.151948410499</v>
      </c>
      <c r="R52" s="747"/>
      <c r="S52" s="757"/>
      <c r="T52" s="771">
        <v>14002.317973150264</v>
      </c>
      <c r="U52" s="747"/>
      <c r="V52" s="757"/>
      <c r="W52" s="771">
        <v>10829.040602587731</v>
      </c>
      <c r="X52" s="747"/>
      <c r="Y52" s="757"/>
      <c r="Z52" s="771">
        <v>11005.094520815579</v>
      </c>
      <c r="AA52" s="747"/>
      <c r="AB52" s="757"/>
      <c r="AC52" s="771">
        <v>12098.265749985731</v>
      </c>
      <c r="AD52" s="747"/>
      <c r="AE52" s="757"/>
      <c r="AF52" s="771">
        <v>11438.922357271269</v>
      </c>
      <c r="AG52" s="747"/>
      <c r="AH52" s="757"/>
      <c r="AI52" s="771">
        <v>12326.504989296576</v>
      </c>
      <c r="AJ52" s="747"/>
      <c r="AK52" s="757"/>
      <c r="AL52" s="771">
        <v>13494.083177580649</v>
      </c>
      <c r="AM52" s="747"/>
      <c r="AN52" s="757"/>
      <c r="AO52" s="771">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168356.05860904799</v>
      </c>
      <c r="F53" s="780"/>
      <c r="G53" s="781"/>
      <c r="H53" s="783">
        <v>12515.524945977975</v>
      </c>
      <c r="I53" s="780"/>
      <c r="J53" s="781"/>
      <c r="K53" s="783">
        <v>10875.756094432798</v>
      </c>
      <c r="L53" s="780"/>
      <c r="M53" s="781"/>
      <c r="N53" s="783">
        <v>15451.315908760873</v>
      </c>
      <c r="O53" s="780"/>
      <c r="P53" s="781"/>
      <c r="Q53" s="783">
        <v>15110.880783089418</v>
      </c>
      <c r="R53" s="780"/>
      <c r="S53" s="781"/>
      <c r="T53" s="783">
        <v>17024.844760306049</v>
      </c>
      <c r="U53" s="780"/>
      <c r="V53" s="781"/>
      <c r="W53" s="783">
        <v>13166.58681195689</v>
      </c>
      <c r="X53" s="780"/>
      <c r="Y53" s="781"/>
      <c r="Z53" s="783">
        <v>13380.643558348456</v>
      </c>
      <c r="AA53" s="780"/>
      <c r="AB53" s="781"/>
      <c r="AC53" s="783">
        <v>14709.785669586176</v>
      </c>
      <c r="AD53" s="780"/>
      <c r="AE53" s="781"/>
      <c r="AF53" s="783">
        <v>13908.117051131589</v>
      </c>
      <c r="AG53" s="780"/>
      <c r="AH53" s="781"/>
      <c r="AI53" s="783">
        <v>14987.292409893635</v>
      </c>
      <c r="AJ53" s="780"/>
      <c r="AK53" s="781"/>
      <c r="AL53" s="783">
        <v>16406.902894327133</v>
      </c>
      <c r="AM53" s="780"/>
      <c r="AN53" s="781"/>
      <c r="AO53" s="783">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86739.969326835591</v>
      </c>
      <c r="F54" s="747"/>
      <c r="G54" s="757"/>
      <c r="H54" s="771">
        <v>6448.2161134712605</v>
      </c>
      <c r="I54" s="747"/>
      <c r="J54" s="757"/>
      <c r="K54" s="771">
        <v>5603.3786834360271</v>
      </c>
      <c r="L54" s="747"/>
      <c r="M54" s="757"/>
      <c r="N54" s="771">
        <v>7960.7866747311436</v>
      </c>
      <c r="O54" s="747"/>
      <c r="P54" s="757"/>
      <c r="Q54" s="771">
        <v>7785.3885773743295</v>
      </c>
      <c r="R54" s="747"/>
      <c r="S54" s="757"/>
      <c r="T54" s="771">
        <v>8771.4961047663764</v>
      </c>
      <c r="U54" s="747"/>
      <c r="V54" s="757"/>
      <c r="W54" s="771">
        <v>6783.6545096386571</v>
      </c>
      <c r="X54" s="747"/>
      <c r="Y54" s="757"/>
      <c r="Z54" s="771">
        <v>6893.9402681056172</v>
      </c>
      <c r="AA54" s="747"/>
      <c r="AB54" s="757"/>
      <c r="AC54" s="771">
        <v>7578.7373993302672</v>
      </c>
      <c r="AD54" s="747"/>
      <c r="AE54" s="757"/>
      <c r="AF54" s="771">
        <v>7165.7037850395345</v>
      </c>
      <c r="AG54" s="747"/>
      <c r="AH54" s="757"/>
      <c r="AI54" s="771">
        <v>7721.7136981408503</v>
      </c>
      <c r="AJ54" s="747"/>
      <c r="AK54" s="757"/>
      <c r="AL54" s="771">
        <v>8453.1217085989792</v>
      </c>
      <c r="AM54" s="747"/>
      <c r="AN54" s="757"/>
      <c r="AO54" s="771">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37819.114615076003</v>
      </c>
      <c r="F55" s="747"/>
      <c r="G55" s="757"/>
      <c r="H55" s="771">
        <v>2811.4585023573709</v>
      </c>
      <c r="I55" s="747"/>
      <c r="J55" s="757"/>
      <c r="K55" s="771">
        <v>2443.1046299088166</v>
      </c>
      <c r="L55" s="747"/>
      <c r="M55" s="757"/>
      <c r="N55" s="771">
        <v>3470.947776605703</v>
      </c>
      <c r="O55" s="747"/>
      <c r="P55" s="757"/>
      <c r="Q55" s="771">
        <v>3394.4732193896516</v>
      </c>
      <c r="R55" s="747"/>
      <c r="S55" s="757"/>
      <c r="T55" s="771">
        <v>3824.4216490542567</v>
      </c>
      <c r="U55" s="747"/>
      <c r="V55" s="757"/>
      <c r="W55" s="771">
        <v>2957.7115302221996</v>
      </c>
      <c r="X55" s="747"/>
      <c r="Y55" s="757"/>
      <c r="Z55" s="771">
        <v>3005.7967413681313</v>
      </c>
      <c r="AA55" s="747"/>
      <c r="AB55" s="757"/>
      <c r="AC55" s="771">
        <v>3304.3721431679087</v>
      </c>
      <c r="AD55" s="747"/>
      <c r="AE55" s="757"/>
      <c r="AF55" s="771">
        <v>3124.2871636599943</v>
      </c>
      <c r="AG55" s="747"/>
      <c r="AH55" s="757"/>
      <c r="AI55" s="771">
        <v>3366.710613816686</v>
      </c>
      <c r="AJ55" s="747"/>
      <c r="AK55" s="757"/>
      <c r="AL55" s="771">
        <v>3685.6086211894285</v>
      </c>
      <c r="AM55" s="747"/>
      <c r="AN55" s="757"/>
      <c r="AO55" s="771">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0.29316196807876249</v>
      </c>
      <c r="E57" s="779">
        <v>842086.99489970563</v>
      </c>
      <c r="F57" s="777" t="s">
        <v>119</v>
      </c>
      <c r="G57" s="778">
        <v>0.44462494676014069</v>
      </c>
      <c r="H57" s="779">
        <v>64197.746958568314</v>
      </c>
      <c r="I57" s="777" t="s">
        <v>119</v>
      </c>
      <c r="J57" s="778">
        <v>0.4155251576266375</v>
      </c>
      <c r="K57" s="779">
        <v>59996.136336058356</v>
      </c>
      <c r="L57" s="777" t="s">
        <v>119</v>
      </c>
      <c r="M57" s="778">
        <v>0.38591667450405387</v>
      </c>
      <c r="N57" s="779">
        <v>78009.508185279818</v>
      </c>
      <c r="O57" s="777" t="s">
        <v>119</v>
      </c>
      <c r="P57" s="778">
        <v>0.24523102430146551</v>
      </c>
      <c r="Q57" s="779">
        <v>70847.87611800748</v>
      </c>
      <c r="R57" s="777" t="s">
        <v>119</v>
      </c>
      <c r="S57" s="778">
        <v>0.24729849205146015</v>
      </c>
      <c r="T57" s="779">
        <v>82041.39080778978</v>
      </c>
      <c r="U57" s="777" t="s">
        <v>119</v>
      </c>
      <c r="V57" s="778">
        <v>0.25363569569076994</v>
      </c>
      <c r="W57" s="779">
        <v>65865.975044149061</v>
      </c>
      <c r="X57" s="777" t="s">
        <v>119</v>
      </c>
      <c r="Y57" s="778">
        <v>0.28748598727875363</v>
      </c>
      <c r="Z57" s="779">
        <v>66414.456678381364</v>
      </c>
      <c r="AA57" s="777" t="s">
        <v>119</v>
      </c>
      <c r="AB57" s="778">
        <v>0.29255396414446616</v>
      </c>
      <c r="AC57" s="779">
        <v>76109.471282582905</v>
      </c>
      <c r="AD57" s="777" t="s">
        <v>119</v>
      </c>
      <c r="AE57" s="778">
        <v>0.29320442321499757</v>
      </c>
      <c r="AF57" s="779">
        <v>67766.011946845974</v>
      </c>
      <c r="AG57" s="777" t="s">
        <v>119</v>
      </c>
      <c r="AH57" s="778">
        <v>0.20390451434622378</v>
      </c>
      <c r="AI57" s="779">
        <v>70531.203300891342</v>
      </c>
      <c r="AJ57" s="777" t="s">
        <v>119</v>
      </c>
      <c r="AK57" s="778">
        <v>0.27879643941367482</v>
      </c>
      <c r="AL57" s="779">
        <v>80458.026722209004</v>
      </c>
      <c r="AM57" s="777" t="s">
        <v>119</v>
      </c>
      <c r="AN57" s="778">
        <v>0.41450743761959252</v>
      </c>
      <c r="AO57" s="779">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110400</v>
      </c>
      <c r="F60" s="785"/>
      <c r="G60" s="786"/>
      <c r="H60" s="788">
        <v>9200</v>
      </c>
      <c r="I60" s="785"/>
      <c r="J60" s="786"/>
      <c r="K60" s="788">
        <v>9200</v>
      </c>
      <c r="L60" s="785"/>
      <c r="M60" s="786"/>
      <c r="N60" s="788">
        <v>9200</v>
      </c>
      <c r="O60" s="785"/>
      <c r="P60" s="786"/>
      <c r="Q60" s="788">
        <v>9200</v>
      </c>
      <c r="R60" s="785"/>
      <c r="S60" s="786"/>
      <c r="T60" s="788">
        <v>9200</v>
      </c>
      <c r="U60" s="785"/>
      <c r="V60" s="786"/>
      <c r="W60" s="788">
        <v>9200</v>
      </c>
      <c r="X60" s="785"/>
      <c r="Y60" s="786"/>
      <c r="Z60" s="788">
        <v>9200</v>
      </c>
      <c r="AA60" s="785"/>
      <c r="AB60" s="786"/>
      <c r="AC60" s="788">
        <v>9200</v>
      </c>
      <c r="AD60" s="785"/>
      <c r="AE60" s="786"/>
      <c r="AF60" s="788">
        <v>9200</v>
      </c>
      <c r="AG60" s="785"/>
      <c r="AH60" s="786"/>
      <c r="AI60" s="788">
        <v>9200</v>
      </c>
      <c r="AJ60" s="785"/>
      <c r="AK60" s="786"/>
      <c r="AL60" s="788">
        <v>9200</v>
      </c>
      <c r="AM60" s="785"/>
      <c r="AN60" s="786"/>
      <c r="AO60" s="788">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108476.34559466668</v>
      </c>
      <c r="F61" s="747"/>
      <c r="G61" s="757"/>
      <c r="H61" s="771">
        <v>9039.6954662222215</v>
      </c>
      <c r="I61" s="747"/>
      <c r="J61" s="757"/>
      <c r="K61" s="771">
        <v>9039.6954662222215</v>
      </c>
      <c r="L61" s="747"/>
      <c r="M61" s="757"/>
      <c r="N61" s="771">
        <v>9039.6954662222215</v>
      </c>
      <c r="O61" s="747"/>
      <c r="P61" s="757"/>
      <c r="Q61" s="771">
        <v>9039.6954662222215</v>
      </c>
      <c r="R61" s="747"/>
      <c r="S61" s="757"/>
      <c r="T61" s="771">
        <v>9039.6954662222215</v>
      </c>
      <c r="U61" s="747"/>
      <c r="V61" s="757"/>
      <c r="W61" s="771">
        <v>9039.6954662222215</v>
      </c>
      <c r="X61" s="747"/>
      <c r="Y61" s="757"/>
      <c r="Z61" s="771">
        <v>9039.6954662222215</v>
      </c>
      <c r="AA61" s="747"/>
      <c r="AB61" s="757"/>
      <c r="AC61" s="771">
        <v>9039.6954662222215</v>
      </c>
      <c r="AD61" s="747"/>
      <c r="AE61" s="757"/>
      <c r="AF61" s="771">
        <v>9039.6954662222215</v>
      </c>
      <c r="AG61" s="747"/>
      <c r="AH61" s="757"/>
      <c r="AI61" s="771">
        <v>9039.6954662222215</v>
      </c>
      <c r="AJ61" s="747"/>
      <c r="AK61" s="757"/>
      <c r="AL61" s="771">
        <v>9039.6954662222215</v>
      </c>
      <c r="AM61" s="747"/>
      <c r="AN61" s="757"/>
      <c r="AO61" s="771">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13262.710618693432</v>
      </c>
      <c r="F62" s="747"/>
      <c r="G62" s="757"/>
      <c r="H62" s="771">
        <v>1105.2258848911197</v>
      </c>
      <c r="I62" s="747"/>
      <c r="J62" s="757"/>
      <c r="K62" s="771">
        <v>1105.2258848911197</v>
      </c>
      <c r="L62" s="747"/>
      <c r="M62" s="757"/>
      <c r="N62" s="771">
        <v>1105.2258848911197</v>
      </c>
      <c r="O62" s="747"/>
      <c r="P62" s="757"/>
      <c r="Q62" s="771">
        <v>1105.2258848911197</v>
      </c>
      <c r="R62" s="747"/>
      <c r="S62" s="757"/>
      <c r="T62" s="771">
        <v>1105.2258848911197</v>
      </c>
      <c r="U62" s="747"/>
      <c r="V62" s="757"/>
      <c r="W62" s="771">
        <v>1105.2258848911197</v>
      </c>
      <c r="X62" s="747"/>
      <c r="Y62" s="757"/>
      <c r="Z62" s="771">
        <v>1105.2258848911197</v>
      </c>
      <c r="AA62" s="747"/>
      <c r="AB62" s="757"/>
      <c r="AC62" s="771">
        <v>1105.2258848911197</v>
      </c>
      <c r="AD62" s="747"/>
      <c r="AE62" s="757"/>
      <c r="AF62" s="771">
        <v>1105.2258848911197</v>
      </c>
      <c r="AG62" s="747"/>
      <c r="AH62" s="757"/>
      <c r="AI62" s="771">
        <v>1105.2258848911197</v>
      </c>
      <c r="AJ62" s="747"/>
      <c r="AK62" s="757"/>
      <c r="AL62" s="771">
        <v>1105.2258848911197</v>
      </c>
      <c r="AM62" s="747"/>
      <c r="AN62" s="757"/>
      <c r="AO62" s="771">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80537.023706488893</v>
      </c>
      <c r="F63" s="785"/>
      <c r="G63" s="786"/>
      <c r="H63" s="788">
        <v>6711.4186422074081</v>
      </c>
      <c r="I63" s="785"/>
      <c r="J63" s="786"/>
      <c r="K63" s="788">
        <v>6711.4186422074081</v>
      </c>
      <c r="L63" s="785"/>
      <c r="M63" s="786"/>
      <c r="N63" s="788">
        <v>6711.4186422074081</v>
      </c>
      <c r="O63" s="785"/>
      <c r="P63" s="786"/>
      <c r="Q63" s="788">
        <v>6711.4186422074081</v>
      </c>
      <c r="R63" s="785"/>
      <c r="S63" s="786"/>
      <c r="T63" s="788">
        <v>6711.4186422074081</v>
      </c>
      <c r="U63" s="785"/>
      <c r="V63" s="786"/>
      <c r="W63" s="788">
        <v>6711.4186422074081</v>
      </c>
      <c r="X63" s="785"/>
      <c r="Y63" s="786"/>
      <c r="Z63" s="788">
        <v>6711.4186422074081</v>
      </c>
      <c r="AA63" s="785"/>
      <c r="AB63" s="786"/>
      <c r="AC63" s="788">
        <v>6711.4186422074081</v>
      </c>
      <c r="AD63" s="785"/>
      <c r="AE63" s="786"/>
      <c r="AF63" s="788">
        <v>6711.4186422074081</v>
      </c>
      <c r="AG63" s="785"/>
      <c r="AH63" s="786"/>
      <c r="AI63" s="788">
        <v>6711.4186422074081</v>
      </c>
      <c r="AJ63" s="785"/>
      <c r="AK63" s="786"/>
      <c r="AL63" s="788">
        <v>6711.4186422074081</v>
      </c>
      <c r="AM63" s="785"/>
      <c r="AN63" s="786"/>
      <c r="AO63" s="788">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1500</v>
      </c>
      <c r="F64" s="747"/>
      <c r="G64" s="757"/>
      <c r="H64" s="771">
        <v>125</v>
      </c>
      <c r="I64" s="747"/>
      <c r="J64" s="757"/>
      <c r="K64" s="771">
        <v>125</v>
      </c>
      <c r="L64" s="747"/>
      <c r="M64" s="757"/>
      <c r="N64" s="771">
        <v>125</v>
      </c>
      <c r="O64" s="747"/>
      <c r="P64" s="757"/>
      <c r="Q64" s="771">
        <v>125</v>
      </c>
      <c r="R64" s="747"/>
      <c r="S64" s="757"/>
      <c r="T64" s="771">
        <v>125</v>
      </c>
      <c r="U64" s="747"/>
      <c r="V64" s="757"/>
      <c r="W64" s="771">
        <v>125</v>
      </c>
      <c r="X64" s="747"/>
      <c r="Y64" s="757"/>
      <c r="Z64" s="771">
        <v>125</v>
      </c>
      <c r="AA64" s="747"/>
      <c r="AB64" s="757"/>
      <c r="AC64" s="771">
        <v>125</v>
      </c>
      <c r="AD64" s="747"/>
      <c r="AE64" s="757"/>
      <c r="AF64" s="771">
        <v>125</v>
      </c>
      <c r="AG64" s="747"/>
      <c r="AH64" s="757"/>
      <c r="AI64" s="771">
        <v>125</v>
      </c>
      <c r="AJ64" s="747"/>
      <c r="AK64" s="757"/>
      <c r="AL64" s="771">
        <v>125</v>
      </c>
      <c r="AM64" s="747"/>
      <c r="AN64" s="757"/>
      <c r="AO64" s="771">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1000.0000000000001</v>
      </c>
      <c r="F65" s="747"/>
      <c r="G65" s="757"/>
      <c r="H65" s="771">
        <v>83.333333333333329</v>
      </c>
      <c r="I65" s="747"/>
      <c r="J65" s="757"/>
      <c r="K65" s="771">
        <v>83.333333333333329</v>
      </c>
      <c r="L65" s="747"/>
      <c r="M65" s="757"/>
      <c r="N65" s="771">
        <v>83.333333333333329</v>
      </c>
      <c r="O65" s="747"/>
      <c r="P65" s="757"/>
      <c r="Q65" s="771">
        <v>83.333333333333329</v>
      </c>
      <c r="R65" s="747"/>
      <c r="S65" s="757"/>
      <c r="T65" s="771">
        <v>83.333333333333329</v>
      </c>
      <c r="U65" s="747"/>
      <c r="V65" s="757"/>
      <c r="W65" s="771">
        <v>83.333333333333329</v>
      </c>
      <c r="X65" s="747"/>
      <c r="Y65" s="757"/>
      <c r="Z65" s="771">
        <v>83.333333333333329</v>
      </c>
      <c r="AA65" s="747"/>
      <c r="AB65" s="757"/>
      <c r="AC65" s="771">
        <v>83.333333333333329</v>
      </c>
      <c r="AD65" s="747"/>
      <c r="AE65" s="757"/>
      <c r="AF65" s="771">
        <v>83.333333333333329</v>
      </c>
      <c r="AG65" s="747"/>
      <c r="AH65" s="757"/>
      <c r="AI65" s="771">
        <v>83.333333333333329</v>
      </c>
      <c r="AJ65" s="747"/>
      <c r="AK65" s="757"/>
      <c r="AL65" s="771">
        <v>83.333333333333329</v>
      </c>
      <c r="AM65" s="747"/>
      <c r="AN65" s="757"/>
      <c r="AO65" s="771">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9083.3592236160021</v>
      </c>
      <c r="F66" s="747"/>
      <c r="G66" s="757"/>
      <c r="H66" s="771">
        <v>756.94660196799998</v>
      </c>
      <c r="I66" s="747"/>
      <c r="J66" s="757"/>
      <c r="K66" s="771">
        <v>756.94660196799998</v>
      </c>
      <c r="L66" s="747"/>
      <c r="M66" s="757"/>
      <c r="N66" s="771">
        <v>756.94660196799998</v>
      </c>
      <c r="O66" s="747"/>
      <c r="P66" s="757"/>
      <c r="Q66" s="771">
        <v>756.94660196799998</v>
      </c>
      <c r="R66" s="747"/>
      <c r="S66" s="757"/>
      <c r="T66" s="771">
        <v>756.94660196799998</v>
      </c>
      <c r="U66" s="747"/>
      <c r="V66" s="757"/>
      <c r="W66" s="771">
        <v>756.94660196799998</v>
      </c>
      <c r="X66" s="747"/>
      <c r="Y66" s="757"/>
      <c r="Z66" s="771">
        <v>756.94660196799998</v>
      </c>
      <c r="AA66" s="747"/>
      <c r="AB66" s="757"/>
      <c r="AC66" s="771">
        <v>756.94660196799998</v>
      </c>
      <c r="AD66" s="747"/>
      <c r="AE66" s="757"/>
      <c r="AF66" s="771">
        <v>756.94660196799998</v>
      </c>
      <c r="AG66" s="747"/>
      <c r="AH66" s="757"/>
      <c r="AI66" s="771">
        <v>756.94660196799998</v>
      </c>
      <c r="AJ66" s="747"/>
      <c r="AK66" s="757"/>
      <c r="AL66" s="771">
        <v>756.94660196799998</v>
      </c>
      <c r="AM66" s="747"/>
      <c r="AN66" s="757"/>
      <c r="AO66" s="771">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3712.8418206346664</v>
      </c>
      <c r="F67" s="747"/>
      <c r="G67" s="757"/>
      <c r="H67" s="771">
        <v>309.40348505288893</v>
      </c>
      <c r="I67" s="747"/>
      <c r="J67" s="757"/>
      <c r="K67" s="771">
        <v>309.40348505288893</v>
      </c>
      <c r="L67" s="747"/>
      <c r="M67" s="757"/>
      <c r="N67" s="771">
        <v>309.40348505288893</v>
      </c>
      <c r="O67" s="747"/>
      <c r="P67" s="757"/>
      <c r="Q67" s="771">
        <v>309.40348505288893</v>
      </c>
      <c r="R67" s="747"/>
      <c r="S67" s="757"/>
      <c r="T67" s="771">
        <v>309.40348505288893</v>
      </c>
      <c r="U67" s="747"/>
      <c r="V67" s="757"/>
      <c r="W67" s="771">
        <v>309.40348505288893</v>
      </c>
      <c r="X67" s="747"/>
      <c r="Y67" s="757"/>
      <c r="Z67" s="771">
        <v>309.40348505288893</v>
      </c>
      <c r="AA67" s="747"/>
      <c r="AB67" s="757"/>
      <c r="AC67" s="771">
        <v>309.40348505288893</v>
      </c>
      <c r="AD67" s="747"/>
      <c r="AE67" s="757"/>
      <c r="AF67" s="771">
        <v>309.40348505288893</v>
      </c>
      <c r="AG67" s="747"/>
      <c r="AH67" s="757"/>
      <c r="AI67" s="771">
        <v>309.40348505288893</v>
      </c>
      <c r="AJ67" s="747"/>
      <c r="AK67" s="757"/>
      <c r="AL67" s="771">
        <v>309.40348505288893</v>
      </c>
      <c r="AM67" s="747"/>
      <c r="AN67" s="757"/>
      <c r="AO67" s="771">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1357.5457188853334</v>
      </c>
      <c r="F68" s="747"/>
      <c r="G68" s="757"/>
      <c r="H68" s="771">
        <v>113.12880990711112</v>
      </c>
      <c r="I68" s="747"/>
      <c r="J68" s="757"/>
      <c r="K68" s="771">
        <v>113.12880990711112</v>
      </c>
      <c r="L68" s="747"/>
      <c r="M68" s="757"/>
      <c r="N68" s="771">
        <v>113.12880990711112</v>
      </c>
      <c r="O68" s="747"/>
      <c r="P68" s="757"/>
      <c r="Q68" s="771">
        <v>113.12880990711112</v>
      </c>
      <c r="R68" s="747"/>
      <c r="S68" s="757"/>
      <c r="T68" s="771">
        <v>113.12880990711112</v>
      </c>
      <c r="U68" s="747"/>
      <c r="V68" s="757"/>
      <c r="W68" s="771">
        <v>113.12880990711112</v>
      </c>
      <c r="X68" s="747"/>
      <c r="Y68" s="757"/>
      <c r="Z68" s="771">
        <v>113.12880990711112</v>
      </c>
      <c r="AA68" s="747"/>
      <c r="AB68" s="757"/>
      <c r="AC68" s="771">
        <v>113.12880990711112</v>
      </c>
      <c r="AD68" s="747"/>
      <c r="AE68" s="757"/>
      <c r="AF68" s="771">
        <v>113.12880990711112</v>
      </c>
      <c r="AG68" s="747"/>
      <c r="AH68" s="757"/>
      <c r="AI68" s="771">
        <v>113.12880990711112</v>
      </c>
      <c r="AJ68" s="747"/>
      <c r="AK68" s="757"/>
      <c r="AL68" s="771">
        <v>113.12880990711112</v>
      </c>
      <c r="AM68" s="747"/>
      <c r="AN68" s="757"/>
      <c r="AO68" s="771">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3389.5512412213343</v>
      </c>
      <c r="F69" s="747"/>
      <c r="G69" s="757"/>
      <c r="H69" s="771">
        <v>282.46260343511113</v>
      </c>
      <c r="I69" s="747"/>
      <c r="J69" s="757"/>
      <c r="K69" s="771">
        <v>282.46260343511113</v>
      </c>
      <c r="L69" s="747"/>
      <c r="M69" s="757"/>
      <c r="N69" s="771">
        <v>282.46260343511113</v>
      </c>
      <c r="O69" s="747"/>
      <c r="P69" s="757"/>
      <c r="Q69" s="771">
        <v>282.46260343511113</v>
      </c>
      <c r="R69" s="747"/>
      <c r="S69" s="757"/>
      <c r="T69" s="771">
        <v>282.46260343511113</v>
      </c>
      <c r="U69" s="747"/>
      <c r="V69" s="757"/>
      <c r="W69" s="771">
        <v>282.46260343511113</v>
      </c>
      <c r="X69" s="747"/>
      <c r="Y69" s="757"/>
      <c r="Z69" s="771">
        <v>282.46260343511113</v>
      </c>
      <c r="AA69" s="747"/>
      <c r="AB69" s="757"/>
      <c r="AC69" s="771">
        <v>282.46260343511113</v>
      </c>
      <c r="AD69" s="747"/>
      <c r="AE69" s="757"/>
      <c r="AF69" s="771">
        <v>282.46260343511113</v>
      </c>
      <c r="AG69" s="747"/>
      <c r="AH69" s="757"/>
      <c r="AI69" s="771">
        <v>282.46260343511113</v>
      </c>
      <c r="AJ69" s="747"/>
      <c r="AK69" s="757"/>
      <c r="AL69" s="771">
        <v>282.46260343511113</v>
      </c>
      <c r="AM69" s="747"/>
      <c r="AN69" s="757"/>
      <c r="AO69" s="771">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22789.289999999994</v>
      </c>
      <c r="F70" s="747"/>
      <c r="G70" s="757"/>
      <c r="H70" s="771">
        <v>1899.1075000000001</v>
      </c>
      <c r="I70" s="747"/>
      <c r="J70" s="757"/>
      <c r="K70" s="771">
        <v>1899.1075000000001</v>
      </c>
      <c r="L70" s="747"/>
      <c r="M70" s="757"/>
      <c r="N70" s="771">
        <v>1899.1075000000001</v>
      </c>
      <c r="O70" s="747"/>
      <c r="P70" s="757"/>
      <c r="Q70" s="771">
        <v>1899.1075000000001</v>
      </c>
      <c r="R70" s="747"/>
      <c r="S70" s="757"/>
      <c r="T70" s="771">
        <v>1899.1075000000001</v>
      </c>
      <c r="U70" s="747"/>
      <c r="V70" s="757"/>
      <c r="W70" s="771">
        <v>1899.1075000000001</v>
      </c>
      <c r="X70" s="747"/>
      <c r="Y70" s="757"/>
      <c r="Z70" s="771">
        <v>1899.1075000000001</v>
      </c>
      <c r="AA70" s="747"/>
      <c r="AB70" s="757"/>
      <c r="AC70" s="771">
        <v>1899.1075000000001</v>
      </c>
      <c r="AD70" s="747"/>
      <c r="AE70" s="757"/>
      <c r="AF70" s="771">
        <v>1899.1075000000001</v>
      </c>
      <c r="AG70" s="747"/>
      <c r="AH70" s="757"/>
      <c r="AI70" s="771">
        <v>1899.1075000000001</v>
      </c>
      <c r="AJ70" s="747"/>
      <c r="AK70" s="757"/>
      <c r="AL70" s="771">
        <v>1899.1075000000001</v>
      </c>
      <c r="AM70" s="747"/>
      <c r="AN70" s="757"/>
      <c r="AO70" s="771">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40359.551148111401</v>
      </c>
      <c r="F71" s="747"/>
      <c r="G71" s="757"/>
      <c r="H71" s="771">
        <v>3363.2959290092826</v>
      </c>
      <c r="I71" s="747"/>
      <c r="J71" s="757"/>
      <c r="K71" s="771">
        <v>3363.2959290092826</v>
      </c>
      <c r="L71" s="747"/>
      <c r="M71" s="757"/>
      <c r="N71" s="771">
        <v>3363.2959290092826</v>
      </c>
      <c r="O71" s="747"/>
      <c r="P71" s="757"/>
      <c r="Q71" s="771">
        <v>3363.2959290092826</v>
      </c>
      <c r="R71" s="747"/>
      <c r="S71" s="757"/>
      <c r="T71" s="771">
        <v>3363.2959290092826</v>
      </c>
      <c r="U71" s="747"/>
      <c r="V71" s="757"/>
      <c r="W71" s="771">
        <v>3363.2959290092826</v>
      </c>
      <c r="X71" s="747"/>
      <c r="Y71" s="757"/>
      <c r="Z71" s="771">
        <v>3363.2959290092826</v>
      </c>
      <c r="AA71" s="747"/>
      <c r="AB71" s="757"/>
      <c r="AC71" s="771">
        <v>3363.2959290092826</v>
      </c>
      <c r="AD71" s="747"/>
      <c r="AE71" s="757"/>
      <c r="AF71" s="771">
        <v>3363.2959290092826</v>
      </c>
      <c r="AG71" s="747"/>
      <c r="AH71" s="757"/>
      <c r="AI71" s="771">
        <v>3363.2959290092826</v>
      </c>
      <c r="AJ71" s="747"/>
      <c r="AK71" s="757"/>
      <c r="AL71" s="771">
        <v>3363.2959290092826</v>
      </c>
      <c r="AM71" s="747"/>
      <c r="AN71" s="757"/>
      <c r="AO71" s="771">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0.13781652834681002</v>
      </c>
      <c r="E75" s="779">
        <v>395868.2190723177</v>
      </c>
      <c r="F75" s="777" t="s">
        <v>119</v>
      </c>
      <c r="G75" s="778">
        <v>0.22847749618411511</v>
      </c>
      <c r="H75" s="779">
        <v>32989.018256026473</v>
      </c>
      <c r="I75" s="777" t="s">
        <v>119</v>
      </c>
      <c r="J75" s="778">
        <v>0.22847749618411511</v>
      </c>
      <c r="K75" s="779">
        <v>32989.018256026473</v>
      </c>
      <c r="L75" s="777" t="s">
        <v>119</v>
      </c>
      <c r="M75" s="778">
        <v>0.16319821156008221</v>
      </c>
      <c r="N75" s="779">
        <v>32989.018256026473</v>
      </c>
      <c r="O75" s="777" t="s">
        <v>119</v>
      </c>
      <c r="P75" s="778">
        <v>0.11418734309198143</v>
      </c>
      <c r="Q75" s="779">
        <v>32989.018256026473</v>
      </c>
      <c r="R75" s="777" t="s">
        <v>119</v>
      </c>
      <c r="S75" s="778">
        <v>9.9439251195615114E-2</v>
      </c>
      <c r="T75" s="779">
        <v>32989.018256026473</v>
      </c>
      <c r="U75" s="777" t="s">
        <v>119</v>
      </c>
      <c r="V75" s="778">
        <v>0.1270336101441506</v>
      </c>
      <c r="W75" s="779">
        <v>32989.018256026473</v>
      </c>
      <c r="X75" s="777" t="s">
        <v>119</v>
      </c>
      <c r="Y75" s="778">
        <v>0.14279843511507193</v>
      </c>
      <c r="Z75" s="779">
        <v>32989.018256026473</v>
      </c>
      <c r="AA75" s="777" t="s">
        <v>119</v>
      </c>
      <c r="AB75" s="778">
        <v>0.12680508616597477</v>
      </c>
      <c r="AC75" s="779">
        <v>32989.018256026473</v>
      </c>
      <c r="AD75" s="777" t="s">
        <v>119</v>
      </c>
      <c r="AE75" s="778">
        <v>0.14273417886497677</v>
      </c>
      <c r="AF75" s="779">
        <v>32989.018256026473</v>
      </c>
      <c r="AG75" s="777" t="s">
        <v>119</v>
      </c>
      <c r="AH75" s="778">
        <v>9.5370693132195303E-2</v>
      </c>
      <c r="AI75" s="779">
        <v>32989.018256026473</v>
      </c>
      <c r="AJ75" s="777" t="s">
        <v>119</v>
      </c>
      <c r="AK75" s="778">
        <v>0.11431079289686542</v>
      </c>
      <c r="AL75" s="779">
        <v>32989.018256026473</v>
      </c>
      <c r="AM75" s="777" t="s">
        <v>119</v>
      </c>
      <c r="AN75" s="778">
        <v>0.22847749618411511</v>
      </c>
      <c r="AO75" s="779">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0.87974710885902629</v>
      </c>
      <c r="E77" s="789">
        <v>2527011.2764823847</v>
      </c>
      <c r="F77" s="777" t="s">
        <v>119</v>
      </c>
      <c r="G77" s="778">
        <v>1.1555170523405842</v>
      </c>
      <c r="H77" s="789">
        <v>166840.82140017638</v>
      </c>
      <c r="I77" s="777" t="s">
        <v>119</v>
      </c>
      <c r="J77" s="778">
        <v>1.1451131944436412</v>
      </c>
      <c r="K77" s="789">
        <v>165338.64694611644</v>
      </c>
      <c r="L77" s="777" t="s">
        <v>119</v>
      </c>
      <c r="M77" s="778">
        <v>1.0430666519870988</v>
      </c>
      <c r="N77" s="789">
        <v>210846.33523687054</v>
      </c>
      <c r="O77" s="777" t="s">
        <v>119</v>
      </c>
      <c r="P77" s="778">
        <v>0.81023824186147564</v>
      </c>
      <c r="Q77" s="789">
        <v>234079.92014463464</v>
      </c>
      <c r="R77" s="777" t="s">
        <v>119</v>
      </c>
      <c r="S77" s="778">
        <v>0.75790469765203061</v>
      </c>
      <c r="T77" s="789">
        <v>251435.23916915394</v>
      </c>
      <c r="U77" s="777" t="s">
        <v>119</v>
      </c>
      <c r="V77" s="778">
        <v>0.82727115713793364</v>
      </c>
      <c r="W77" s="789">
        <v>214831.83288689741</v>
      </c>
      <c r="X77" s="777" t="s">
        <v>119</v>
      </c>
      <c r="Y77" s="778">
        <v>0.8976942906054417</v>
      </c>
      <c r="Z77" s="789">
        <v>207383.59854748842</v>
      </c>
      <c r="AA77" s="777" t="s">
        <v>119</v>
      </c>
      <c r="AB77" s="778">
        <v>0.84860054662224416</v>
      </c>
      <c r="AC77" s="789">
        <v>220767.95001703122</v>
      </c>
      <c r="AD77" s="777" t="s">
        <v>119</v>
      </c>
      <c r="AE77" s="778">
        <v>0.90080195033274846</v>
      </c>
      <c r="AF77" s="789">
        <v>208195.20748917802</v>
      </c>
      <c r="AG77" s="777" t="s">
        <v>119</v>
      </c>
      <c r="AH77" s="778">
        <v>0.72390691275367147</v>
      </c>
      <c r="AI77" s="789">
        <v>250401.64411296361</v>
      </c>
      <c r="AJ77" s="777" t="s">
        <v>119</v>
      </c>
      <c r="AK77" s="778">
        <v>0.81377472173894072</v>
      </c>
      <c r="AL77" s="789">
        <v>234847.72059939869</v>
      </c>
      <c r="AM77" s="777" t="s">
        <v>119</v>
      </c>
      <c r="AN77" s="778">
        <v>1.1222835546606094</v>
      </c>
      <c r="AO77" s="789">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80000</v>
      </c>
      <c r="F78" s="747"/>
      <c r="G78" s="757"/>
      <c r="H78" s="771">
        <v>0</v>
      </c>
      <c r="I78" s="747"/>
      <c r="J78" s="757"/>
      <c r="K78" s="771">
        <v>0</v>
      </c>
      <c r="L78" s="747"/>
      <c r="M78" s="757"/>
      <c r="N78" s="771">
        <v>20000</v>
      </c>
      <c r="O78" s="747"/>
      <c r="P78" s="757"/>
      <c r="Q78" s="771">
        <v>0</v>
      </c>
      <c r="R78" s="747"/>
      <c r="S78" s="757"/>
      <c r="T78" s="771">
        <v>0</v>
      </c>
      <c r="U78" s="747"/>
      <c r="V78" s="757"/>
      <c r="W78" s="771">
        <v>20000</v>
      </c>
      <c r="X78" s="747"/>
      <c r="Y78" s="757"/>
      <c r="Z78" s="771">
        <v>0</v>
      </c>
      <c r="AA78" s="747"/>
      <c r="AB78" s="757"/>
      <c r="AC78" s="771">
        <v>0</v>
      </c>
      <c r="AD78" s="747"/>
      <c r="AE78" s="757"/>
      <c r="AF78" s="771">
        <v>20000</v>
      </c>
      <c r="AG78" s="747"/>
      <c r="AH78" s="757"/>
      <c r="AI78" s="771">
        <v>0</v>
      </c>
      <c r="AJ78" s="747"/>
      <c r="AK78" s="757"/>
      <c r="AL78" s="771">
        <v>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911504.31324615923</v>
      </c>
      <c r="F81" s="747"/>
      <c r="G81" s="757"/>
      <c r="H81" s="771">
        <v>43066.288712401452</v>
      </c>
      <c r="I81" s="747"/>
      <c r="J81" s="757"/>
      <c r="K81" s="771">
        <v>43066.288712401452</v>
      </c>
      <c r="L81" s="747"/>
      <c r="M81" s="757"/>
      <c r="N81" s="771">
        <v>63098.425611850726</v>
      </c>
      <c r="O81" s="747"/>
      <c r="P81" s="757"/>
      <c r="Q81" s="771">
        <v>93286.91203174906</v>
      </c>
      <c r="R81" s="747"/>
      <c r="S81" s="757"/>
      <c r="T81" s="771">
        <v>107806.00285172804</v>
      </c>
      <c r="U81" s="747"/>
      <c r="V81" s="757"/>
      <c r="W81" s="771">
        <v>82906.112798140894</v>
      </c>
      <c r="X81" s="747"/>
      <c r="Y81" s="757"/>
      <c r="Z81" s="771">
        <v>73114.494061575373</v>
      </c>
      <c r="AA81" s="747"/>
      <c r="AB81" s="757"/>
      <c r="AC81" s="771">
        <v>83411.12465274884</v>
      </c>
      <c r="AD81" s="747"/>
      <c r="AE81" s="757"/>
      <c r="AF81" s="771">
        <v>73226.718918154904</v>
      </c>
      <c r="AG81" s="747"/>
      <c r="AH81" s="757"/>
      <c r="AI81" s="771">
        <v>112505.4187209966</v>
      </c>
      <c r="AJ81" s="747"/>
      <c r="AK81" s="757"/>
      <c r="AL81" s="771">
        <v>92950.237462010438</v>
      </c>
      <c r="AM81" s="747"/>
      <c r="AN81" s="757"/>
      <c r="AO81" s="771">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315240.87974999991</v>
      </c>
      <c r="F85" s="747"/>
      <c r="G85" s="757"/>
      <c r="H85" s="771">
        <v>15856.9725</v>
      </c>
      <c r="I85" s="747"/>
      <c r="J85" s="757"/>
      <c r="K85" s="771">
        <v>15856.9725</v>
      </c>
      <c r="L85" s="747"/>
      <c r="M85" s="757"/>
      <c r="N85" s="771">
        <v>22199.761500000001</v>
      </c>
      <c r="O85" s="747"/>
      <c r="P85" s="757"/>
      <c r="Q85" s="771">
        <v>31761.35</v>
      </c>
      <c r="R85" s="747"/>
      <c r="S85" s="757"/>
      <c r="T85" s="771">
        <v>36347.783749999995</v>
      </c>
      <c r="U85" s="747"/>
      <c r="V85" s="757"/>
      <c r="W85" s="771">
        <v>28466.702499999996</v>
      </c>
      <c r="X85" s="747"/>
      <c r="Y85" s="757"/>
      <c r="Z85" s="771">
        <v>25371.155999999999</v>
      </c>
      <c r="AA85" s="747"/>
      <c r="AB85" s="757"/>
      <c r="AC85" s="771">
        <v>28637.360499999995</v>
      </c>
      <c r="AD85" s="747"/>
      <c r="AE85" s="757"/>
      <c r="AF85" s="771">
        <v>25409.079999999998</v>
      </c>
      <c r="AG85" s="747"/>
      <c r="AH85" s="757"/>
      <c r="AI85" s="771">
        <v>37829.189999999988</v>
      </c>
      <c r="AJ85" s="747"/>
      <c r="AK85" s="757"/>
      <c r="AL85" s="771">
        <v>31647.577999999998</v>
      </c>
      <c r="AM85" s="747"/>
      <c r="AN85" s="757"/>
      <c r="AO85" s="771">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1306745.1929961592</v>
      </c>
      <c r="F86" s="790"/>
      <c r="G86" s="791"/>
      <c r="H86" s="792">
        <v>58923.261212401456</v>
      </c>
      <c r="I86" s="790"/>
      <c r="J86" s="791"/>
      <c r="K86" s="792">
        <v>58923.261212401456</v>
      </c>
      <c r="L86" s="790"/>
      <c r="M86" s="791"/>
      <c r="N86" s="792">
        <v>105298.18711185071</v>
      </c>
      <c r="O86" s="790"/>
      <c r="P86" s="791"/>
      <c r="Q86" s="792">
        <v>125048.26203174907</v>
      </c>
      <c r="R86" s="790"/>
      <c r="S86" s="791"/>
      <c r="T86" s="792">
        <v>144153.78660172803</v>
      </c>
      <c r="U86" s="790"/>
      <c r="V86" s="791"/>
      <c r="W86" s="792">
        <v>131372.81529814089</v>
      </c>
      <c r="X86" s="790"/>
      <c r="Y86" s="791"/>
      <c r="Z86" s="792">
        <v>98485.650061575376</v>
      </c>
      <c r="AA86" s="790"/>
      <c r="AB86" s="791"/>
      <c r="AC86" s="792">
        <v>112048.48515274884</v>
      </c>
      <c r="AD86" s="790"/>
      <c r="AE86" s="791"/>
      <c r="AF86" s="792">
        <v>118635.79891815491</v>
      </c>
      <c r="AG86" s="790"/>
      <c r="AH86" s="791"/>
      <c r="AI86" s="792">
        <v>150334.60872099659</v>
      </c>
      <c r="AJ86" s="790"/>
      <c r="AK86" s="791"/>
      <c r="AL86" s="792">
        <v>124597.81546201043</v>
      </c>
      <c r="AM86" s="790"/>
      <c r="AN86" s="791"/>
      <c r="AO86" s="792">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1652163.1078523523</v>
      </c>
      <c r="F88" s="796"/>
      <c r="G88" s="797"/>
      <c r="H88" s="798">
        <v>36468.730834264177</v>
      </c>
      <c r="I88" s="796"/>
      <c r="J88" s="797"/>
      <c r="K88" s="798">
        <v>37970.905288324124</v>
      </c>
      <c r="L88" s="796"/>
      <c r="M88" s="797"/>
      <c r="N88" s="798">
        <v>96592.659305834939</v>
      </c>
      <c r="O88" s="796"/>
      <c r="P88" s="797"/>
      <c r="Q88" s="798">
        <v>179870.92393119264</v>
      </c>
      <c r="R88" s="796"/>
      <c r="S88" s="797"/>
      <c r="T88" s="798">
        <v>224469.01678326406</v>
      </c>
      <c r="U88" s="796"/>
      <c r="V88" s="797"/>
      <c r="W88" s="798">
        <v>176228.30625091385</v>
      </c>
      <c r="X88" s="796"/>
      <c r="Y88" s="797"/>
      <c r="Z88" s="798">
        <v>122120.11714934953</v>
      </c>
      <c r="AA88" s="796"/>
      <c r="AB88" s="797"/>
      <c r="AC88" s="798">
        <v>151435.85897538799</v>
      </c>
      <c r="AD88" s="796"/>
      <c r="AE88" s="797"/>
      <c r="AF88" s="798">
        <v>141562.65706423947</v>
      </c>
      <c r="AG88" s="796"/>
      <c r="AH88" s="797"/>
      <c r="AI88" s="798">
        <v>245836.06306092677</v>
      </c>
      <c r="AJ88" s="796"/>
      <c r="AK88" s="797"/>
      <c r="AL88" s="798">
        <v>178340.67690668994</v>
      </c>
      <c r="AM88" s="796"/>
      <c r="AN88" s="797"/>
      <c r="AO88" s="798">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21136589.619951062</v>
      </c>
      <c r="F96" s="735"/>
      <c r="G96" s="736"/>
      <c r="H96" s="805">
        <v>1209133.839645165</v>
      </c>
      <c r="I96" s="735"/>
      <c r="J96" s="736"/>
      <c r="K96" s="805">
        <v>1249297.3762767354</v>
      </c>
      <c r="L96" s="735"/>
      <c r="M96" s="736"/>
      <c r="N96" s="805">
        <v>1879230.7402876783</v>
      </c>
      <c r="O96" s="735"/>
      <c r="P96" s="736"/>
      <c r="Q96" s="805">
        <v>2101187.1269358294</v>
      </c>
      <c r="R96" s="735"/>
      <c r="S96" s="736"/>
      <c r="T96" s="805">
        <v>2139236.7932183691</v>
      </c>
      <c r="U96" s="735"/>
      <c r="V96" s="736"/>
      <c r="W96" s="805">
        <v>1934191.3693624581</v>
      </c>
      <c r="X96" s="735"/>
      <c r="Y96" s="736"/>
      <c r="Z96" s="805">
        <v>1801017.5373735677</v>
      </c>
      <c r="AA96" s="735"/>
      <c r="AB96" s="736"/>
      <c r="AC96" s="805">
        <v>1919394.2769192485</v>
      </c>
      <c r="AD96" s="735"/>
      <c r="AE96" s="736"/>
      <c r="AF96" s="805">
        <v>1896141.7030799182</v>
      </c>
      <c r="AG96" s="735"/>
      <c r="AH96" s="736"/>
      <c r="AI96" s="805">
        <v>1872889.1292405881</v>
      </c>
      <c r="AJ96" s="735"/>
      <c r="AK96" s="736"/>
      <c r="AL96" s="805">
        <v>1824270.111212898</v>
      </c>
      <c r="AM96" s="735"/>
      <c r="AN96" s="736"/>
      <c r="AO96" s="805">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389.96100000000001</v>
      </c>
      <c r="D97" s="740">
        <v>1799.9999999999998</v>
      </c>
      <c r="E97" s="741">
        <v>701929.79999999993</v>
      </c>
      <c r="F97" s="742">
        <v>22.308</v>
      </c>
      <c r="G97" s="740">
        <v>1800</v>
      </c>
      <c r="H97" s="743">
        <v>40154.400000000001</v>
      </c>
      <c r="I97" s="742">
        <v>23.048999999999999</v>
      </c>
      <c r="J97" s="740">
        <v>1800</v>
      </c>
      <c r="K97" s="743">
        <v>41488.199999999997</v>
      </c>
      <c r="L97" s="742">
        <v>34.670999999999999</v>
      </c>
      <c r="M97" s="740">
        <v>1800.0000000000002</v>
      </c>
      <c r="N97" s="743">
        <v>62407.8</v>
      </c>
      <c r="O97" s="742">
        <v>38.765999999999998</v>
      </c>
      <c r="P97" s="740">
        <v>1800.0000000000002</v>
      </c>
      <c r="Q97" s="743">
        <v>69778.8</v>
      </c>
      <c r="R97" s="742">
        <v>39.467999999999996</v>
      </c>
      <c r="S97" s="740">
        <v>1800</v>
      </c>
      <c r="T97" s="743">
        <v>71042.399999999994</v>
      </c>
      <c r="U97" s="742">
        <v>35.685000000000002</v>
      </c>
      <c r="V97" s="740">
        <v>1799.9999999999998</v>
      </c>
      <c r="W97" s="743">
        <v>64233</v>
      </c>
      <c r="X97" s="742">
        <v>33.228000000000002</v>
      </c>
      <c r="Y97" s="740">
        <v>1800</v>
      </c>
      <c r="Z97" s="743">
        <v>59810.400000000001</v>
      </c>
      <c r="AA97" s="742">
        <v>35.411999999999999</v>
      </c>
      <c r="AB97" s="740">
        <v>1800.0000000000002</v>
      </c>
      <c r="AC97" s="743">
        <v>63741.600000000006</v>
      </c>
      <c r="AD97" s="742">
        <v>34.983000000000004</v>
      </c>
      <c r="AE97" s="740">
        <v>1799.9999999999998</v>
      </c>
      <c r="AF97" s="743">
        <v>62969.4</v>
      </c>
      <c r="AG97" s="742">
        <v>34.554000000000002</v>
      </c>
      <c r="AH97" s="740">
        <v>1799.9999999999998</v>
      </c>
      <c r="AI97" s="743">
        <v>62197.2</v>
      </c>
      <c r="AJ97" s="742">
        <v>33.657000000000004</v>
      </c>
      <c r="AK97" s="740">
        <v>1799.9999999999998</v>
      </c>
      <c r="AL97" s="743">
        <v>60582.6</v>
      </c>
      <c r="AM97" s="742">
        <v>24.18</v>
      </c>
      <c r="AN97" s="740">
        <v>1800</v>
      </c>
      <c r="AO97" s="743">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21.997800000000002</v>
      </c>
      <c r="D98" s="740">
        <v>1800</v>
      </c>
      <c r="E98" s="741">
        <v>39596.04</v>
      </c>
      <c r="F98" s="742">
        <v>1.2584</v>
      </c>
      <c r="G98" s="740">
        <v>1800</v>
      </c>
      <c r="H98" s="743">
        <v>2265.12</v>
      </c>
      <c r="I98" s="742">
        <v>1.3002</v>
      </c>
      <c r="J98" s="740">
        <v>1800</v>
      </c>
      <c r="K98" s="743">
        <v>2340.36</v>
      </c>
      <c r="L98" s="742">
        <v>1.9558000000000002</v>
      </c>
      <c r="M98" s="740">
        <v>1799.9999999999998</v>
      </c>
      <c r="N98" s="743">
        <v>3520.44</v>
      </c>
      <c r="O98" s="742">
        <v>2.1867999999999999</v>
      </c>
      <c r="P98" s="740">
        <v>1800.0000000000002</v>
      </c>
      <c r="Q98" s="743">
        <v>3936.2400000000002</v>
      </c>
      <c r="R98" s="742">
        <v>2.2263999999999999</v>
      </c>
      <c r="S98" s="740">
        <v>1800</v>
      </c>
      <c r="T98" s="743">
        <v>4007.52</v>
      </c>
      <c r="U98" s="742">
        <v>2.0129999999999999</v>
      </c>
      <c r="V98" s="740">
        <v>1800.0000000000002</v>
      </c>
      <c r="W98" s="743">
        <v>3623.4</v>
      </c>
      <c r="X98" s="742">
        <v>1.8744000000000001</v>
      </c>
      <c r="Y98" s="740">
        <v>1800</v>
      </c>
      <c r="Z98" s="743">
        <v>3373.92</v>
      </c>
      <c r="AA98" s="742">
        <v>1.9976</v>
      </c>
      <c r="AB98" s="740">
        <v>1800</v>
      </c>
      <c r="AC98" s="743">
        <v>3595.6800000000003</v>
      </c>
      <c r="AD98" s="742">
        <v>1.9734</v>
      </c>
      <c r="AE98" s="740">
        <v>1800</v>
      </c>
      <c r="AF98" s="743">
        <v>3552.12</v>
      </c>
      <c r="AG98" s="742">
        <v>1.9492</v>
      </c>
      <c r="AH98" s="740">
        <v>1800</v>
      </c>
      <c r="AI98" s="743">
        <v>3508.56</v>
      </c>
      <c r="AJ98" s="742">
        <v>1.8986000000000001</v>
      </c>
      <c r="AK98" s="740">
        <v>1800</v>
      </c>
      <c r="AL98" s="743">
        <v>3417.48</v>
      </c>
      <c r="AM98" s="742">
        <v>1.3639999999999999</v>
      </c>
      <c r="AN98" s="740">
        <v>1800</v>
      </c>
      <c r="AO98" s="743">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v>12.998699999999999</v>
      </c>
      <c r="D99" s="740">
        <v>1800</v>
      </c>
      <c r="E99" s="741">
        <v>23397.66</v>
      </c>
      <c r="F99" s="742">
        <v>0.74360000000000004</v>
      </c>
      <c r="G99" s="740">
        <v>1800</v>
      </c>
      <c r="H99" s="743">
        <v>1338.48</v>
      </c>
      <c r="I99" s="742">
        <v>0.76829999999999998</v>
      </c>
      <c r="J99" s="740">
        <v>1800</v>
      </c>
      <c r="K99" s="743">
        <v>1382.94</v>
      </c>
      <c r="L99" s="742">
        <v>1.1557000000000002</v>
      </c>
      <c r="M99" s="740">
        <v>1800</v>
      </c>
      <c r="N99" s="743">
        <v>2080.2600000000002</v>
      </c>
      <c r="O99" s="742">
        <v>1.2922</v>
      </c>
      <c r="P99" s="740">
        <v>1800</v>
      </c>
      <c r="Q99" s="743">
        <v>2325.96</v>
      </c>
      <c r="R99" s="742">
        <v>1.3155999999999999</v>
      </c>
      <c r="S99" s="740">
        <v>1800</v>
      </c>
      <c r="T99" s="743">
        <v>2368.08</v>
      </c>
      <c r="U99" s="742">
        <v>1.1895</v>
      </c>
      <c r="V99" s="740">
        <v>1800</v>
      </c>
      <c r="W99" s="743">
        <v>2141.1</v>
      </c>
      <c r="X99" s="742">
        <v>1.1075999999999999</v>
      </c>
      <c r="Y99" s="740">
        <v>1800.0000000000002</v>
      </c>
      <c r="Z99" s="743">
        <v>1993.68</v>
      </c>
      <c r="AA99" s="742">
        <v>1.1804000000000001</v>
      </c>
      <c r="AB99" s="740">
        <v>1800</v>
      </c>
      <c r="AC99" s="743">
        <v>2124.7200000000003</v>
      </c>
      <c r="AD99" s="742">
        <v>1.1661000000000001</v>
      </c>
      <c r="AE99" s="740">
        <v>1799.9999999999998</v>
      </c>
      <c r="AF99" s="743">
        <v>2098.98</v>
      </c>
      <c r="AG99" s="742">
        <v>1.1517999999999999</v>
      </c>
      <c r="AH99" s="740">
        <v>1800</v>
      </c>
      <c r="AI99" s="743">
        <v>2073.2399999999998</v>
      </c>
      <c r="AJ99" s="742">
        <v>1.1219000000000001</v>
      </c>
      <c r="AK99" s="740">
        <v>1799.9999999999998</v>
      </c>
      <c r="AL99" s="743">
        <v>2019.42</v>
      </c>
      <c r="AM99" s="742">
        <v>0.80600000000000005</v>
      </c>
      <c r="AN99" s="740">
        <v>1799.9999999999998</v>
      </c>
      <c r="AO99" s="743">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424.95749999999998</v>
      </c>
      <c r="D100" s="745">
        <v>1800</v>
      </c>
      <c r="E100" s="746">
        <v>764923.5</v>
      </c>
      <c r="F100" s="744">
        <v>24.310000000000002</v>
      </c>
      <c r="G100" s="745">
        <v>1800.0000000000002</v>
      </c>
      <c r="H100" s="746">
        <v>43758.000000000007</v>
      </c>
      <c r="I100" s="744">
        <v>25.1175</v>
      </c>
      <c r="J100" s="745">
        <v>1800</v>
      </c>
      <c r="K100" s="746">
        <v>45211.5</v>
      </c>
      <c r="L100" s="744">
        <v>37.782500000000006</v>
      </c>
      <c r="M100" s="745">
        <v>1799.9999999999998</v>
      </c>
      <c r="N100" s="746">
        <v>68008.5</v>
      </c>
      <c r="O100" s="744">
        <v>42.244999999999997</v>
      </c>
      <c r="P100" s="745">
        <v>1800.0000000000005</v>
      </c>
      <c r="Q100" s="746">
        <v>76041.000000000015</v>
      </c>
      <c r="R100" s="744">
        <v>43.009999999999991</v>
      </c>
      <c r="S100" s="745">
        <v>1800.0000000000005</v>
      </c>
      <c r="T100" s="746">
        <v>77418</v>
      </c>
      <c r="U100" s="744">
        <v>38.887500000000003</v>
      </c>
      <c r="V100" s="745">
        <v>1799.9999999999998</v>
      </c>
      <c r="W100" s="746">
        <v>69997.5</v>
      </c>
      <c r="X100" s="744">
        <v>36.21</v>
      </c>
      <c r="Y100" s="745">
        <v>1800</v>
      </c>
      <c r="Z100" s="746">
        <v>65178</v>
      </c>
      <c r="AA100" s="744">
        <v>38.589999999999996</v>
      </c>
      <c r="AB100" s="745">
        <v>1800.0000000000002</v>
      </c>
      <c r="AC100" s="746">
        <v>69462</v>
      </c>
      <c r="AD100" s="744">
        <v>38.122500000000002</v>
      </c>
      <c r="AE100" s="745">
        <v>1800</v>
      </c>
      <c r="AF100" s="746">
        <v>68620.5</v>
      </c>
      <c r="AG100" s="744">
        <v>37.655000000000001</v>
      </c>
      <c r="AH100" s="745">
        <v>1800</v>
      </c>
      <c r="AI100" s="746">
        <v>67779</v>
      </c>
      <c r="AJ100" s="744">
        <v>36.677500000000009</v>
      </c>
      <c r="AK100" s="745">
        <v>1799.9999999999995</v>
      </c>
      <c r="AL100" s="746">
        <v>66019.5</v>
      </c>
      <c r="AM100" s="744">
        <v>26.35</v>
      </c>
      <c r="AN100" s="745">
        <v>1800</v>
      </c>
      <c r="AO100" s="746">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434.95650000000001</v>
      </c>
      <c r="D103" s="740">
        <v>400</v>
      </c>
      <c r="E103" s="741">
        <v>173982.6</v>
      </c>
      <c r="F103" s="742">
        <v>24.882000000000001</v>
      </c>
      <c r="G103" s="740">
        <v>399.99999999999994</v>
      </c>
      <c r="H103" s="743">
        <v>9952.7999999999993</v>
      </c>
      <c r="I103" s="742">
        <v>25.708500000000001</v>
      </c>
      <c r="J103" s="740">
        <v>400</v>
      </c>
      <c r="K103" s="743">
        <v>10283.4</v>
      </c>
      <c r="L103" s="742">
        <v>38.671500000000002</v>
      </c>
      <c r="M103" s="740">
        <v>400</v>
      </c>
      <c r="N103" s="743">
        <v>15468.6</v>
      </c>
      <c r="O103" s="742">
        <v>43.239000000000004</v>
      </c>
      <c r="P103" s="740">
        <v>400</v>
      </c>
      <c r="Q103" s="743">
        <v>17295.600000000002</v>
      </c>
      <c r="R103" s="742">
        <v>44.021999999999998</v>
      </c>
      <c r="S103" s="740">
        <v>400</v>
      </c>
      <c r="T103" s="743">
        <v>17608.8</v>
      </c>
      <c r="U103" s="742">
        <v>39.802500000000002</v>
      </c>
      <c r="V103" s="740">
        <v>400</v>
      </c>
      <c r="W103" s="743">
        <v>15921</v>
      </c>
      <c r="X103" s="742">
        <v>37.061999999999998</v>
      </c>
      <c r="Y103" s="740">
        <v>400</v>
      </c>
      <c r="Z103" s="743">
        <v>14824.8</v>
      </c>
      <c r="AA103" s="742">
        <v>39.498000000000005</v>
      </c>
      <c r="AB103" s="740">
        <v>399.99999999999994</v>
      </c>
      <c r="AC103" s="743">
        <v>15799.2</v>
      </c>
      <c r="AD103" s="742">
        <v>39.019500000000001</v>
      </c>
      <c r="AE103" s="740">
        <v>400</v>
      </c>
      <c r="AF103" s="743">
        <v>15607.800000000001</v>
      </c>
      <c r="AG103" s="742">
        <v>38.540999999999997</v>
      </c>
      <c r="AH103" s="740">
        <v>400</v>
      </c>
      <c r="AI103" s="743">
        <v>15416.4</v>
      </c>
      <c r="AJ103" s="742">
        <v>37.540500000000002</v>
      </c>
      <c r="AK103" s="740">
        <v>400</v>
      </c>
      <c r="AL103" s="743">
        <v>15016.2</v>
      </c>
      <c r="AM103" s="742">
        <v>26.97</v>
      </c>
      <c r="AN103" s="740">
        <v>400</v>
      </c>
      <c r="AO103" s="743">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700</v>
      </c>
      <c r="E105" s="741">
        <v>297470.25</v>
      </c>
      <c r="F105" s="742"/>
      <c r="G105" s="740">
        <v>699.99999999999989</v>
      </c>
      <c r="H105" s="743">
        <v>17017</v>
      </c>
      <c r="I105" s="742"/>
      <c r="J105" s="740">
        <v>700</v>
      </c>
      <c r="K105" s="743">
        <v>17582.25</v>
      </c>
      <c r="L105" s="742"/>
      <c r="M105" s="740">
        <v>700</v>
      </c>
      <c r="N105" s="743">
        <v>26447.750000000004</v>
      </c>
      <c r="O105" s="742"/>
      <c r="P105" s="740">
        <v>700</v>
      </c>
      <c r="Q105" s="743">
        <v>29571.5</v>
      </c>
      <c r="R105" s="742"/>
      <c r="S105" s="740">
        <v>700</v>
      </c>
      <c r="T105" s="743">
        <v>30106.999999999993</v>
      </c>
      <c r="U105" s="742"/>
      <c r="V105" s="740">
        <v>700</v>
      </c>
      <c r="W105" s="743">
        <v>27221.250000000004</v>
      </c>
      <c r="X105" s="742"/>
      <c r="Y105" s="740">
        <v>700</v>
      </c>
      <c r="Z105" s="743">
        <v>25347</v>
      </c>
      <c r="AA105" s="742"/>
      <c r="AB105" s="740">
        <v>700</v>
      </c>
      <c r="AC105" s="743">
        <v>27012.999999999996</v>
      </c>
      <c r="AD105" s="742"/>
      <c r="AE105" s="740">
        <v>700</v>
      </c>
      <c r="AF105" s="743">
        <v>26685.75</v>
      </c>
      <c r="AG105" s="742"/>
      <c r="AH105" s="740">
        <v>700</v>
      </c>
      <c r="AI105" s="743">
        <v>26358.5</v>
      </c>
      <c r="AJ105" s="742"/>
      <c r="AK105" s="740">
        <v>700</v>
      </c>
      <c r="AL105" s="743">
        <v>25674.250000000007</v>
      </c>
      <c r="AM105" s="742"/>
      <c r="AN105" s="740">
        <v>700</v>
      </c>
      <c r="AO105" s="743">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1450</v>
      </c>
      <c r="E106" s="741">
        <v>616188.375</v>
      </c>
      <c r="F106" s="742"/>
      <c r="G106" s="740">
        <v>1449.9999999999998</v>
      </c>
      <c r="H106" s="743">
        <v>35249.5</v>
      </c>
      <c r="I106" s="742"/>
      <c r="J106" s="740">
        <v>1450</v>
      </c>
      <c r="K106" s="743">
        <v>36420.375</v>
      </c>
      <c r="L106" s="742"/>
      <c r="M106" s="740">
        <v>1450</v>
      </c>
      <c r="N106" s="743">
        <v>54784.625000000007</v>
      </c>
      <c r="O106" s="742"/>
      <c r="P106" s="740">
        <v>1450</v>
      </c>
      <c r="Q106" s="743">
        <v>61255.249999999993</v>
      </c>
      <c r="R106" s="742"/>
      <c r="S106" s="740">
        <v>1450</v>
      </c>
      <c r="T106" s="743">
        <v>62364.499999999985</v>
      </c>
      <c r="U106" s="742"/>
      <c r="V106" s="740">
        <v>1450</v>
      </c>
      <c r="W106" s="743">
        <v>56386.875000000007</v>
      </c>
      <c r="X106" s="742"/>
      <c r="Y106" s="740">
        <v>1450</v>
      </c>
      <c r="Z106" s="743">
        <v>52504.5</v>
      </c>
      <c r="AA106" s="742"/>
      <c r="AB106" s="740">
        <v>1450</v>
      </c>
      <c r="AC106" s="743">
        <v>55955.499999999993</v>
      </c>
      <c r="AD106" s="742"/>
      <c r="AE106" s="740">
        <v>1450</v>
      </c>
      <c r="AF106" s="743">
        <v>55277.625</v>
      </c>
      <c r="AG106" s="742"/>
      <c r="AH106" s="740">
        <v>1450</v>
      </c>
      <c r="AI106" s="743">
        <v>54599.75</v>
      </c>
      <c r="AJ106" s="742"/>
      <c r="AK106" s="740">
        <v>1450</v>
      </c>
      <c r="AL106" s="743">
        <v>53182.375000000015</v>
      </c>
      <c r="AM106" s="742"/>
      <c r="AN106" s="740">
        <v>1450</v>
      </c>
      <c r="AO106" s="743">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21247.875</v>
      </c>
      <c r="F107" s="742"/>
      <c r="G107" s="807">
        <v>49.999999999999993</v>
      </c>
      <c r="H107" s="743">
        <v>1215.5</v>
      </c>
      <c r="I107" s="742"/>
      <c r="J107" s="807">
        <v>50</v>
      </c>
      <c r="K107" s="743">
        <v>1255.875</v>
      </c>
      <c r="L107" s="742"/>
      <c r="M107" s="807">
        <v>50</v>
      </c>
      <c r="N107" s="743">
        <v>1889.1250000000002</v>
      </c>
      <c r="O107" s="742"/>
      <c r="P107" s="807">
        <v>50</v>
      </c>
      <c r="Q107" s="743">
        <v>2112.25</v>
      </c>
      <c r="R107" s="742"/>
      <c r="S107" s="807">
        <v>50</v>
      </c>
      <c r="T107" s="743">
        <v>2150.4999999999995</v>
      </c>
      <c r="U107" s="742"/>
      <c r="V107" s="807">
        <v>50</v>
      </c>
      <c r="W107" s="743">
        <v>1944.3750000000002</v>
      </c>
      <c r="X107" s="742"/>
      <c r="Y107" s="807">
        <v>50</v>
      </c>
      <c r="Z107" s="743">
        <v>1810.5</v>
      </c>
      <c r="AA107" s="742"/>
      <c r="AB107" s="807">
        <v>50</v>
      </c>
      <c r="AC107" s="743">
        <v>1929.4999999999998</v>
      </c>
      <c r="AD107" s="742"/>
      <c r="AE107" s="807">
        <v>50</v>
      </c>
      <c r="AF107" s="743">
        <v>1906.125</v>
      </c>
      <c r="AG107" s="742"/>
      <c r="AH107" s="807">
        <v>50</v>
      </c>
      <c r="AI107" s="743">
        <v>1882.75</v>
      </c>
      <c r="AJ107" s="742"/>
      <c r="AK107" s="807">
        <v>50</v>
      </c>
      <c r="AL107" s="743">
        <v>1833.8750000000005</v>
      </c>
      <c r="AM107" s="742"/>
      <c r="AN107" s="807">
        <v>50</v>
      </c>
      <c r="AO107" s="743">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424.95749999999998</v>
      </c>
      <c r="D108" s="745">
        <v>2200</v>
      </c>
      <c r="E108" s="746">
        <v>934906.5</v>
      </c>
      <c r="F108" s="744">
        <v>24.310000000000002</v>
      </c>
      <c r="G108" s="745">
        <v>2200</v>
      </c>
      <c r="H108" s="746">
        <v>53482</v>
      </c>
      <c r="I108" s="744">
        <v>25.1175</v>
      </c>
      <c r="J108" s="745">
        <v>2200</v>
      </c>
      <c r="K108" s="746">
        <v>55258.5</v>
      </c>
      <c r="L108" s="744">
        <v>37.782500000000006</v>
      </c>
      <c r="M108" s="745">
        <v>2200</v>
      </c>
      <c r="N108" s="746">
        <v>83121.500000000015</v>
      </c>
      <c r="O108" s="744">
        <v>42.244999999999997</v>
      </c>
      <c r="P108" s="745">
        <v>2200</v>
      </c>
      <c r="Q108" s="746">
        <v>92939</v>
      </c>
      <c r="R108" s="744">
        <v>43.009999999999991</v>
      </c>
      <c r="S108" s="745">
        <v>2200</v>
      </c>
      <c r="T108" s="746">
        <v>94621.999999999971</v>
      </c>
      <c r="U108" s="744">
        <v>38.887500000000003</v>
      </c>
      <c r="V108" s="745">
        <v>2200</v>
      </c>
      <c r="W108" s="746">
        <v>85552.500000000015</v>
      </c>
      <c r="X108" s="744">
        <v>36.21</v>
      </c>
      <c r="Y108" s="745">
        <v>2200</v>
      </c>
      <c r="Z108" s="746">
        <v>79662</v>
      </c>
      <c r="AA108" s="744">
        <v>38.589999999999996</v>
      </c>
      <c r="AB108" s="745">
        <v>2200</v>
      </c>
      <c r="AC108" s="746">
        <v>84897.999999999985</v>
      </c>
      <c r="AD108" s="744">
        <v>38.122500000000002</v>
      </c>
      <c r="AE108" s="745">
        <v>2200</v>
      </c>
      <c r="AF108" s="746">
        <v>83869.5</v>
      </c>
      <c r="AG108" s="744">
        <v>37.655000000000001</v>
      </c>
      <c r="AH108" s="745">
        <v>2200</v>
      </c>
      <c r="AI108" s="746">
        <v>82841</v>
      </c>
      <c r="AJ108" s="744">
        <v>36.677500000000009</v>
      </c>
      <c r="AK108" s="745">
        <v>2200.0000000000005</v>
      </c>
      <c r="AL108" s="746">
        <v>80690.500000000029</v>
      </c>
      <c r="AM108" s="744">
        <v>26.35</v>
      </c>
      <c r="AN108" s="745">
        <v>2200</v>
      </c>
      <c r="AO108" s="746">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859.91399999999999</v>
      </c>
      <c r="D111" s="760">
        <v>2179.0697674418607</v>
      </c>
      <c r="E111" s="761">
        <v>1873812.6</v>
      </c>
      <c r="F111" s="759">
        <v>49.192000000000007</v>
      </c>
      <c r="G111" s="760">
        <v>2179.0697674418602</v>
      </c>
      <c r="H111" s="761">
        <v>107192.8</v>
      </c>
      <c r="I111" s="759">
        <v>50.826000000000001</v>
      </c>
      <c r="J111" s="760">
        <v>2179.0697674418602</v>
      </c>
      <c r="K111" s="761">
        <v>110753.4</v>
      </c>
      <c r="L111" s="759">
        <v>76.454000000000008</v>
      </c>
      <c r="M111" s="760">
        <v>2179.0697674418602</v>
      </c>
      <c r="N111" s="761">
        <v>166598.6</v>
      </c>
      <c r="O111" s="759">
        <v>85.484000000000009</v>
      </c>
      <c r="P111" s="760">
        <v>2179.0697674418602</v>
      </c>
      <c r="Q111" s="761">
        <v>186275.6</v>
      </c>
      <c r="R111" s="759">
        <v>87.031999999999982</v>
      </c>
      <c r="S111" s="760">
        <v>2179.0697674418602</v>
      </c>
      <c r="T111" s="761">
        <v>189648.79999999996</v>
      </c>
      <c r="U111" s="759">
        <v>78.69</v>
      </c>
      <c r="V111" s="760">
        <v>2179.0697674418607</v>
      </c>
      <c r="W111" s="761">
        <v>171471</v>
      </c>
      <c r="X111" s="759">
        <v>73.271999999999991</v>
      </c>
      <c r="Y111" s="760">
        <v>2179.0697674418607</v>
      </c>
      <c r="Z111" s="761">
        <v>159664.79999999999</v>
      </c>
      <c r="AA111" s="759">
        <v>78.087999999999994</v>
      </c>
      <c r="AB111" s="760">
        <v>2179.0697674418607</v>
      </c>
      <c r="AC111" s="761">
        <v>170159.2</v>
      </c>
      <c r="AD111" s="759">
        <v>77.141999999999996</v>
      </c>
      <c r="AE111" s="760">
        <v>2179.0697674418602</v>
      </c>
      <c r="AF111" s="761">
        <v>168097.8</v>
      </c>
      <c r="AG111" s="759">
        <v>76.195999999999998</v>
      </c>
      <c r="AH111" s="760">
        <v>2179.0697674418602</v>
      </c>
      <c r="AI111" s="761">
        <v>166036.4</v>
      </c>
      <c r="AJ111" s="759">
        <v>74.218000000000018</v>
      </c>
      <c r="AK111" s="760">
        <v>2179.0697674418607</v>
      </c>
      <c r="AL111" s="761">
        <v>161726.20000000004</v>
      </c>
      <c r="AM111" s="759">
        <v>53.32</v>
      </c>
      <c r="AN111" s="760">
        <v>2179.0697674418607</v>
      </c>
      <c r="AO111" s="761">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0.33000000000000007</v>
      </c>
      <c r="D115" s="770">
        <v>612.742718446602</v>
      </c>
      <c r="E115" s="758">
        <v>252424.75500000003</v>
      </c>
      <c r="F115" s="769">
        <v>0.33</v>
      </c>
      <c r="G115" s="770">
        <v>612.742718446602</v>
      </c>
      <c r="H115" s="771">
        <v>14440.140000000003</v>
      </c>
      <c r="I115" s="769">
        <v>0.33</v>
      </c>
      <c r="J115" s="770">
        <v>612.742718446602</v>
      </c>
      <c r="K115" s="771">
        <v>14919.795</v>
      </c>
      <c r="L115" s="769">
        <v>0.33</v>
      </c>
      <c r="M115" s="770">
        <v>612.74271844660188</v>
      </c>
      <c r="N115" s="771">
        <v>22442.805</v>
      </c>
      <c r="O115" s="769">
        <v>0.33</v>
      </c>
      <c r="P115" s="770">
        <v>612.74271844660211</v>
      </c>
      <c r="Q115" s="771">
        <v>25093.530000000006</v>
      </c>
      <c r="R115" s="769">
        <v>0.33</v>
      </c>
      <c r="S115" s="770">
        <v>612.74271844660211</v>
      </c>
      <c r="T115" s="771">
        <v>25547.940000000002</v>
      </c>
      <c r="U115" s="769">
        <v>0.33</v>
      </c>
      <c r="V115" s="770">
        <v>612.74271844660188</v>
      </c>
      <c r="W115" s="771">
        <v>23099.174999999999</v>
      </c>
      <c r="X115" s="769">
        <v>0.33</v>
      </c>
      <c r="Y115" s="770">
        <v>612.74271844660188</v>
      </c>
      <c r="Z115" s="771">
        <v>21508.74</v>
      </c>
      <c r="AA115" s="769">
        <v>0.33</v>
      </c>
      <c r="AB115" s="770">
        <v>612.74271844660211</v>
      </c>
      <c r="AC115" s="771">
        <v>22922.460000000003</v>
      </c>
      <c r="AD115" s="769">
        <v>0.33</v>
      </c>
      <c r="AE115" s="770">
        <v>612.74271844660188</v>
      </c>
      <c r="AF115" s="771">
        <v>22644.764999999999</v>
      </c>
      <c r="AG115" s="769">
        <v>0.33</v>
      </c>
      <c r="AH115" s="770">
        <v>612.74271844660188</v>
      </c>
      <c r="AI115" s="771">
        <v>22367.07</v>
      </c>
      <c r="AJ115" s="769">
        <v>0.33</v>
      </c>
      <c r="AK115" s="770">
        <v>612.74271844660188</v>
      </c>
      <c r="AL115" s="771">
        <v>21786.435000000001</v>
      </c>
      <c r="AM115" s="769">
        <v>0.33</v>
      </c>
      <c r="AN115" s="770">
        <v>612.742718446602</v>
      </c>
      <c r="AO115" s="771">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680.82524271844659</v>
      </c>
      <c r="E116" s="774">
        <v>280471.95</v>
      </c>
      <c r="F116" s="772">
        <v>0.3</v>
      </c>
      <c r="G116" s="773">
        <v>680.82524271844648</v>
      </c>
      <c r="H116" s="775">
        <v>16044.599999999999</v>
      </c>
      <c r="I116" s="772">
        <v>0.3</v>
      </c>
      <c r="J116" s="773">
        <v>680.82524271844659</v>
      </c>
      <c r="K116" s="775">
        <v>16577.55</v>
      </c>
      <c r="L116" s="772">
        <v>0.3</v>
      </c>
      <c r="M116" s="773">
        <v>680.8252427184467</v>
      </c>
      <c r="N116" s="775">
        <v>24936.450000000004</v>
      </c>
      <c r="O116" s="772">
        <v>0.3</v>
      </c>
      <c r="P116" s="773">
        <v>680.8252427184467</v>
      </c>
      <c r="Q116" s="775">
        <v>27881.7</v>
      </c>
      <c r="R116" s="772">
        <v>0.3</v>
      </c>
      <c r="S116" s="773">
        <v>680.82524271844648</v>
      </c>
      <c r="T116" s="775">
        <v>28386.599999999991</v>
      </c>
      <c r="U116" s="772">
        <v>0.3</v>
      </c>
      <c r="V116" s="773">
        <v>680.8252427184467</v>
      </c>
      <c r="W116" s="775">
        <v>25665.750000000004</v>
      </c>
      <c r="X116" s="772">
        <v>0.3</v>
      </c>
      <c r="Y116" s="773">
        <v>680.82524271844648</v>
      </c>
      <c r="Z116" s="775">
        <v>23898.6</v>
      </c>
      <c r="AA116" s="772">
        <v>0.3</v>
      </c>
      <c r="AB116" s="773">
        <v>680.82524271844648</v>
      </c>
      <c r="AC116" s="775">
        <v>25469.399999999994</v>
      </c>
      <c r="AD116" s="772">
        <v>0.3</v>
      </c>
      <c r="AE116" s="773">
        <v>680.82524271844648</v>
      </c>
      <c r="AF116" s="775">
        <v>25160.85</v>
      </c>
      <c r="AG116" s="772">
        <v>0.3</v>
      </c>
      <c r="AH116" s="773">
        <v>680.82524271844659</v>
      </c>
      <c r="AI116" s="775">
        <v>24852.3</v>
      </c>
      <c r="AJ116" s="772">
        <v>0.3</v>
      </c>
      <c r="AK116" s="773">
        <v>680.8252427184467</v>
      </c>
      <c r="AL116" s="775">
        <v>24207.150000000009</v>
      </c>
      <c r="AM116" s="772">
        <v>0.3</v>
      </c>
      <c r="AN116" s="773">
        <v>680.82524271844659</v>
      </c>
      <c r="AO116" s="775">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10.315533980582526</v>
      </c>
      <c r="E117" s="758">
        <v>4249.5750000000007</v>
      </c>
      <c r="F117" s="747"/>
      <c r="G117" s="770">
        <v>10.315533980582524</v>
      </c>
      <c r="H117" s="771">
        <v>243.10000000000002</v>
      </c>
      <c r="I117" s="747"/>
      <c r="J117" s="770">
        <v>10.315533980582526</v>
      </c>
      <c r="K117" s="771">
        <v>251.17500000000001</v>
      </c>
      <c r="L117" s="747"/>
      <c r="M117" s="770">
        <v>10.315533980582524</v>
      </c>
      <c r="N117" s="771">
        <v>377.82500000000005</v>
      </c>
      <c r="O117" s="747"/>
      <c r="P117" s="770">
        <v>10.315533980582526</v>
      </c>
      <c r="Q117" s="771">
        <v>422.45</v>
      </c>
      <c r="R117" s="747"/>
      <c r="S117" s="770">
        <v>10.315533980582524</v>
      </c>
      <c r="T117" s="771">
        <v>430.09999999999991</v>
      </c>
      <c r="U117" s="747"/>
      <c r="V117" s="770">
        <v>10.315533980582524</v>
      </c>
      <c r="W117" s="771">
        <v>388.875</v>
      </c>
      <c r="X117" s="747"/>
      <c r="Y117" s="770">
        <v>10.315533980582524</v>
      </c>
      <c r="Z117" s="771">
        <v>362.1</v>
      </c>
      <c r="AA117" s="747"/>
      <c r="AB117" s="770">
        <v>10.315533980582524</v>
      </c>
      <c r="AC117" s="771">
        <v>385.9</v>
      </c>
      <c r="AD117" s="747"/>
      <c r="AE117" s="770">
        <v>10.315533980582524</v>
      </c>
      <c r="AF117" s="771">
        <v>381.22500000000002</v>
      </c>
      <c r="AG117" s="747"/>
      <c r="AH117" s="770">
        <v>10.315533980582524</v>
      </c>
      <c r="AI117" s="771">
        <v>376.55</v>
      </c>
      <c r="AJ117" s="747"/>
      <c r="AK117" s="770">
        <v>10.315533980582526</v>
      </c>
      <c r="AL117" s="771">
        <v>366.77500000000009</v>
      </c>
      <c r="AM117" s="747"/>
      <c r="AN117" s="770">
        <v>10.315533980582524</v>
      </c>
      <c r="AO117" s="771">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7.2208737864077674</v>
      </c>
      <c r="E118" s="758">
        <v>2974.7025000000003</v>
      </c>
      <c r="F118" s="747"/>
      <c r="G118" s="770">
        <v>7.2208737864077674</v>
      </c>
      <c r="H118" s="771">
        <v>170.17000000000002</v>
      </c>
      <c r="I118" s="747"/>
      <c r="J118" s="770">
        <v>7.2208737864077666</v>
      </c>
      <c r="K118" s="771">
        <v>175.82249999999999</v>
      </c>
      <c r="L118" s="747"/>
      <c r="M118" s="770">
        <v>7.2208737864077666</v>
      </c>
      <c r="N118" s="771">
        <v>264.47750000000002</v>
      </c>
      <c r="O118" s="747"/>
      <c r="P118" s="770">
        <v>7.2208737864077674</v>
      </c>
      <c r="Q118" s="771">
        <v>295.71499999999997</v>
      </c>
      <c r="R118" s="747"/>
      <c r="S118" s="770">
        <v>7.2208737864077666</v>
      </c>
      <c r="T118" s="771">
        <v>301.06999999999994</v>
      </c>
      <c r="U118" s="747"/>
      <c r="V118" s="770">
        <v>7.2208737864077674</v>
      </c>
      <c r="W118" s="771">
        <v>272.21250000000003</v>
      </c>
      <c r="X118" s="747"/>
      <c r="Y118" s="770">
        <v>7.2208737864077666</v>
      </c>
      <c r="Z118" s="771">
        <v>253.47</v>
      </c>
      <c r="AA118" s="747"/>
      <c r="AB118" s="770">
        <v>7.2208737864077674</v>
      </c>
      <c r="AC118" s="771">
        <v>270.13</v>
      </c>
      <c r="AD118" s="747"/>
      <c r="AE118" s="770">
        <v>7.2208737864077666</v>
      </c>
      <c r="AF118" s="771">
        <v>266.85750000000002</v>
      </c>
      <c r="AG118" s="747"/>
      <c r="AH118" s="770">
        <v>7.2208737864077683</v>
      </c>
      <c r="AI118" s="771">
        <v>263.58500000000004</v>
      </c>
      <c r="AJ118" s="747"/>
      <c r="AK118" s="770">
        <v>7.2208737864077674</v>
      </c>
      <c r="AL118" s="771">
        <v>256.74250000000006</v>
      </c>
      <c r="AM118" s="747"/>
      <c r="AN118" s="770">
        <v>7.2208737864077674</v>
      </c>
      <c r="AO118" s="771">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167.11165048543691</v>
      </c>
      <c r="E119" s="774">
        <v>68843.115000000005</v>
      </c>
      <c r="F119" s="776"/>
      <c r="G119" s="773">
        <v>167.11165048543688</v>
      </c>
      <c r="H119" s="775">
        <v>3938.2200000000003</v>
      </c>
      <c r="I119" s="776"/>
      <c r="J119" s="773">
        <v>167.11165048543688</v>
      </c>
      <c r="K119" s="775">
        <v>4069.0349999999999</v>
      </c>
      <c r="L119" s="776"/>
      <c r="M119" s="773">
        <v>167.11165048543691</v>
      </c>
      <c r="N119" s="775">
        <v>6120.7650000000012</v>
      </c>
      <c r="O119" s="776"/>
      <c r="P119" s="773">
        <v>167.11165048543691</v>
      </c>
      <c r="Q119" s="775">
        <v>6843.69</v>
      </c>
      <c r="R119" s="776"/>
      <c r="S119" s="773">
        <v>167.11165048543688</v>
      </c>
      <c r="T119" s="775">
        <v>6967.619999999999</v>
      </c>
      <c r="U119" s="776"/>
      <c r="V119" s="773">
        <v>167.11165048543691</v>
      </c>
      <c r="W119" s="775">
        <v>6299.7750000000005</v>
      </c>
      <c r="X119" s="776"/>
      <c r="Y119" s="773">
        <v>167.11165048543688</v>
      </c>
      <c r="Z119" s="775">
        <v>5866.02</v>
      </c>
      <c r="AA119" s="776"/>
      <c r="AB119" s="773">
        <v>167.11165048543688</v>
      </c>
      <c r="AC119" s="775">
        <v>6251.579999999999</v>
      </c>
      <c r="AD119" s="776"/>
      <c r="AE119" s="773">
        <v>167.11165048543688</v>
      </c>
      <c r="AF119" s="775">
        <v>6175.8450000000003</v>
      </c>
      <c r="AG119" s="776"/>
      <c r="AH119" s="773">
        <v>167.11165048543691</v>
      </c>
      <c r="AI119" s="775">
        <v>6100.1100000000006</v>
      </c>
      <c r="AJ119" s="776"/>
      <c r="AK119" s="773">
        <v>167.11165048543688</v>
      </c>
      <c r="AL119" s="775">
        <v>5941.755000000001</v>
      </c>
      <c r="AM119" s="776"/>
      <c r="AN119" s="773">
        <v>167.11165048543688</v>
      </c>
      <c r="AO119" s="775">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338.20918499616954</v>
      </c>
      <c r="E120" s="758">
        <v>139328.25</v>
      </c>
      <c r="F120" s="747"/>
      <c r="G120" s="770">
        <v>539.79394392015752</v>
      </c>
      <c r="H120" s="771">
        <v>12721</v>
      </c>
      <c r="I120" s="747"/>
      <c r="J120" s="770">
        <v>519.12383158378918</v>
      </c>
      <c r="K120" s="771">
        <v>12640.25</v>
      </c>
      <c r="L120" s="747"/>
      <c r="M120" s="770">
        <v>310.5308135026811</v>
      </c>
      <c r="N120" s="771">
        <v>11373.75</v>
      </c>
      <c r="O120" s="747"/>
      <c r="P120" s="770">
        <v>266.83157195600791</v>
      </c>
      <c r="Q120" s="771">
        <v>10927.5</v>
      </c>
      <c r="R120" s="747"/>
      <c r="S120" s="770">
        <v>260.25077708277377</v>
      </c>
      <c r="T120" s="771">
        <v>10851</v>
      </c>
      <c r="U120" s="747"/>
      <c r="V120" s="770">
        <v>298.77579712451586</v>
      </c>
      <c r="W120" s="771">
        <v>11263.25</v>
      </c>
      <c r="X120" s="747"/>
      <c r="Y120" s="770">
        <v>328.4960572496467</v>
      </c>
      <c r="Z120" s="771">
        <v>11531</v>
      </c>
      <c r="AA120" s="747"/>
      <c r="AB120" s="770">
        <v>301.87438518455156</v>
      </c>
      <c r="AC120" s="771">
        <v>11293</v>
      </c>
      <c r="AD120" s="747"/>
      <c r="AE120" s="770">
        <v>306.84130488900433</v>
      </c>
      <c r="AF120" s="771">
        <v>11339.75</v>
      </c>
      <c r="AG120" s="747"/>
      <c r="AH120" s="770">
        <v>311.93155668544131</v>
      </c>
      <c r="AI120" s="771">
        <v>11386.5</v>
      </c>
      <c r="AJ120" s="747"/>
      <c r="AK120" s="770">
        <v>322.99412750734058</v>
      </c>
      <c r="AL120" s="771">
        <v>11484.25</v>
      </c>
      <c r="AM120" s="747"/>
      <c r="AN120" s="770">
        <v>490.01722518008143</v>
      </c>
      <c r="AO120" s="771">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222.85584559114088</v>
      </c>
      <c r="E121" s="758">
        <v>91807.42672271168</v>
      </c>
      <c r="F121" s="747"/>
      <c r="G121" s="770">
        <v>266.23544990963137</v>
      </c>
      <c r="H121" s="771">
        <v>6274.2111067503365</v>
      </c>
      <c r="I121" s="747"/>
      <c r="J121" s="770">
        <v>327.21310523207296</v>
      </c>
      <c r="K121" s="771">
        <v>7967.377341916791</v>
      </c>
      <c r="L121" s="747"/>
      <c r="M121" s="770">
        <v>233.81684341378229</v>
      </c>
      <c r="N121" s="771">
        <v>8563.9627603479221</v>
      </c>
      <c r="O121" s="747"/>
      <c r="P121" s="770">
        <v>211.61518983719517</v>
      </c>
      <c r="Q121" s="771">
        <v>8666.2345463646852</v>
      </c>
      <c r="R121" s="747"/>
      <c r="S121" s="770">
        <v>194.63293044274809</v>
      </c>
      <c r="T121" s="771">
        <v>8115.1032550521149</v>
      </c>
      <c r="U121" s="747"/>
      <c r="V121" s="770">
        <v>205.77091633490997</v>
      </c>
      <c r="W121" s="771">
        <v>7757.1520039934358</v>
      </c>
      <c r="X121" s="747"/>
      <c r="Y121" s="770">
        <v>230.05067727059608</v>
      </c>
      <c r="Z121" s="771">
        <v>8075.3308938233722</v>
      </c>
      <c r="AA121" s="747"/>
      <c r="AB121" s="770">
        <v>214.19185099641138</v>
      </c>
      <c r="AC121" s="771">
        <v>8012.8314690353509</v>
      </c>
      <c r="AD121" s="747"/>
      <c r="AE121" s="770">
        <v>215.12734044028448</v>
      </c>
      <c r="AF121" s="771">
        <v>7950.3320442473296</v>
      </c>
      <c r="AG121" s="747"/>
      <c r="AH121" s="770">
        <v>214.21824466845268</v>
      </c>
      <c r="AI121" s="771">
        <v>7819.6514287814616</v>
      </c>
      <c r="AJ121" s="747"/>
      <c r="AK121" s="770">
        <v>181.09615131104871</v>
      </c>
      <c r="AL121" s="771">
        <v>6438.9823175551246</v>
      </c>
      <c r="AM121" s="747"/>
      <c r="AN121" s="770">
        <v>241.39749275147776</v>
      </c>
      <c r="AO121" s="771">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0.44833713586017709</v>
      </c>
      <c r="E125" s="779">
        <v>840099.77422271168</v>
      </c>
      <c r="F125" s="777" t="s">
        <v>119</v>
      </c>
      <c r="G125" s="778">
        <v>0.50219269490814988</v>
      </c>
      <c r="H125" s="779">
        <v>53831.441106750332</v>
      </c>
      <c r="I125" s="777" t="s">
        <v>119</v>
      </c>
      <c r="J125" s="778">
        <v>0.51105433189334859</v>
      </c>
      <c r="K125" s="779">
        <v>56601.004841916794</v>
      </c>
      <c r="L125" s="777" t="s">
        <v>119</v>
      </c>
      <c r="M125" s="778">
        <v>0.44466181144588202</v>
      </c>
      <c r="N125" s="779">
        <v>74080.035260347926</v>
      </c>
      <c r="O125" s="777" t="s">
        <v>119</v>
      </c>
      <c r="P125" s="778">
        <v>0.4301734609705441</v>
      </c>
      <c r="Q125" s="779">
        <v>80130.819546364684</v>
      </c>
      <c r="R125" s="777" t="s">
        <v>119</v>
      </c>
      <c r="S125" s="778">
        <v>0.42499310965875936</v>
      </c>
      <c r="T125" s="779">
        <v>80599.433255052107</v>
      </c>
      <c r="U125" s="777" t="s">
        <v>119</v>
      </c>
      <c r="V125" s="778">
        <v>0.43591155066450565</v>
      </c>
      <c r="W125" s="779">
        <v>74746.189503993446</v>
      </c>
      <c r="X125" s="777" t="s">
        <v>119</v>
      </c>
      <c r="Y125" s="778">
        <v>0.44778348699164355</v>
      </c>
      <c r="Z125" s="779">
        <v>71495.260893823361</v>
      </c>
      <c r="AA125" s="777" t="s">
        <v>119</v>
      </c>
      <c r="AB125" s="778">
        <v>0.43844412449656178</v>
      </c>
      <c r="AC125" s="779">
        <v>74605.301469035359</v>
      </c>
      <c r="AD125" s="777" t="s">
        <v>119</v>
      </c>
      <c r="AE125" s="778">
        <v>0.4397417726124157</v>
      </c>
      <c r="AF125" s="779">
        <v>73919.62454424733</v>
      </c>
      <c r="AG125" s="777" t="s">
        <v>119</v>
      </c>
      <c r="AH125" s="778">
        <v>0.44066100221867888</v>
      </c>
      <c r="AI125" s="779">
        <v>73165.766428781455</v>
      </c>
      <c r="AJ125" s="777" t="s">
        <v>119</v>
      </c>
      <c r="AK125" s="778">
        <v>0.43581120324075584</v>
      </c>
      <c r="AL125" s="779">
        <v>70482.089817555141</v>
      </c>
      <c r="AM125" s="777" t="s">
        <v>119</v>
      </c>
      <c r="AN125" s="778">
        <v>0.48578861461462236</v>
      </c>
      <c r="AO125" s="779">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157964.1</v>
      </c>
      <c r="F126" s="747"/>
      <c r="G126" s="757"/>
      <c r="H126" s="771">
        <v>12590.7</v>
      </c>
      <c r="I126" s="747"/>
      <c r="J126" s="757"/>
      <c r="K126" s="771">
        <v>12590.7</v>
      </c>
      <c r="L126" s="747"/>
      <c r="M126" s="757"/>
      <c r="N126" s="771">
        <v>14309.625</v>
      </c>
      <c r="O126" s="747"/>
      <c r="P126" s="757"/>
      <c r="Q126" s="771">
        <v>12590.7</v>
      </c>
      <c r="R126" s="747"/>
      <c r="S126" s="757"/>
      <c r="T126" s="771">
        <v>14309.625</v>
      </c>
      <c r="U126" s="747"/>
      <c r="V126" s="757"/>
      <c r="W126" s="771">
        <v>12590.7</v>
      </c>
      <c r="X126" s="747"/>
      <c r="Y126" s="757"/>
      <c r="Z126" s="771">
        <v>12590.7</v>
      </c>
      <c r="AA126" s="747"/>
      <c r="AB126" s="757"/>
      <c r="AC126" s="771">
        <v>14309.625</v>
      </c>
      <c r="AD126" s="747"/>
      <c r="AE126" s="757"/>
      <c r="AF126" s="771">
        <v>12590.7</v>
      </c>
      <c r="AG126" s="747"/>
      <c r="AH126" s="757"/>
      <c r="AI126" s="771">
        <v>12590.7</v>
      </c>
      <c r="AJ126" s="747"/>
      <c r="AK126" s="757"/>
      <c r="AL126" s="771">
        <v>14309.625</v>
      </c>
      <c r="AM126" s="747"/>
      <c r="AN126" s="757"/>
      <c r="AO126" s="771">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54315.031999999999</v>
      </c>
      <c r="F127" s="747"/>
      <c r="G127" s="757"/>
      <c r="H127" s="771">
        <v>4255.0024615384618</v>
      </c>
      <c r="I127" s="747"/>
      <c r="J127" s="757"/>
      <c r="K127" s="771">
        <v>4255.0024615384618</v>
      </c>
      <c r="L127" s="747"/>
      <c r="M127" s="757"/>
      <c r="N127" s="771">
        <v>5068.7530769230771</v>
      </c>
      <c r="O127" s="747"/>
      <c r="P127" s="757"/>
      <c r="Q127" s="771">
        <v>4255.0024615384618</v>
      </c>
      <c r="R127" s="747"/>
      <c r="S127" s="757"/>
      <c r="T127" s="771">
        <v>5068.7530769230771</v>
      </c>
      <c r="U127" s="747"/>
      <c r="V127" s="757"/>
      <c r="W127" s="771">
        <v>4255.0024615384618</v>
      </c>
      <c r="X127" s="747"/>
      <c r="Y127" s="757"/>
      <c r="Z127" s="771">
        <v>4255.0024615384618</v>
      </c>
      <c r="AA127" s="747"/>
      <c r="AB127" s="757"/>
      <c r="AC127" s="771">
        <v>5068.7530769230771</v>
      </c>
      <c r="AD127" s="747"/>
      <c r="AE127" s="757"/>
      <c r="AF127" s="771">
        <v>4255.0024615384618</v>
      </c>
      <c r="AG127" s="747"/>
      <c r="AH127" s="757"/>
      <c r="AI127" s="771">
        <v>4255.0024615384618</v>
      </c>
      <c r="AJ127" s="747"/>
      <c r="AK127" s="757"/>
      <c r="AL127" s="771">
        <v>5068.7530769230771</v>
      </c>
      <c r="AM127" s="747"/>
      <c r="AN127" s="757"/>
      <c r="AO127" s="771">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74018</v>
      </c>
      <c r="F128" s="780"/>
      <c r="G128" s="781"/>
      <c r="H128" s="783">
        <v>5693.6923076923076</v>
      </c>
      <c r="I128" s="780"/>
      <c r="J128" s="781"/>
      <c r="K128" s="783">
        <v>5693.6923076923076</v>
      </c>
      <c r="L128" s="780"/>
      <c r="M128" s="781"/>
      <c r="N128" s="783">
        <v>7117.1153846153848</v>
      </c>
      <c r="O128" s="780"/>
      <c r="P128" s="781"/>
      <c r="Q128" s="783">
        <v>5693.6923076923076</v>
      </c>
      <c r="R128" s="780"/>
      <c r="S128" s="781"/>
      <c r="T128" s="783">
        <v>7117.1153846153848</v>
      </c>
      <c r="U128" s="780"/>
      <c r="V128" s="781"/>
      <c r="W128" s="783">
        <v>5693.6923076923076</v>
      </c>
      <c r="X128" s="780"/>
      <c r="Y128" s="781"/>
      <c r="Z128" s="783">
        <v>5693.6923076923076</v>
      </c>
      <c r="AA128" s="780"/>
      <c r="AB128" s="781"/>
      <c r="AC128" s="783">
        <v>7117.1153846153848</v>
      </c>
      <c r="AD128" s="780"/>
      <c r="AE128" s="781"/>
      <c r="AF128" s="783">
        <v>5693.6923076923076</v>
      </c>
      <c r="AG128" s="780"/>
      <c r="AH128" s="781"/>
      <c r="AI128" s="783">
        <v>5693.6923076923076</v>
      </c>
      <c r="AJ128" s="780"/>
      <c r="AK128" s="781"/>
      <c r="AL128" s="783">
        <v>7117.1153846153848</v>
      </c>
      <c r="AM128" s="780"/>
      <c r="AN128" s="781"/>
      <c r="AO128" s="783">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98834.838881999996</v>
      </c>
      <c r="F133" s="747"/>
      <c r="G133" s="757"/>
      <c r="H133" s="771">
        <v>7350.1950896410262</v>
      </c>
      <c r="I133" s="747"/>
      <c r="J133" s="757"/>
      <c r="K133" s="771">
        <v>7335.4400896410261</v>
      </c>
      <c r="L133" s="747"/>
      <c r="M133" s="757"/>
      <c r="N133" s="771">
        <v>8450.1915412179496</v>
      </c>
      <c r="O133" s="747"/>
      <c r="P133" s="757"/>
      <c r="Q133" s="771">
        <v>9665.1978396410268</v>
      </c>
      <c r="R133" s="747"/>
      <c r="S133" s="757"/>
      <c r="T133" s="771">
        <v>9882.7885412179494</v>
      </c>
      <c r="U133" s="747"/>
      <c r="V133" s="757"/>
      <c r="W133" s="771">
        <v>8203.0908396410268</v>
      </c>
      <c r="X133" s="747"/>
      <c r="Y133" s="757"/>
      <c r="Z133" s="771">
        <v>7730.4768396410263</v>
      </c>
      <c r="AA133" s="747"/>
      <c r="AB133" s="757"/>
      <c r="AC133" s="771">
        <v>8679.1210412179498</v>
      </c>
      <c r="AD133" s="747"/>
      <c r="AE133" s="757"/>
      <c r="AF133" s="771">
        <v>7959.4063396410265</v>
      </c>
      <c r="AG133" s="747"/>
      <c r="AH133" s="757"/>
      <c r="AI133" s="771">
        <v>8324.9330896410265</v>
      </c>
      <c r="AJ133" s="747"/>
      <c r="AK133" s="757"/>
      <c r="AL133" s="771">
        <v>8557.2787912179483</v>
      </c>
      <c r="AM133" s="747"/>
      <c r="AN133" s="757"/>
      <c r="AO133" s="771">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120169.231416</v>
      </c>
      <c r="F134" s="780"/>
      <c r="G134" s="781"/>
      <c r="H134" s="783">
        <v>8936.8010781538469</v>
      </c>
      <c r="I134" s="780"/>
      <c r="J134" s="781"/>
      <c r="K134" s="783">
        <v>8918.8610781538464</v>
      </c>
      <c r="L134" s="780"/>
      <c r="M134" s="781"/>
      <c r="N134" s="783">
        <v>10274.241697692309</v>
      </c>
      <c r="O134" s="780"/>
      <c r="P134" s="781"/>
      <c r="Q134" s="783">
        <v>11751.518078153847</v>
      </c>
      <c r="R134" s="780"/>
      <c r="S134" s="781"/>
      <c r="T134" s="783">
        <v>12016.077697692308</v>
      </c>
      <c r="U134" s="780"/>
      <c r="V134" s="781"/>
      <c r="W134" s="783">
        <v>9973.8020781538489</v>
      </c>
      <c r="X134" s="780"/>
      <c r="Y134" s="781"/>
      <c r="Z134" s="783">
        <v>9399.1700781538475</v>
      </c>
      <c r="AA134" s="780"/>
      <c r="AB134" s="781"/>
      <c r="AC134" s="783">
        <v>10552.587697692308</v>
      </c>
      <c r="AD134" s="780"/>
      <c r="AE134" s="781"/>
      <c r="AF134" s="783">
        <v>9677.5160781538489</v>
      </c>
      <c r="AG134" s="780"/>
      <c r="AH134" s="781"/>
      <c r="AI134" s="783">
        <v>10121.945078153849</v>
      </c>
      <c r="AJ134" s="780"/>
      <c r="AK134" s="781"/>
      <c r="AL134" s="783">
        <v>10404.444697692308</v>
      </c>
      <c r="AM134" s="780"/>
      <c r="AN134" s="781"/>
      <c r="AO134" s="783">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61913.277925199996</v>
      </c>
      <c r="F135" s="747"/>
      <c r="G135" s="757"/>
      <c r="H135" s="771">
        <v>4604.3953380923076</v>
      </c>
      <c r="I135" s="747"/>
      <c r="J135" s="757"/>
      <c r="K135" s="771">
        <v>4595.1523380923072</v>
      </c>
      <c r="L135" s="747"/>
      <c r="M135" s="757"/>
      <c r="N135" s="771">
        <v>5293.4680051153846</v>
      </c>
      <c r="O135" s="747"/>
      <c r="P135" s="757"/>
      <c r="Q135" s="771">
        <v>6054.5864880923082</v>
      </c>
      <c r="R135" s="747"/>
      <c r="S135" s="757"/>
      <c r="T135" s="771">
        <v>6190.8922051153841</v>
      </c>
      <c r="U135" s="747"/>
      <c r="V135" s="757"/>
      <c r="W135" s="771">
        <v>5138.6762880923079</v>
      </c>
      <c r="X135" s="747"/>
      <c r="Y135" s="757"/>
      <c r="Z135" s="771">
        <v>4842.6158880923076</v>
      </c>
      <c r="AA135" s="747"/>
      <c r="AB135" s="757"/>
      <c r="AC135" s="771">
        <v>5436.8767051153845</v>
      </c>
      <c r="AD135" s="747"/>
      <c r="AE135" s="757"/>
      <c r="AF135" s="771">
        <v>4986.0245880923076</v>
      </c>
      <c r="AG135" s="747"/>
      <c r="AH135" s="757"/>
      <c r="AI135" s="771">
        <v>5215.0021380923081</v>
      </c>
      <c r="AJ135" s="747"/>
      <c r="AK135" s="757"/>
      <c r="AL135" s="771">
        <v>5360.5508551153844</v>
      </c>
      <c r="AM135" s="747"/>
      <c r="AN135" s="757"/>
      <c r="AO135" s="771">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26994.537492000003</v>
      </c>
      <c r="F136" s="747"/>
      <c r="G136" s="757"/>
      <c r="H136" s="771">
        <v>2007.5422711794872</v>
      </c>
      <c r="I136" s="747"/>
      <c r="J136" s="757"/>
      <c r="K136" s="771">
        <v>2003.5122711794872</v>
      </c>
      <c r="L136" s="747"/>
      <c r="M136" s="757"/>
      <c r="N136" s="771">
        <v>2307.9818306410257</v>
      </c>
      <c r="O136" s="747"/>
      <c r="P136" s="757"/>
      <c r="Q136" s="771">
        <v>2639.8337711794875</v>
      </c>
      <c r="R136" s="747"/>
      <c r="S136" s="757"/>
      <c r="T136" s="771">
        <v>2699.2638306410258</v>
      </c>
      <c r="U136" s="747"/>
      <c r="V136" s="757"/>
      <c r="W136" s="771">
        <v>2240.4917711794874</v>
      </c>
      <c r="X136" s="747"/>
      <c r="Y136" s="757"/>
      <c r="Z136" s="771">
        <v>2111.4077711794876</v>
      </c>
      <c r="AA136" s="747"/>
      <c r="AB136" s="757"/>
      <c r="AC136" s="771">
        <v>2370.5088306410257</v>
      </c>
      <c r="AD136" s="747"/>
      <c r="AE136" s="757"/>
      <c r="AF136" s="771">
        <v>2173.9347711794876</v>
      </c>
      <c r="AG136" s="747"/>
      <c r="AH136" s="757"/>
      <c r="AI136" s="771">
        <v>2273.7702711794873</v>
      </c>
      <c r="AJ136" s="747"/>
      <c r="AK136" s="757"/>
      <c r="AL136" s="771">
        <v>2337.2303306410258</v>
      </c>
      <c r="AM136" s="747"/>
      <c r="AN136" s="757"/>
      <c r="AO136" s="771">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0.31711229699021126</v>
      </c>
      <c r="E138" s="779">
        <v>594209.01771519997</v>
      </c>
      <c r="F138" s="777" t="s">
        <v>119</v>
      </c>
      <c r="G138" s="778">
        <v>0.42389347555337148</v>
      </c>
      <c r="H138" s="779">
        <v>45438.328546297438</v>
      </c>
      <c r="I138" s="777" t="s">
        <v>119</v>
      </c>
      <c r="J138" s="778">
        <v>0.40985071831923398</v>
      </c>
      <c r="K138" s="779">
        <v>45392.360546297445</v>
      </c>
      <c r="L138" s="777" t="s">
        <v>119</v>
      </c>
      <c r="M138" s="778">
        <v>0.31705774560053401</v>
      </c>
      <c r="N138" s="779">
        <v>52821.376536205127</v>
      </c>
      <c r="O138" s="777" t="s">
        <v>119</v>
      </c>
      <c r="P138" s="778">
        <v>0.28264856452641918</v>
      </c>
      <c r="Q138" s="779">
        <v>52650.530946297447</v>
      </c>
      <c r="R138" s="777" t="s">
        <v>119</v>
      </c>
      <c r="S138" s="778">
        <v>0.30205577750138751</v>
      </c>
      <c r="T138" s="779">
        <v>57284.515736205132</v>
      </c>
      <c r="U138" s="777" t="s">
        <v>119</v>
      </c>
      <c r="V138" s="778">
        <v>0.28048740455410787</v>
      </c>
      <c r="W138" s="779">
        <v>48095.455746297434</v>
      </c>
      <c r="X138" s="777" t="s">
        <v>119</v>
      </c>
      <c r="Y138" s="778">
        <v>0.29200591079747978</v>
      </c>
      <c r="Z138" s="779">
        <v>46623.065346297444</v>
      </c>
      <c r="AA138" s="777" t="s">
        <v>119</v>
      </c>
      <c r="AB138" s="778">
        <v>0.31461471220013454</v>
      </c>
      <c r="AC138" s="779">
        <v>53534.587736205132</v>
      </c>
      <c r="AD138" s="777" t="s">
        <v>119</v>
      </c>
      <c r="AE138" s="778">
        <v>0.28159961966365682</v>
      </c>
      <c r="AF138" s="779">
        <v>47336.276546297449</v>
      </c>
      <c r="AG138" s="777" t="s">
        <v>119</v>
      </c>
      <c r="AH138" s="778">
        <v>0.29195432655910047</v>
      </c>
      <c r="AI138" s="779">
        <v>48475.045346297433</v>
      </c>
      <c r="AJ138" s="777" t="s">
        <v>119</v>
      </c>
      <c r="AK138" s="778">
        <v>0.32867277000390233</v>
      </c>
      <c r="AL138" s="779">
        <v>53154.998136205126</v>
      </c>
      <c r="AM138" s="777" t="s">
        <v>119</v>
      </c>
      <c r="AN138" s="778">
        <v>0.37355386568576315</v>
      </c>
      <c r="AO138" s="779">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29499.999999999996</v>
      </c>
      <c r="F141" s="785"/>
      <c r="G141" s="786"/>
      <c r="H141" s="788">
        <v>2458.3333333333335</v>
      </c>
      <c r="I141" s="785"/>
      <c r="J141" s="786"/>
      <c r="K141" s="788">
        <v>2458.3333333333335</v>
      </c>
      <c r="L141" s="785"/>
      <c r="M141" s="786"/>
      <c r="N141" s="788">
        <v>2458.3333333333335</v>
      </c>
      <c r="O141" s="785"/>
      <c r="P141" s="786"/>
      <c r="Q141" s="788">
        <v>2458.3333333333335</v>
      </c>
      <c r="R141" s="785"/>
      <c r="S141" s="786"/>
      <c r="T141" s="788">
        <v>2458.3333333333335</v>
      </c>
      <c r="U141" s="785"/>
      <c r="V141" s="786"/>
      <c r="W141" s="788">
        <v>2458.3333333333335</v>
      </c>
      <c r="X141" s="785"/>
      <c r="Y141" s="786"/>
      <c r="Z141" s="788">
        <v>2458.3333333333335</v>
      </c>
      <c r="AA141" s="785"/>
      <c r="AB141" s="786"/>
      <c r="AC141" s="788">
        <v>2458.3333333333335</v>
      </c>
      <c r="AD141" s="785"/>
      <c r="AE141" s="786"/>
      <c r="AF141" s="788">
        <v>2458.3333333333335</v>
      </c>
      <c r="AG141" s="785"/>
      <c r="AH141" s="786"/>
      <c r="AI141" s="788">
        <v>2458.3333333333335</v>
      </c>
      <c r="AJ141" s="785"/>
      <c r="AK141" s="786"/>
      <c r="AL141" s="788">
        <v>2458.3333333333335</v>
      </c>
      <c r="AM141" s="785"/>
      <c r="AN141" s="786"/>
      <c r="AO141" s="788">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43524.498447999998</v>
      </c>
      <c r="F142" s="747"/>
      <c r="G142" s="757"/>
      <c r="H142" s="771">
        <v>3627.0415373333331</v>
      </c>
      <c r="I142" s="747"/>
      <c r="J142" s="757"/>
      <c r="K142" s="771">
        <v>3627.0415373333331</v>
      </c>
      <c r="L142" s="747"/>
      <c r="M142" s="757"/>
      <c r="N142" s="771">
        <v>3627.0415373333331</v>
      </c>
      <c r="O142" s="747"/>
      <c r="P142" s="757"/>
      <c r="Q142" s="771">
        <v>3627.0415373333331</v>
      </c>
      <c r="R142" s="747"/>
      <c r="S142" s="757"/>
      <c r="T142" s="771">
        <v>3627.0415373333331</v>
      </c>
      <c r="U142" s="747"/>
      <c r="V142" s="757"/>
      <c r="W142" s="771">
        <v>3627.0415373333331</v>
      </c>
      <c r="X142" s="747"/>
      <c r="Y142" s="757"/>
      <c r="Z142" s="771">
        <v>3627.0415373333331</v>
      </c>
      <c r="AA142" s="747"/>
      <c r="AB142" s="757"/>
      <c r="AC142" s="771">
        <v>3627.0415373333331</v>
      </c>
      <c r="AD142" s="747"/>
      <c r="AE142" s="757"/>
      <c r="AF142" s="771">
        <v>3627.0415373333331</v>
      </c>
      <c r="AG142" s="747"/>
      <c r="AH142" s="757"/>
      <c r="AI142" s="771">
        <v>3627.0415373333331</v>
      </c>
      <c r="AJ142" s="747"/>
      <c r="AK142" s="757"/>
      <c r="AL142" s="771">
        <v>3627.0415373333331</v>
      </c>
      <c r="AM142" s="747"/>
      <c r="AN142" s="757"/>
      <c r="AO142" s="771">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6253.3109567311558</v>
      </c>
      <c r="F143" s="747"/>
      <c r="G143" s="757"/>
      <c r="H143" s="771">
        <v>521.10924639426287</v>
      </c>
      <c r="I143" s="747"/>
      <c r="J143" s="757"/>
      <c r="K143" s="771">
        <v>521.10924639426287</v>
      </c>
      <c r="L143" s="747"/>
      <c r="M143" s="757"/>
      <c r="N143" s="771">
        <v>521.10924639426287</v>
      </c>
      <c r="O143" s="747"/>
      <c r="P143" s="757"/>
      <c r="Q143" s="771">
        <v>521.10924639426287</v>
      </c>
      <c r="R143" s="747"/>
      <c r="S143" s="757"/>
      <c r="T143" s="771">
        <v>521.10924639426287</v>
      </c>
      <c r="U143" s="747"/>
      <c r="V143" s="757"/>
      <c r="W143" s="771">
        <v>521.10924639426287</v>
      </c>
      <c r="X143" s="747"/>
      <c r="Y143" s="757"/>
      <c r="Z143" s="771">
        <v>521.10924639426287</v>
      </c>
      <c r="AA143" s="747"/>
      <c r="AB143" s="757"/>
      <c r="AC143" s="771">
        <v>521.10924639426287</v>
      </c>
      <c r="AD143" s="747"/>
      <c r="AE143" s="757"/>
      <c r="AF143" s="771">
        <v>521.10924639426287</v>
      </c>
      <c r="AG143" s="747"/>
      <c r="AH143" s="757"/>
      <c r="AI143" s="771">
        <v>521.10924639426287</v>
      </c>
      <c r="AJ143" s="747"/>
      <c r="AK143" s="757"/>
      <c r="AL143" s="771">
        <v>521.10924639426287</v>
      </c>
      <c r="AM143" s="747"/>
      <c r="AN143" s="757"/>
      <c r="AO143" s="771">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17875.092639933337</v>
      </c>
      <c r="F144" s="785"/>
      <c r="G144" s="786"/>
      <c r="H144" s="788">
        <v>1489.5910533277777</v>
      </c>
      <c r="I144" s="785"/>
      <c r="J144" s="786"/>
      <c r="K144" s="788">
        <v>1489.5910533277777</v>
      </c>
      <c r="L144" s="785"/>
      <c r="M144" s="786"/>
      <c r="N144" s="788">
        <v>1489.5910533277777</v>
      </c>
      <c r="O144" s="785"/>
      <c r="P144" s="786"/>
      <c r="Q144" s="788">
        <v>1489.5910533277777</v>
      </c>
      <c r="R144" s="785"/>
      <c r="S144" s="786"/>
      <c r="T144" s="788">
        <v>1489.5910533277777</v>
      </c>
      <c r="U144" s="785"/>
      <c r="V144" s="786"/>
      <c r="W144" s="788">
        <v>1489.5910533277777</v>
      </c>
      <c r="X144" s="785"/>
      <c r="Y144" s="786"/>
      <c r="Z144" s="788">
        <v>1489.5910533277777</v>
      </c>
      <c r="AA144" s="785"/>
      <c r="AB144" s="786"/>
      <c r="AC144" s="788">
        <v>1489.5910533277777</v>
      </c>
      <c r="AD144" s="785"/>
      <c r="AE144" s="786"/>
      <c r="AF144" s="788">
        <v>1489.5910533277777</v>
      </c>
      <c r="AG144" s="785"/>
      <c r="AH144" s="786"/>
      <c r="AI144" s="788">
        <v>1489.5910533277777</v>
      </c>
      <c r="AJ144" s="785"/>
      <c r="AK144" s="786"/>
      <c r="AL144" s="788">
        <v>1489.5910533277777</v>
      </c>
      <c r="AM144" s="785"/>
      <c r="AN144" s="786"/>
      <c r="AO144" s="788">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1500</v>
      </c>
      <c r="F145" s="747"/>
      <c r="G145" s="757"/>
      <c r="H145" s="771">
        <v>125</v>
      </c>
      <c r="I145" s="747"/>
      <c r="J145" s="757"/>
      <c r="K145" s="771">
        <v>125</v>
      </c>
      <c r="L145" s="747"/>
      <c r="M145" s="757"/>
      <c r="N145" s="771">
        <v>125</v>
      </c>
      <c r="O145" s="747"/>
      <c r="P145" s="757"/>
      <c r="Q145" s="771">
        <v>125</v>
      </c>
      <c r="R145" s="747"/>
      <c r="S145" s="757"/>
      <c r="T145" s="771">
        <v>125</v>
      </c>
      <c r="U145" s="747"/>
      <c r="V145" s="757"/>
      <c r="W145" s="771">
        <v>125</v>
      </c>
      <c r="X145" s="747"/>
      <c r="Y145" s="757"/>
      <c r="Z145" s="771">
        <v>125</v>
      </c>
      <c r="AA145" s="747"/>
      <c r="AB145" s="757"/>
      <c r="AC145" s="771">
        <v>125</v>
      </c>
      <c r="AD145" s="747"/>
      <c r="AE145" s="757"/>
      <c r="AF145" s="771">
        <v>125</v>
      </c>
      <c r="AG145" s="747"/>
      <c r="AH145" s="757"/>
      <c r="AI145" s="771">
        <v>125</v>
      </c>
      <c r="AJ145" s="747"/>
      <c r="AK145" s="757"/>
      <c r="AL145" s="771">
        <v>125</v>
      </c>
      <c r="AM145" s="747"/>
      <c r="AN145" s="757"/>
      <c r="AO145" s="771">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1000.0000000000001</v>
      </c>
      <c r="F146" s="747"/>
      <c r="G146" s="757"/>
      <c r="H146" s="771">
        <v>83.333333333333329</v>
      </c>
      <c r="I146" s="747"/>
      <c r="J146" s="757"/>
      <c r="K146" s="771">
        <v>83.333333333333329</v>
      </c>
      <c r="L146" s="747"/>
      <c r="M146" s="757"/>
      <c r="N146" s="771">
        <v>83.333333333333329</v>
      </c>
      <c r="O146" s="747"/>
      <c r="P146" s="757"/>
      <c r="Q146" s="771">
        <v>83.333333333333329</v>
      </c>
      <c r="R146" s="747"/>
      <c r="S146" s="757"/>
      <c r="T146" s="771">
        <v>83.333333333333329</v>
      </c>
      <c r="U146" s="747"/>
      <c r="V146" s="757"/>
      <c r="W146" s="771">
        <v>83.333333333333329</v>
      </c>
      <c r="X146" s="747"/>
      <c r="Y146" s="757"/>
      <c r="Z146" s="771">
        <v>83.333333333333329</v>
      </c>
      <c r="AA146" s="747"/>
      <c r="AB146" s="757"/>
      <c r="AC146" s="771">
        <v>83.333333333333329</v>
      </c>
      <c r="AD146" s="747"/>
      <c r="AE146" s="757"/>
      <c r="AF146" s="771">
        <v>83.333333333333329</v>
      </c>
      <c r="AG146" s="747"/>
      <c r="AH146" s="757"/>
      <c r="AI146" s="771">
        <v>83.333333333333329</v>
      </c>
      <c r="AJ146" s="747"/>
      <c r="AK146" s="757"/>
      <c r="AL146" s="771">
        <v>83.333333333333329</v>
      </c>
      <c r="AM146" s="747"/>
      <c r="AN146" s="757"/>
      <c r="AO146" s="771">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3681.4110838559995</v>
      </c>
      <c r="F147" s="747"/>
      <c r="G147" s="757"/>
      <c r="H147" s="771">
        <v>306.78425698799998</v>
      </c>
      <c r="I147" s="747"/>
      <c r="J147" s="757"/>
      <c r="K147" s="771">
        <v>306.78425698799998</v>
      </c>
      <c r="L147" s="747"/>
      <c r="M147" s="757"/>
      <c r="N147" s="771">
        <v>306.78425698799998</v>
      </c>
      <c r="O147" s="747"/>
      <c r="P147" s="757"/>
      <c r="Q147" s="771">
        <v>306.78425698799998</v>
      </c>
      <c r="R147" s="747"/>
      <c r="S147" s="757"/>
      <c r="T147" s="771">
        <v>306.78425698799998</v>
      </c>
      <c r="U147" s="747"/>
      <c r="V147" s="757"/>
      <c r="W147" s="771">
        <v>306.78425698799998</v>
      </c>
      <c r="X147" s="747"/>
      <c r="Y147" s="757"/>
      <c r="Z147" s="771">
        <v>306.78425698799998</v>
      </c>
      <c r="AA147" s="747"/>
      <c r="AB147" s="757"/>
      <c r="AC147" s="771">
        <v>306.78425698799998</v>
      </c>
      <c r="AD147" s="747"/>
      <c r="AE147" s="757"/>
      <c r="AF147" s="771">
        <v>306.78425698799998</v>
      </c>
      <c r="AG147" s="747"/>
      <c r="AH147" s="757"/>
      <c r="AI147" s="771">
        <v>306.78425698799998</v>
      </c>
      <c r="AJ147" s="747"/>
      <c r="AK147" s="757"/>
      <c r="AL147" s="771">
        <v>306.78425698799998</v>
      </c>
      <c r="AM147" s="747"/>
      <c r="AN147" s="757"/>
      <c r="AO147" s="771">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1013.8395827379996</v>
      </c>
      <c r="F148" s="747"/>
      <c r="G148" s="757"/>
      <c r="H148" s="771">
        <v>84.486631894833309</v>
      </c>
      <c r="I148" s="747"/>
      <c r="J148" s="757"/>
      <c r="K148" s="771">
        <v>84.486631894833309</v>
      </c>
      <c r="L148" s="747"/>
      <c r="M148" s="757"/>
      <c r="N148" s="771">
        <v>84.486631894833309</v>
      </c>
      <c r="O148" s="747"/>
      <c r="P148" s="757"/>
      <c r="Q148" s="771">
        <v>84.486631894833309</v>
      </c>
      <c r="R148" s="747"/>
      <c r="S148" s="757"/>
      <c r="T148" s="771">
        <v>84.486631894833309</v>
      </c>
      <c r="U148" s="747"/>
      <c r="V148" s="757"/>
      <c r="W148" s="771">
        <v>84.486631894833309</v>
      </c>
      <c r="X148" s="747"/>
      <c r="Y148" s="757"/>
      <c r="Z148" s="771">
        <v>84.486631894833309</v>
      </c>
      <c r="AA148" s="747"/>
      <c r="AB148" s="757"/>
      <c r="AC148" s="771">
        <v>84.486631894833309</v>
      </c>
      <c r="AD148" s="747"/>
      <c r="AE148" s="757"/>
      <c r="AF148" s="771">
        <v>84.486631894833309</v>
      </c>
      <c r="AG148" s="747"/>
      <c r="AH148" s="757"/>
      <c r="AI148" s="771">
        <v>84.486631894833309</v>
      </c>
      <c r="AJ148" s="747"/>
      <c r="AK148" s="757"/>
      <c r="AL148" s="771">
        <v>84.486631894833309</v>
      </c>
      <c r="AM148" s="747"/>
      <c r="AN148" s="757"/>
      <c r="AO148" s="771">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723.920969582</v>
      </c>
      <c r="F149" s="747"/>
      <c r="G149" s="757"/>
      <c r="H149" s="771">
        <v>60.326747465166655</v>
      </c>
      <c r="I149" s="747"/>
      <c r="J149" s="757"/>
      <c r="K149" s="771">
        <v>60.326747465166655</v>
      </c>
      <c r="L149" s="747"/>
      <c r="M149" s="757"/>
      <c r="N149" s="771">
        <v>60.326747465166655</v>
      </c>
      <c r="O149" s="747"/>
      <c r="P149" s="757"/>
      <c r="Q149" s="771">
        <v>60.326747465166655</v>
      </c>
      <c r="R149" s="747"/>
      <c r="S149" s="757"/>
      <c r="T149" s="771">
        <v>60.326747465166655</v>
      </c>
      <c r="U149" s="747"/>
      <c r="V149" s="757"/>
      <c r="W149" s="771">
        <v>60.326747465166655</v>
      </c>
      <c r="X149" s="747"/>
      <c r="Y149" s="757"/>
      <c r="Z149" s="771">
        <v>60.326747465166655</v>
      </c>
      <c r="AA149" s="747"/>
      <c r="AB149" s="757"/>
      <c r="AC149" s="771">
        <v>60.326747465166655</v>
      </c>
      <c r="AD149" s="747"/>
      <c r="AE149" s="757"/>
      <c r="AF149" s="771">
        <v>60.326747465166655</v>
      </c>
      <c r="AG149" s="747"/>
      <c r="AH149" s="757"/>
      <c r="AI149" s="771">
        <v>60.326747465166655</v>
      </c>
      <c r="AJ149" s="747"/>
      <c r="AK149" s="757"/>
      <c r="AL149" s="771">
        <v>60.326747465166655</v>
      </c>
      <c r="AM149" s="747"/>
      <c r="AN149" s="757"/>
      <c r="AO149" s="771">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2397.3606154580002</v>
      </c>
      <c r="F150" s="747"/>
      <c r="G150" s="757"/>
      <c r="H150" s="771">
        <v>199.78005128816665</v>
      </c>
      <c r="I150" s="747"/>
      <c r="J150" s="757"/>
      <c r="K150" s="771">
        <v>199.78005128816665</v>
      </c>
      <c r="L150" s="747"/>
      <c r="M150" s="757"/>
      <c r="N150" s="771">
        <v>199.78005128816665</v>
      </c>
      <c r="O150" s="747"/>
      <c r="P150" s="757"/>
      <c r="Q150" s="771">
        <v>199.78005128816665</v>
      </c>
      <c r="R150" s="747"/>
      <c r="S150" s="757"/>
      <c r="T150" s="771">
        <v>199.78005128816665</v>
      </c>
      <c r="U150" s="747"/>
      <c r="V150" s="757"/>
      <c r="W150" s="771">
        <v>199.78005128816665</v>
      </c>
      <c r="X150" s="747"/>
      <c r="Y150" s="757"/>
      <c r="Z150" s="771">
        <v>199.78005128816665</v>
      </c>
      <c r="AA150" s="747"/>
      <c r="AB150" s="757"/>
      <c r="AC150" s="771">
        <v>199.78005128816665</v>
      </c>
      <c r="AD150" s="747"/>
      <c r="AE150" s="757"/>
      <c r="AF150" s="771">
        <v>199.78005128816665</v>
      </c>
      <c r="AG150" s="747"/>
      <c r="AH150" s="757"/>
      <c r="AI150" s="771">
        <v>199.78005128816665</v>
      </c>
      <c r="AJ150" s="747"/>
      <c r="AK150" s="757"/>
      <c r="AL150" s="771">
        <v>199.78005128816665</v>
      </c>
      <c r="AM150" s="747"/>
      <c r="AN150" s="757"/>
      <c r="AO150" s="771">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6026.78723636417</v>
      </c>
      <c r="F151" s="747"/>
      <c r="G151" s="757"/>
      <c r="H151" s="771">
        <v>502.23226969701432</v>
      </c>
      <c r="I151" s="747"/>
      <c r="J151" s="757"/>
      <c r="K151" s="771">
        <v>502.23226969701432</v>
      </c>
      <c r="L151" s="747"/>
      <c r="M151" s="757"/>
      <c r="N151" s="771">
        <v>502.23226969701432</v>
      </c>
      <c r="O151" s="747"/>
      <c r="P151" s="757"/>
      <c r="Q151" s="771">
        <v>502.23226969701432</v>
      </c>
      <c r="R151" s="747"/>
      <c r="S151" s="757"/>
      <c r="T151" s="771">
        <v>502.23226969701432</v>
      </c>
      <c r="U151" s="747"/>
      <c r="V151" s="757"/>
      <c r="W151" s="771">
        <v>502.23226969701432</v>
      </c>
      <c r="X151" s="747"/>
      <c r="Y151" s="757"/>
      <c r="Z151" s="771">
        <v>502.23226969701432</v>
      </c>
      <c r="AA151" s="747"/>
      <c r="AB151" s="757"/>
      <c r="AC151" s="771">
        <v>502.23226969701432</v>
      </c>
      <c r="AD151" s="747"/>
      <c r="AE151" s="757"/>
      <c r="AF151" s="771">
        <v>502.23226969701432</v>
      </c>
      <c r="AG151" s="747"/>
      <c r="AH151" s="757"/>
      <c r="AI151" s="771">
        <v>502.23226969701432</v>
      </c>
      <c r="AJ151" s="747"/>
      <c r="AK151" s="757"/>
      <c r="AL151" s="771">
        <v>502.23226969701432</v>
      </c>
      <c r="AM151" s="747"/>
      <c r="AN151" s="757"/>
      <c r="AO151" s="771">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9386.0948526995053</v>
      </c>
      <c r="F152" s="747"/>
      <c r="G152" s="757"/>
      <c r="H152" s="771">
        <v>782.17457105829214</v>
      </c>
      <c r="I152" s="747"/>
      <c r="J152" s="757"/>
      <c r="K152" s="771">
        <v>782.17457105829214</v>
      </c>
      <c r="L152" s="747"/>
      <c r="M152" s="757"/>
      <c r="N152" s="771">
        <v>782.17457105829214</v>
      </c>
      <c r="O152" s="747"/>
      <c r="P152" s="757"/>
      <c r="Q152" s="771">
        <v>782.17457105829214</v>
      </c>
      <c r="R152" s="747"/>
      <c r="S152" s="757"/>
      <c r="T152" s="771">
        <v>782.17457105829214</v>
      </c>
      <c r="U152" s="747"/>
      <c r="V152" s="757"/>
      <c r="W152" s="771">
        <v>782.17457105829214</v>
      </c>
      <c r="X152" s="747"/>
      <c r="Y152" s="757"/>
      <c r="Z152" s="771">
        <v>782.17457105829214</v>
      </c>
      <c r="AA152" s="747"/>
      <c r="AB152" s="757"/>
      <c r="AC152" s="771">
        <v>782.17457105829214</v>
      </c>
      <c r="AD152" s="747"/>
      <c r="AE152" s="757"/>
      <c r="AF152" s="771">
        <v>782.17457105829214</v>
      </c>
      <c r="AG152" s="747"/>
      <c r="AH152" s="757"/>
      <c r="AI152" s="771">
        <v>782.17457105829214</v>
      </c>
      <c r="AJ152" s="747"/>
      <c r="AK152" s="757"/>
      <c r="AL152" s="771">
        <v>782.17457105829214</v>
      </c>
      <c r="AM152" s="747"/>
      <c r="AN152" s="757"/>
      <c r="AO152" s="771">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6.5578765125905422E-2</v>
      </c>
      <c r="E156" s="779">
        <v>122882.31638536218</v>
      </c>
      <c r="F156" s="777" t="s">
        <v>119</v>
      </c>
      <c r="G156" s="778">
        <v>9.5530604967064156E-2</v>
      </c>
      <c r="H156" s="779">
        <v>10240.193032113515</v>
      </c>
      <c r="I156" s="777" t="s">
        <v>119</v>
      </c>
      <c r="J156" s="778">
        <v>9.2459401084874285E-2</v>
      </c>
      <c r="K156" s="779">
        <v>10240.193032113515</v>
      </c>
      <c r="L156" s="777" t="s">
        <v>119</v>
      </c>
      <c r="M156" s="778">
        <v>6.1466261013679073E-2</v>
      </c>
      <c r="N156" s="779">
        <v>10240.193032113515</v>
      </c>
      <c r="O156" s="777" t="s">
        <v>119</v>
      </c>
      <c r="P156" s="778">
        <v>5.4973346117867902E-2</v>
      </c>
      <c r="Q156" s="779">
        <v>10240.193032113515</v>
      </c>
      <c r="R156" s="777" t="s">
        <v>119</v>
      </c>
      <c r="S156" s="778">
        <v>5.3995559329210192E-2</v>
      </c>
      <c r="T156" s="779">
        <v>10240.193032113515</v>
      </c>
      <c r="U156" s="777" t="s">
        <v>119</v>
      </c>
      <c r="V156" s="778">
        <v>5.971967873350896E-2</v>
      </c>
      <c r="W156" s="779">
        <v>10240.193032113515</v>
      </c>
      <c r="X156" s="777" t="s">
        <v>119</v>
      </c>
      <c r="Y156" s="778">
        <v>6.4135570470845893E-2</v>
      </c>
      <c r="Z156" s="779">
        <v>10240.193032113515</v>
      </c>
      <c r="AA156" s="777" t="s">
        <v>119</v>
      </c>
      <c r="AB156" s="778">
        <v>6.018007273255583E-2</v>
      </c>
      <c r="AC156" s="779">
        <v>10240.193032113515</v>
      </c>
      <c r="AD156" s="777" t="s">
        <v>119</v>
      </c>
      <c r="AE156" s="778">
        <v>6.0918066935519176E-2</v>
      </c>
      <c r="AF156" s="779">
        <v>10240.193032113515</v>
      </c>
      <c r="AG156" s="777" t="s">
        <v>119</v>
      </c>
      <c r="AH156" s="778">
        <v>6.1674386050971447E-2</v>
      </c>
      <c r="AI156" s="779">
        <v>10240.193032113515</v>
      </c>
      <c r="AJ156" s="777" t="s">
        <v>119</v>
      </c>
      <c r="AK156" s="778">
        <v>6.3318083477590603E-2</v>
      </c>
      <c r="AL156" s="779">
        <v>10240.193032113515</v>
      </c>
      <c r="AM156" s="777" t="s">
        <v>119</v>
      </c>
      <c r="AN156" s="778">
        <v>8.8134687163162417E-2</v>
      </c>
      <c r="AO156" s="779">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0.83102819797629368</v>
      </c>
      <c r="E158" s="789">
        <v>1557191.1083232737</v>
      </c>
      <c r="F158" s="777" t="s">
        <v>119</v>
      </c>
      <c r="G158" s="778">
        <v>1.0216167754285854</v>
      </c>
      <c r="H158" s="789">
        <v>109509.96268516128</v>
      </c>
      <c r="I158" s="777" t="s">
        <v>119</v>
      </c>
      <c r="J158" s="778">
        <v>1.0133644512974569</v>
      </c>
      <c r="K158" s="789">
        <v>112233.55842032775</v>
      </c>
      <c r="L158" s="777" t="s">
        <v>119</v>
      </c>
      <c r="M158" s="778">
        <v>0.82318581806009516</v>
      </c>
      <c r="N158" s="789">
        <v>137141.60482866658</v>
      </c>
      <c r="O158" s="777" t="s">
        <v>119</v>
      </c>
      <c r="P158" s="778">
        <v>0.76779537161483125</v>
      </c>
      <c r="Q158" s="789">
        <v>143021.54352477565</v>
      </c>
      <c r="R158" s="777" t="s">
        <v>119</v>
      </c>
      <c r="S158" s="778">
        <v>0.781044446489357</v>
      </c>
      <c r="T158" s="789">
        <v>148124.14202337075</v>
      </c>
      <c r="U158" s="777" t="s">
        <v>119</v>
      </c>
      <c r="V158" s="778">
        <v>0.77611863395212255</v>
      </c>
      <c r="W158" s="789">
        <v>133081.83828240441</v>
      </c>
      <c r="X158" s="777" t="s">
        <v>119</v>
      </c>
      <c r="Y158" s="778">
        <v>0.80392496825996917</v>
      </c>
      <c r="Z158" s="789">
        <v>128358.51927223432</v>
      </c>
      <c r="AA158" s="777" t="s">
        <v>119</v>
      </c>
      <c r="AB158" s="778">
        <v>0.81323890942925214</v>
      </c>
      <c r="AC158" s="789">
        <v>138380.08223735401</v>
      </c>
      <c r="AD158" s="777" t="s">
        <v>119</v>
      </c>
      <c r="AE158" s="778">
        <v>0.78225945921159179</v>
      </c>
      <c r="AF158" s="789">
        <v>131496.09412265831</v>
      </c>
      <c r="AG158" s="777" t="s">
        <v>119</v>
      </c>
      <c r="AH158" s="778">
        <v>0.79428971482875077</v>
      </c>
      <c r="AI158" s="789">
        <v>131881.0048071924</v>
      </c>
      <c r="AJ158" s="777" t="s">
        <v>119</v>
      </c>
      <c r="AK158" s="778">
        <v>0.82780205672224871</v>
      </c>
      <c r="AL158" s="789">
        <v>133877.28098587377</v>
      </c>
      <c r="AM158" s="777" t="s">
        <v>119</v>
      </c>
      <c r="AN158" s="778">
        <v>0.94747716746354782</v>
      </c>
      <c r="AO158" s="789">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201451.10287500001</v>
      </c>
      <c r="F165" s="776"/>
      <c r="G165" s="784"/>
      <c r="H165" s="775">
        <v>11524.155500000001</v>
      </c>
      <c r="I165" s="776"/>
      <c r="J165" s="784"/>
      <c r="K165" s="775">
        <v>11906.950874999999</v>
      </c>
      <c r="L165" s="776"/>
      <c r="M165" s="784"/>
      <c r="N165" s="775">
        <v>17910.794125</v>
      </c>
      <c r="O165" s="776"/>
      <c r="P165" s="784"/>
      <c r="Q165" s="775">
        <v>20026.242249999996</v>
      </c>
      <c r="R165" s="776"/>
      <c r="S165" s="784"/>
      <c r="T165" s="775">
        <v>20388.890499999994</v>
      </c>
      <c r="U165" s="776"/>
      <c r="V165" s="784"/>
      <c r="W165" s="775">
        <v>18434.619375000002</v>
      </c>
      <c r="X165" s="776"/>
      <c r="Y165" s="784"/>
      <c r="Z165" s="775">
        <v>17165.3505</v>
      </c>
      <c r="AA165" s="776"/>
      <c r="AB165" s="784"/>
      <c r="AC165" s="775">
        <v>18293.589499999998</v>
      </c>
      <c r="AD165" s="776"/>
      <c r="AE165" s="784"/>
      <c r="AF165" s="775">
        <v>18071.971125</v>
      </c>
      <c r="AG165" s="776"/>
      <c r="AH165" s="784"/>
      <c r="AI165" s="775">
        <v>17850.352750000002</v>
      </c>
      <c r="AJ165" s="776"/>
      <c r="AK165" s="784"/>
      <c r="AL165" s="775">
        <v>17386.968875000006</v>
      </c>
      <c r="AM165" s="776"/>
      <c r="AN165" s="784"/>
      <c r="AO165" s="775">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201451.10287500001</v>
      </c>
      <c r="F166" s="814"/>
      <c r="G166" s="815"/>
      <c r="H166" s="789">
        <v>11524.155500000001</v>
      </c>
      <c r="I166" s="814"/>
      <c r="J166" s="815"/>
      <c r="K166" s="789">
        <v>11906.950874999999</v>
      </c>
      <c r="L166" s="814"/>
      <c r="M166" s="815"/>
      <c r="N166" s="789">
        <v>17910.794125</v>
      </c>
      <c r="O166" s="814"/>
      <c r="P166" s="815"/>
      <c r="Q166" s="789">
        <v>20026.242249999996</v>
      </c>
      <c r="R166" s="814"/>
      <c r="S166" s="815"/>
      <c r="T166" s="789">
        <v>20388.890499999994</v>
      </c>
      <c r="U166" s="814"/>
      <c r="V166" s="815"/>
      <c r="W166" s="789">
        <v>18434.619375000002</v>
      </c>
      <c r="X166" s="814"/>
      <c r="Y166" s="815"/>
      <c r="Z166" s="789">
        <v>17165.3505</v>
      </c>
      <c r="AA166" s="814"/>
      <c r="AB166" s="815"/>
      <c r="AC166" s="789">
        <v>18293.589499999998</v>
      </c>
      <c r="AD166" s="814"/>
      <c r="AE166" s="815"/>
      <c r="AF166" s="789">
        <v>18071.971125</v>
      </c>
      <c r="AG166" s="814"/>
      <c r="AH166" s="815"/>
      <c r="AI166" s="789">
        <v>17850.352750000002</v>
      </c>
      <c r="AJ166" s="814"/>
      <c r="AK166" s="815"/>
      <c r="AL166" s="789">
        <v>17386.968875000006</v>
      </c>
      <c r="AM166" s="814"/>
      <c r="AN166" s="815"/>
      <c r="AO166" s="789">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518072.59455172636</v>
      </c>
      <c r="F168" s="816"/>
      <c r="G168" s="817"/>
      <c r="H168" s="798">
        <v>9206.9928148387189</v>
      </c>
      <c r="I168" s="816"/>
      <c r="J168" s="817"/>
      <c r="K168" s="798">
        <v>10426.792454672239</v>
      </c>
      <c r="L168" s="816"/>
      <c r="M168" s="817"/>
      <c r="N168" s="798">
        <v>47367.789296333431</v>
      </c>
      <c r="O168" s="816"/>
      <c r="P168" s="817"/>
      <c r="Q168" s="798">
        <v>63280.298725224347</v>
      </c>
      <c r="R168" s="816"/>
      <c r="S168" s="817"/>
      <c r="T168" s="798">
        <v>61913.548476629207</v>
      </c>
      <c r="U168" s="816"/>
      <c r="V168" s="817"/>
      <c r="W168" s="798">
        <v>56823.781092595593</v>
      </c>
      <c r="X168" s="816"/>
      <c r="Y168" s="817"/>
      <c r="Z168" s="798">
        <v>48471.631227765669</v>
      </c>
      <c r="AA168" s="816"/>
      <c r="AB168" s="817"/>
      <c r="AC168" s="798">
        <v>50072.707262645999</v>
      </c>
      <c r="AD168" s="816"/>
      <c r="AE168" s="817"/>
      <c r="AF168" s="798">
        <v>54673.677002341676</v>
      </c>
      <c r="AG168" s="816"/>
      <c r="AH168" s="817"/>
      <c r="AI168" s="798">
        <v>52005.747942807604</v>
      </c>
      <c r="AJ168" s="816"/>
      <c r="AK168" s="817"/>
      <c r="AL168" s="798">
        <v>45235.887889126272</v>
      </c>
      <c r="AM168" s="816"/>
      <c r="AN168" s="817"/>
      <c r="AO168" s="798">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6293.9415928456292</v>
      </c>
      <c r="D175" s="770">
        <v>2077000.7256390578</v>
      </c>
      <c r="E175" s="758">
        <v>1578520.5514856838</v>
      </c>
      <c r="F175" s="820">
        <v>294.81793519148601</v>
      </c>
      <c r="G175" s="821">
        <v>97289.918613190384</v>
      </c>
      <c r="H175" s="771">
        <v>73940.338146024689</v>
      </c>
      <c r="I175" s="820">
        <v>297.2981282462469</v>
      </c>
      <c r="J175" s="821">
        <v>98108.382321261466</v>
      </c>
      <c r="K175" s="771">
        <v>74562.370564158715</v>
      </c>
      <c r="L175" s="820">
        <v>420.21079482837303</v>
      </c>
      <c r="M175" s="821">
        <v>138669.56229336309</v>
      </c>
      <c r="N175" s="771">
        <v>105388.86734295596</v>
      </c>
      <c r="O175" s="820">
        <v>779.19719999999995</v>
      </c>
      <c r="P175" s="821">
        <v>257135.07599999997</v>
      </c>
      <c r="Q175" s="771">
        <v>195422.65775999997</v>
      </c>
      <c r="R175" s="820">
        <v>842.13720000000001</v>
      </c>
      <c r="S175" s="821">
        <v>277905.27600000001</v>
      </c>
      <c r="T175" s="771">
        <v>211208.00976000002</v>
      </c>
      <c r="U175" s="820">
        <v>437.98206262740655</v>
      </c>
      <c r="V175" s="821">
        <v>144534.08066704418</v>
      </c>
      <c r="W175" s="771">
        <v>109845.90130695357</v>
      </c>
      <c r="X175" s="820">
        <v>463.23840000000001</v>
      </c>
      <c r="Y175" s="821">
        <v>152868.67199999999</v>
      </c>
      <c r="Z175" s="771">
        <v>116180.19072</v>
      </c>
      <c r="AA175" s="820">
        <v>396.08321081737733</v>
      </c>
      <c r="AB175" s="821">
        <v>130707.45956973452</v>
      </c>
      <c r="AC175" s="771">
        <v>99337.669272998231</v>
      </c>
      <c r="AD175" s="820">
        <v>330.91274867466632</v>
      </c>
      <c r="AE175" s="821">
        <v>109201.20706263988</v>
      </c>
      <c r="AF175" s="771">
        <v>82992.917367606307</v>
      </c>
      <c r="AG175" s="820">
        <v>720.66300000000001</v>
      </c>
      <c r="AH175" s="821">
        <v>237818.79</v>
      </c>
      <c r="AI175" s="771">
        <v>180742.28040000002</v>
      </c>
      <c r="AJ175" s="820">
        <v>905.70659999999998</v>
      </c>
      <c r="AK175" s="821">
        <v>298883.17800000001</v>
      </c>
      <c r="AL175" s="771">
        <v>227151.21528</v>
      </c>
      <c r="AM175" s="820">
        <v>405.69431246007315</v>
      </c>
      <c r="AN175" s="821">
        <v>133879.12311182416</v>
      </c>
      <c r="AO175" s="771">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0.7599999999999999</v>
      </c>
      <c r="F176" s="819"/>
      <c r="G176" s="757"/>
      <c r="H176" s="822">
        <v>0.76</v>
      </c>
      <c r="I176" s="819"/>
      <c r="J176" s="757"/>
      <c r="K176" s="822">
        <v>0.76</v>
      </c>
      <c r="L176" s="819"/>
      <c r="M176" s="757"/>
      <c r="N176" s="822">
        <v>0.76</v>
      </c>
      <c r="O176" s="819"/>
      <c r="P176" s="757"/>
      <c r="Q176" s="822">
        <v>0.76</v>
      </c>
      <c r="R176" s="819"/>
      <c r="S176" s="757"/>
      <c r="T176" s="822">
        <v>0.76</v>
      </c>
      <c r="U176" s="819"/>
      <c r="V176" s="757"/>
      <c r="W176" s="822">
        <v>0.76</v>
      </c>
      <c r="X176" s="819"/>
      <c r="Y176" s="757"/>
      <c r="Z176" s="822">
        <v>0.76</v>
      </c>
      <c r="AA176" s="819"/>
      <c r="AB176" s="757"/>
      <c r="AC176" s="822">
        <v>0.76</v>
      </c>
      <c r="AD176" s="819"/>
      <c r="AE176" s="757"/>
      <c r="AF176" s="822">
        <v>0.76</v>
      </c>
      <c r="AG176" s="819"/>
      <c r="AH176" s="757"/>
      <c r="AI176" s="822">
        <v>0.76</v>
      </c>
      <c r="AJ176" s="819"/>
      <c r="AK176" s="757"/>
      <c r="AL176" s="822">
        <v>0.76</v>
      </c>
      <c r="AM176" s="819"/>
      <c r="AN176" s="757"/>
      <c r="AO176" s="822">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330</v>
      </c>
      <c r="E177" s="825"/>
      <c r="F177" s="823"/>
      <c r="G177" s="824">
        <v>330</v>
      </c>
      <c r="H177" s="825"/>
      <c r="I177" s="823"/>
      <c r="J177" s="824">
        <v>329.99999999999994</v>
      </c>
      <c r="K177" s="825"/>
      <c r="L177" s="823"/>
      <c r="M177" s="824">
        <v>330</v>
      </c>
      <c r="N177" s="825"/>
      <c r="O177" s="823"/>
      <c r="P177" s="824">
        <v>330</v>
      </c>
      <c r="Q177" s="825"/>
      <c r="R177" s="823"/>
      <c r="S177" s="824">
        <v>330</v>
      </c>
      <c r="T177" s="825"/>
      <c r="U177" s="823"/>
      <c r="V177" s="824">
        <v>330.00000000000006</v>
      </c>
      <c r="W177" s="825"/>
      <c r="X177" s="823"/>
      <c r="Y177" s="824">
        <v>330</v>
      </c>
      <c r="Z177" s="825"/>
      <c r="AA177" s="823"/>
      <c r="AB177" s="824">
        <v>330</v>
      </c>
      <c r="AC177" s="825"/>
      <c r="AD177" s="823"/>
      <c r="AE177" s="824">
        <v>330</v>
      </c>
      <c r="AF177" s="825"/>
      <c r="AG177" s="823"/>
      <c r="AH177" s="824">
        <v>330</v>
      </c>
      <c r="AI177" s="825"/>
      <c r="AJ177" s="823"/>
      <c r="AK177" s="824">
        <v>330</v>
      </c>
      <c r="AL177" s="825"/>
      <c r="AM177" s="823"/>
      <c r="AN177" s="824">
        <v>330.00000000000006</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1332.9876300068672</v>
      </c>
      <c r="D178" s="827">
        <v>359906.66010185424</v>
      </c>
      <c r="E178" s="782">
        <v>230340.26246518671</v>
      </c>
      <c r="F178" s="828">
        <v>62.439197268867318</v>
      </c>
      <c r="G178" s="829">
        <v>16858.583262594177</v>
      </c>
      <c r="H178" s="783">
        <v>10789.493288060274</v>
      </c>
      <c r="I178" s="828">
        <v>62.964474889139993</v>
      </c>
      <c r="J178" s="829">
        <v>17000.408220067799</v>
      </c>
      <c r="K178" s="783">
        <v>10880.261260843392</v>
      </c>
      <c r="L178" s="828">
        <v>88.996026295872454</v>
      </c>
      <c r="M178" s="829">
        <v>24028.927099885565</v>
      </c>
      <c r="N178" s="783">
        <v>15378.513343926761</v>
      </c>
      <c r="O178" s="828">
        <v>165.02539999999999</v>
      </c>
      <c r="P178" s="829">
        <v>44556.858</v>
      </c>
      <c r="Q178" s="783">
        <v>28516.38912</v>
      </c>
      <c r="R178" s="828">
        <v>178.3554</v>
      </c>
      <c r="S178" s="829">
        <v>48155.957999999999</v>
      </c>
      <c r="T178" s="783">
        <v>30819.813119999999</v>
      </c>
      <c r="U178" s="828">
        <v>92.759785427761827</v>
      </c>
      <c r="V178" s="829">
        <v>25045.142065495693</v>
      </c>
      <c r="W178" s="783">
        <v>16028.890921917244</v>
      </c>
      <c r="X178" s="828">
        <v>98.108800000000002</v>
      </c>
      <c r="Y178" s="829">
        <v>26489.376</v>
      </c>
      <c r="Z178" s="783">
        <v>16953.200639999999</v>
      </c>
      <c r="AA178" s="828">
        <v>83.886069275431197</v>
      </c>
      <c r="AB178" s="829">
        <v>22649.238704366424</v>
      </c>
      <c r="AC178" s="783">
        <v>14495.512770794512</v>
      </c>
      <c r="AD178" s="828">
        <v>70.083681916639691</v>
      </c>
      <c r="AE178" s="829">
        <v>18922.594117492714</v>
      </c>
      <c r="AF178" s="783">
        <v>12110.460235195336</v>
      </c>
      <c r="AG178" s="828">
        <v>152.6285</v>
      </c>
      <c r="AH178" s="829">
        <v>41209.695</v>
      </c>
      <c r="AI178" s="783">
        <v>26374.2048</v>
      </c>
      <c r="AJ178" s="828">
        <v>191.81870000000001</v>
      </c>
      <c r="AK178" s="829">
        <v>51791.048999999999</v>
      </c>
      <c r="AL178" s="783">
        <v>33146.271359999999</v>
      </c>
      <c r="AM178" s="828">
        <v>85.921594933154992</v>
      </c>
      <c r="AN178" s="829">
        <v>23198.830631951849</v>
      </c>
      <c r="AO178" s="783">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270.00000000000006</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270</v>
      </c>
      <c r="Z180" s="825"/>
      <c r="AA180" s="776"/>
      <c r="AB180" s="824">
        <v>270</v>
      </c>
      <c r="AC180" s="825"/>
      <c r="AD180" s="776"/>
      <c r="AE180" s="824">
        <v>269.99999999999994</v>
      </c>
      <c r="AF180" s="825"/>
      <c r="AG180" s="776"/>
      <c r="AH180" s="824">
        <v>270</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2611.875</v>
      </c>
      <c r="D181" s="770">
        <v>767891.25</v>
      </c>
      <c r="E181" s="758">
        <v>568239.52499999991</v>
      </c>
      <c r="F181" s="820">
        <v>131.25</v>
      </c>
      <c r="G181" s="821">
        <v>38587.5</v>
      </c>
      <c r="H181" s="771">
        <v>28554.75</v>
      </c>
      <c r="I181" s="820">
        <v>131.25</v>
      </c>
      <c r="J181" s="821">
        <v>38587.5</v>
      </c>
      <c r="K181" s="771">
        <v>28554.75</v>
      </c>
      <c r="L181" s="820">
        <v>183.75000000000003</v>
      </c>
      <c r="M181" s="821">
        <v>54022.500000000007</v>
      </c>
      <c r="N181" s="771">
        <v>39976.65</v>
      </c>
      <c r="O181" s="820">
        <v>262.5</v>
      </c>
      <c r="P181" s="821">
        <v>77175</v>
      </c>
      <c r="Q181" s="771">
        <v>57109.5</v>
      </c>
      <c r="R181" s="820">
        <v>301.875</v>
      </c>
      <c r="S181" s="821">
        <v>88751.25</v>
      </c>
      <c r="T181" s="771">
        <v>65675.925000000003</v>
      </c>
      <c r="U181" s="820">
        <v>236.25</v>
      </c>
      <c r="V181" s="821">
        <v>69457.5</v>
      </c>
      <c r="W181" s="771">
        <v>51398.55</v>
      </c>
      <c r="X181" s="820">
        <v>210</v>
      </c>
      <c r="Y181" s="821">
        <v>61740</v>
      </c>
      <c r="Z181" s="771">
        <v>45687.6</v>
      </c>
      <c r="AA181" s="820">
        <v>236.25</v>
      </c>
      <c r="AB181" s="821">
        <v>69457.5</v>
      </c>
      <c r="AC181" s="771">
        <v>51398.55</v>
      </c>
      <c r="AD181" s="820">
        <v>210</v>
      </c>
      <c r="AE181" s="821">
        <v>61740</v>
      </c>
      <c r="AF181" s="771">
        <v>45687.6</v>
      </c>
      <c r="AG181" s="820">
        <v>315</v>
      </c>
      <c r="AH181" s="821">
        <v>92610</v>
      </c>
      <c r="AI181" s="771">
        <v>68531.399999999994</v>
      </c>
      <c r="AJ181" s="820">
        <v>262.5</v>
      </c>
      <c r="AK181" s="821">
        <v>77175</v>
      </c>
      <c r="AL181" s="771">
        <v>57109.5</v>
      </c>
      <c r="AM181" s="820">
        <v>131.25</v>
      </c>
      <c r="AN181" s="821">
        <v>38587.5</v>
      </c>
      <c r="AO181" s="771">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0.73999999999999988</v>
      </c>
      <c r="F182" s="819"/>
      <c r="G182" s="830"/>
      <c r="H182" s="822">
        <v>0.74</v>
      </c>
      <c r="I182" s="819"/>
      <c r="J182" s="830"/>
      <c r="K182" s="822">
        <v>0.74</v>
      </c>
      <c r="L182" s="819"/>
      <c r="M182" s="830"/>
      <c r="N182" s="822">
        <v>0.73999999999999988</v>
      </c>
      <c r="O182" s="819"/>
      <c r="P182" s="830"/>
      <c r="Q182" s="822">
        <v>0.74</v>
      </c>
      <c r="R182" s="819"/>
      <c r="S182" s="830"/>
      <c r="T182" s="822">
        <v>0.74</v>
      </c>
      <c r="U182" s="819"/>
      <c r="V182" s="830"/>
      <c r="W182" s="822">
        <v>0.74</v>
      </c>
      <c r="X182" s="819"/>
      <c r="Y182" s="830"/>
      <c r="Z182" s="822">
        <v>0.74</v>
      </c>
      <c r="AA182" s="819"/>
      <c r="AB182" s="830"/>
      <c r="AC182" s="822">
        <v>0.74</v>
      </c>
      <c r="AD182" s="819"/>
      <c r="AE182" s="830"/>
      <c r="AF182" s="822">
        <v>0.74</v>
      </c>
      <c r="AG182" s="819"/>
      <c r="AH182" s="830"/>
      <c r="AI182" s="822">
        <v>0.74</v>
      </c>
      <c r="AJ182" s="819"/>
      <c r="AK182" s="830"/>
      <c r="AL182" s="822">
        <v>0.74</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294</v>
      </c>
      <c r="E183" s="822"/>
      <c r="F183" s="819"/>
      <c r="G183" s="831">
        <v>294</v>
      </c>
      <c r="H183" s="822"/>
      <c r="I183" s="819"/>
      <c r="J183" s="831">
        <v>294</v>
      </c>
      <c r="K183" s="822"/>
      <c r="L183" s="819"/>
      <c r="M183" s="831">
        <v>294</v>
      </c>
      <c r="N183" s="822"/>
      <c r="O183" s="819"/>
      <c r="P183" s="831">
        <v>294</v>
      </c>
      <c r="Q183" s="822"/>
      <c r="R183" s="819"/>
      <c r="S183" s="831">
        <v>294</v>
      </c>
      <c r="T183" s="822"/>
      <c r="U183" s="819"/>
      <c r="V183" s="831">
        <v>294</v>
      </c>
      <c r="W183" s="822"/>
      <c r="X183" s="819"/>
      <c r="Y183" s="831">
        <v>294</v>
      </c>
      <c r="Z183" s="822"/>
      <c r="AA183" s="819"/>
      <c r="AB183" s="831">
        <v>294</v>
      </c>
      <c r="AC183" s="822"/>
      <c r="AD183" s="819"/>
      <c r="AE183" s="831">
        <v>294</v>
      </c>
      <c r="AF183" s="822"/>
      <c r="AG183" s="819"/>
      <c r="AH183" s="831">
        <v>294</v>
      </c>
      <c r="AI183" s="822"/>
      <c r="AJ183" s="819"/>
      <c r="AK183" s="831">
        <v>294</v>
      </c>
      <c r="AL183" s="822"/>
      <c r="AM183" s="819"/>
      <c r="AN183" s="831">
        <v>294</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1680</v>
      </c>
      <c r="D184" s="827">
        <v>167999.99999999997</v>
      </c>
      <c r="E184" s="782">
        <v>127680.00000000001</v>
      </c>
      <c r="F184" s="828">
        <v>130.89082671091208</v>
      </c>
      <c r="G184" s="829">
        <v>13089.08267109121</v>
      </c>
      <c r="H184" s="783">
        <v>9947.7028300293186</v>
      </c>
      <c r="I184" s="828">
        <v>90.114229728258636</v>
      </c>
      <c r="J184" s="829">
        <v>9011.4229728258633</v>
      </c>
      <c r="K184" s="783">
        <v>6848.6814593476565</v>
      </c>
      <c r="L184" s="828">
        <v>136.98918515126147</v>
      </c>
      <c r="M184" s="829">
        <v>13698.918515126148</v>
      </c>
      <c r="N184" s="783">
        <v>10411.178071495873</v>
      </c>
      <c r="O184" s="828">
        <v>151.73371672679087</v>
      </c>
      <c r="P184" s="829">
        <v>15173.371672679088</v>
      </c>
      <c r="Q184" s="783">
        <v>11531.762471236107</v>
      </c>
      <c r="R184" s="828">
        <v>198.27442913289764</v>
      </c>
      <c r="S184" s="829">
        <v>19827.442913289764</v>
      </c>
      <c r="T184" s="783">
        <v>15068.856614100221</v>
      </c>
      <c r="U184" s="828">
        <v>139.69255948917578</v>
      </c>
      <c r="V184" s="829">
        <v>13969.255948917578</v>
      </c>
      <c r="W184" s="783">
        <v>10616.634521177361</v>
      </c>
      <c r="X184" s="828">
        <v>139.0787295461968</v>
      </c>
      <c r="Y184" s="829">
        <v>13907.872954619679</v>
      </c>
      <c r="Z184" s="783">
        <v>10569.983445510956</v>
      </c>
      <c r="AA184" s="828">
        <v>147.26663238148149</v>
      </c>
      <c r="AB184" s="829">
        <v>14726.66323814815</v>
      </c>
      <c r="AC184" s="783">
        <v>11192.264060992595</v>
      </c>
      <c r="AD184" s="828">
        <v>161.37421028330323</v>
      </c>
      <c r="AE184" s="829">
        <v>16137.421028330324</v>
      </c>
      <c r="AF184" s="783">
        <v>12264.439981531046</v>
      </c>
      <c r="AG184" s="828">
        <v>200.16216642329189</v>
      </c>
      <c r="AH184" s="829">
        <v>20016.216642329189</v>
      </c>
      <c r="AI184" s="783">
        <v>15212.324648170184</v>
      </c>
      <c r="AJ184" s="828">
        <v>116.32497850919506</v>
      </c>
      <c r="AK184" s="829">
        <v>11632.497850919506</v>
      </c>
      <c r="AL184" s="783">
        <v>8840.6983666988253</v>
      </c>
      <c r="AM184" s="828">
        <v>68.098335917235062</v>
      </c>
      <c r="AN184" s="829">
        <v>6809.8335917235054</v>
      </c>
      <c r="AO184" s="783">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0.76000000000000023</v>
      </c>
      <c r="F185" s="832"/>
      <c r="G185" s="833">
        <v>0</v>
      </c>
      <c r="H185" s="822">
        <v>0.7599999999999999</v>
      </c>
      <c r="I185" s="832"/>
      <c r="J185" s="833">
        <v>0</v>
      </c>
      <c r="K185" s="822">
        <v>0.76</v>
      </c>
      <c r="L185" s="832"/>
      <c r="M185" s="833">
        <v>0</v>
      </c>
      <c r="N185" s="822">
        <v>0.76</v>
      </c>
      <c r="O185" s="832"/>
      <c r="P185" s="833">
        <v>0</v>
      </c>
      <c r="Q185" s="822">
        <v>0.76</v>
      </c>
      <c r="R185" s="832"/>
      <c r="S185" s="833">
        <v>0</v>
      </c>
      <c r="T185" s="822">
        <v>0.76</v>
      </c>
      <c r="U185" s="832"/>
      <c r="V185" s="833">
        <v>0</v>
      </c>
      <c r="W185" s="822">
        <v>0.76000000000000012</v>
      </c>
      <c r="X185" s="832"/>
      <c r="Y185" s="833">
        <v>0</v>
      </c>
      <c r="Z185" s="822">
        <v>0.76</v>
      </c>
      <c r="AA185" s="832"/>
      <c r="AB185" s="833">
        <v>0</v>
      </c>
      <c r="AC185" s="822">
        <v>0.76</v>
      </c>
      <c r="AD185" s="832"/>
      <c r="AE185" s="833">
        <v>0</v>
      </c>
      <c r="AF185" s="822">
        <v>0.76</v>
      </c>
      <c r="AG185" s="832"/>
      <c r="AH185" s="833">
        <v>0</v>
      </c>
      <c r="AI185" s="822">
        <v>0.76</v>
      </c>
      <c r="AJ185" s="832"/>
      <c r="AK185" s="833">
        <v>0</v>
      </c>
      <c r="AL185" s="822">
        <v>0.76</v>
      </c>
      <c r="AM185" s="832"/>
      <c r="AN185" s="833">
        <v>0</v>
      </c>
      <c r="AO185" s="822">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99.999999999999986</v>
      </c>
      <c r="E186" s="825"/>
      <c r="F186" s="834"/>
      <c r="G186" s="835">
        <v>100.00000000000001</v>
      </c>
      <c r="H186" s="825"/>
      <c r="I186" s="834"/>
      <c r="J186" s="835">
        <v>100</v>
      </c>
      <c r="K186" s="825"/>
      <c r="L186" s="834"/>
      <c r="M186" s="835">
        <v>100.00000000000001</v>
      </c>
      <c r="N186" s="825"/>
      <c r="O186" s="834"/>
      <c r="P186" s="835">
        <v>100</v>
      </c>
      <c r="Q186" s="825"/>
      <c r="R186" s="834"/>
      <c r="S186" s="835">
        <v>100</v>
      </c>
      <c r="T186" s="825"/>
      <c r="U186" s="834"/>
      <c r="V186" s="835">
        <v>100</v>
      </c>
      <c r="W186" s="825"/>
      <c r="X186" s="834"/>
      <c r="Y186" s="835">
        <v>100</v>
      </c>
      <c r="Z186" s="825"/>
      <c r="AA186" s="834"/>
      <c r="AB186" s="835">
        <v>100.00000000000001</v>
      </c>
      <c r="AC186" s="825"/>
      <c r="AD186" s="834"/>
      <c r="AE186" s="835">
        <v>100</v>
      </c>
      <c r="AF186" s="825"/>
      <c r="AG186" s="834"/>
      <c r="AH186" s="835">
        <v>100</v>
      </c>
      <c r="AI186" s="825"/>
      <c r="AJ186" s="834"/>
      <c r="AK186" s="835">
        <v>100</v>
      </c>
      <c r="AL186" s="825"/>
      <c r="AM186" s="834"/>
      <c r="AN186" s="835">
        <v>99.999999999999986</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-38999.999999999978</v>
      </c>
      <c r="F187" s="820"/>
      <c r="G187" s="821"/>
      <c r="H187" s="771">
        <v>-1913.6914707565138</v>
      </c>
      <c r="I187" s="820"/>
      <c r="J187" s="821"/>
      <c r="K187" s="771">
        <v>-1880.8409511640809</v>
      </c>
      <c r="L187" s="820"/>
      <c r="M187" s="821"/>
      <c r="N187" s="771">
        <v>-2662.7586946003275</v>
      </c>
      <c r="O187" s="820"/>
      <c r="P187" s="821"/>
      <c r="Q187" s="771">
        <v>-4558.590378992194</v>
      </c>
      <c r="R187" s="820"/>
      <c r="S187" s="821"/>
      <c r="T187" s="771">
        <v>-5026.1907963026288</v>
      </c>
      <c r="U187" s="820"/>
      <c r="V187" s="821"/>
      <c r="W187" s="771">
        <v>-2925.6573101237609</v>
      </c>
      <c r="X187" s="820"/>
      <c r="Y187" s="821"/>
      <c r="Z187" s="771">
        <v>-2948.0748381438912</v>
      </c>
      <c r="AA187" s="820"/>
      <c r="AB187" s="821"/>
      <c r="AC187" s="771">
        <v>-2745.9763920939877</v>
      </c>
      <c r="AD187" s="820"/>
      <c r="AE187" s="821"/>
      <c r="AF187" s="771">
        <v>-2378.8512154376144</v>
      </c>
      <c r="AG187" s="820"/>
      <c r="AH187" s="821"/>
      <c r="AI187" s="771">
        <v>-4528.6893081736907</v>
      </c>
      <c r="AJ187" s="820"/>
      <c r="AK187" s="821"/>
      <c r="AL187" s="771">
        <v>-5087.5973124709253</v>
      </c>
      <c r="AM187" s="820"/>
      <c r="AN187" s="821"/>
      <c r="AO187" s="771">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11918.804222852497</v>
      </c>
      <c r="D188" s="837">
        <v>3372798.6357409121</v>
      </c>
      <c r="E188" s="838">
        <v>2465780.3389508706</v>
      </c>
      <c r="F188" s="836">
        <v>619.39795917126537</v>
      </c>
      <c r="G188" s="837">
        <v>165825.08454687579</v>
      </c>
      <c r="H188" s="838">
        <v>121318.59279335776</v>
      </c>
      <c r="I188" s="836">
        <v>581.62683286364552</v>
      </c>
      <c r="J188" s="837">
        <v>162707.7135141551</v>
      </c>
      <c r="K188" s="838">
        <v>118965.22233318569</v>
      </c>
      <c r="L188" s="836">
        <v>829.94600627550699</v>
      </c>
      <c r="M188" s="837">
        <v>230419.90790837479</v>
      </c>
      <c r="N188" s="838">
        <v>168492.45006377829</v>
      </c>
      <c r="O188" s="836">
        <v>1358.4563167267909</v>
      </c>
      <c r="P188" s="837">
        <v>394040.30567267904</v>
      </c>
      <c r="Q188" s="838">
        <v>288021.71897224389</v>
      </c>
      <c r="R188" s="836">
        <v>1520.6420291328977</v>
      </c>
      <c r="S188" s="837">
        <v>434639.92691328976</v>
      </c>
      <c r="T188" s="838">
        <v>317746.41369779763</v>
      </c>
      <c r="U188" s="836">
        <v>906.68440754434414</v>
      </c>
      <c r="V188" s="837">
        <v>253005.97868145746</v>
      </c>
      <c r="W188" s="838">
        <v>184964.31943992444</v>
      </c>
      <c r="X188" s="836">
        <v>910.42592954619681</v>
      </c>
      <c r="Y188" s="837">
        <v>255005.92095461965</v>
      </c>
      <c r="Z188" s="838">
        <v>186442.89996736709</v>
      </c>
      <c r="AA188" s="836">
        <v>863.48591247428999</v>
      </c>
      <c r="AB188" s="837">
        <v>237540.8615122491</v>
      </c>
      <c r="AC188" s="838">
        <v>173678.01971269134</v>
      </c>
      <c r="AD188" s="836">
        <v>772.37064087460931</v>
      </c>
      <c r="AE188" s="837">
        <v>206001.22220846292</v>
      </c>
      <c r="AF188" s="838">
        <v>150676.56636889509</v>
      </c>
      <c r="AG188" s="836">
        <v>1388.4536664232919</v>
      </c>
      <c r="AH188" s="837">
        <v>391654.70164232916</v>
      </c>
      <c r="AI188" s="838">
        <v>286331.52053999656</v>
      </c>
      <c r="AJ188" s="836">
        <v>1476.350278509195</v>
      </c>
      <c r="AK188" s="837">
        <v>439481.72485091951</v>
      </c>
      <c r="AL188" s="838">
        <v>321160.08769422793</v>
      </c>
      <c r="AM188" s="836">
        <v>690.96424331046319</v>
      </c>
      <c r="AN188" s="837">
        <v>202475.28733549951</v>
      </c>
      <c r="AO188" s="838">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282.98129348194868</v>
      </c>
      <c r="E189" s="841">
        <v>0.73107843226140468</v>
      </c>
      <c r="F189" s="839"/>
      <c r="G189" s="840">
        <v>267.71977868436062</v>
      </c>
      <c r="H189" s="841">
        <v>0.73160579489445798</v>
      </c>
      <c r="I189" s="839"/>
      <c r="J189" s="840">
        <v>279.74588571346004</v>
      </c>
      <c r="K189" s="841">
        <v>0.73115908129847862</v>
      </c>
      <c r="L189" s="839"/>
      <c r="M189" s="840">
        <v>277.63240760976095</v>
      </c>
      <c r="N189" s="841">
        <v>0.7312408532459721</v>
      </c>
      <c r="O189" s="839"/>
      <c r="P189" s="840">
        <v>290.06476014048184</v>
      </c>
      <c r="Q189" s="841">
        <v>0.73094481662365129</v>
      </c>
      <c r="R189" s="839"/>
      <c r="S189" s="840">
        <v>285.82659073360657</v>
      </c>
      <c r="T189" s="841">
        <v>0.73105666097994659</v>
      </c>
      <c r="U189" s="839"/>
      <c r="V189" s="840">
        <v>279.04525166225875</v>
      </c>
      <c r="W189" s="841">
        <v>0.73106699060578473</v>
      </c>
      <c r="X189" s="839"/>
      <c r="Y189" s="840">
        <v>280.09518696565215</v>
      </c>
      <c r="Z189" s="841">
        <v>0.73113165086290721</v>
      </c>
      <c r="AA189" s="839"/>
      <c r="AB189" s="840">
        <v>275.09523673823895</v>
      </c>
      <c r="AC189" s="841">
        <v>0.73115007922009834</v>
      </c>
      <c r="AD189" s="839"/>
      <c r="AE189" s="840">
        <v>266.71291127170929</v>
      </c>
      <c r="AF189" s="841">
        <v>0.73143530292464942</v>
      </c>
      <c r="AG189" s="839"/>
      <c r="AH189" s="840">
        <v>282.07977775106184</v>
      </c>
      <c r="AI189" s="841">
        <v>0.73108153518729646</v>
      </c>
      <c r="AJ189" s="839"/>
      <c r="AK189" s="840">
        <v>297.68120157413057</v>
      </c>
      <c r="AL189" s="841">
        <v>0.73077006285795276</v>
      </c>
      <c r="AM189" s="839"/>
      <c r="AN189" s="840">
        <v>293.03294533075217</v>
      </c>
      <c r="AO189" s="841">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149998.60802777953</v>
      </c>
      <c r="E191" s="758">
        <v>32999.693766111493</v>
      </c>
      <c r="F191" s="820">
        <v>0</v>
      </c>
      <c r="G191" s="843">
        <v>7026.1662343061498</v>
      </c>
      <c r="H191" s="771">
        <v>1545.7565715473529</v>
      </c>
      <c r="I191" s="820">
        <v>0</v>
      </c>
      <c r="J191" s="843">
        <v>7085.2747437141779</v>
      </c>
      <c r="K191" s="771">
        <v>1558.7604436171191</v>
      </c>
      <c r="L191" s="820">
        <v>0</v>
      </c>
      <c r="M191" s="843">
        <v>10014.55659743501</v>
      </c>
      <c r="N191" s="771">
        <v>2203.2024514357022</v>
      </c>
      <c r="O191" s="820">
        <v>0</v>
      </c>
      <c r="P191" s="843">
        <v>18570</v>
      </c>
      <c r="Q191" s="771">
        <v>4085.4</v>
      </c>
      <c r="R191" s="820">
        <v>0</v>
      </c>
      <c r="S191" s="843">
        <v>20070</v>
      </c>
      <c r="T191" s="771">
        <v>4415.3999999999996</v>
      </c>
      <c r="U191" s="820">
        <v>0</v>
      </c>
      <c r="V191" s="843">
        <v>10438.085381968698</v>
      </c>
      <c r="W191" s="771">
        <v>2296.3787840331138</v>
      </c>
      <c r="X191" s="820">
        <v>0</v>
      </c>
      <c r="Y191" s="843">
        <v>11040</v>
      </c>
      <c r="Z191" s="771">
        <v>2428.8000000000002</v>
      </c>
      <c r="AA191" s="820">
        <v>0</v>
      </c>
      <c r="AB191" s="843">
        <v>9439.5426791557984</v>
      </c>
      <c r="AC191" s="771">
        <v>2076.6993894142756</v>
      </c>
      <c r="AD191" s="820">
        <v>0</v>
      </c>
      <c r="AE191" s="843">
        <v>7886.3858120749837</v>
      </c>
      <c r="AF191" s="771">
        <v>1735.0048786564964</v>
      </c>
      <c r="AG191" s="820">
        <v>0</v>
      </c>
      <c r="AH191" s="843">
        <v>17175</v>
      </c>
      <c r="AI191" s="771">
        <v>3778.5</v>
      </c>
      <c r="AJ191" s="820">
        <v>0</v>
      </c>
      <c r="AK191" s="843">
        <v>21585</v>
      </c>
      <c r="AL191" s="771">
        <v>4748.7</v>
      </c>
      <c r="AM191" s="820">
        <v>0</v>
      </c>
      <c r="AN191" s="843">
        <v>9668.5965791247181</v>
      </c>
      <c r="AO191" s="771">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0.21999999999999997</v>
      </c>
      <c r="F192" s="819"/>
      <c r="G192" s="830"/>
      <c r="H192" s="822">
        <v>0.22</v>
      </c>
      <c r="I192" s="819"/>
      <c r="J192" s="830"/>
      <c r="K192" s="822">
        <v>0.22</v>
      </c>
      <c r="L192" s="819"/>
      <c r="M192" s="830"/>
      <c r="N192" s="822">
        <v>0.22</v>
      </c>
      <c r="O192" s="819"/>
      <c r="P192" s="830"/>
      <c r="Q192" s="822">
        <v>0.22</v>
      </c>
      <c r="R192" s="819"/>
      <c r="S192" s="830"/>
      <c r="T192" s="822">
        <v>0.21999999999999997</v>
      </c>
      <c r="U192" s="819"/>
      <c r="V192" s="830"/>
      <c r="W192" s="822">
        <v>0.22000000000000003</v>
      </c>
      <c r="X192" s="819"/>
      <c r="Y192" s="830"/>
      <c r="Z192" s="822">
        <v>0.22000000000000003</v>
      </c>
      <c r="AA192" s="819"/>
      <c r="AB192" s="830"/>
      <c r="AC192" s="822">
        <v>0.22</v>
      </c>
      <c r="AD192" s="819"/>
      <c r="AE192" s="830"/>
      <c r="AF192" s="822">
        <v>0.22</v>
      </c>
      <c r="AG192" s="819"/>
      <c r="AH192" s="830"/>
      <c r="AI192" s="822">
        <v>0.22</v>
      </c>
      <c r="AJ192" s="819"/>
      <c r="AK192" s="830"/>
      <c r="AL192" s="822">
        <v>0.22</v>
      </c>
      <c r="AM192" s="819"/>
      <c r="AN192" s="830"/>
      <c r="AO192" s="822">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167999.99999999997</v>
      </c>
      <c r="E194" s="782">
        <v>117600</v>
      </c>
      <c r="F194" s="828">
        <v>0</v>
      </c>
      <c r="G194" s="845">
        <v>13089.08267109121</v>
      </c>
      <c r="H194" s="783">
        <v>9162.3578697638459</v>
      </c>
      <c r="I194" s="828">
        <v>0</v>
      </c>
      <c r="J194" s="845">
        <v>9011.4229728258633</v>
      </c>
      <c r="K194" s="783">
        <v>6307.9960809781041</v>
      </c>
      <c r="L194" s="828">
        <v>0</v>
      </c>
      <c r="M194" s="845">
        <v>13698.918515126148</v>
      </c>
      <c r="N194" s="783">
        <v>9589.2429605883026</v>
      </c>
      <c r="O194" s="828">
        <v>0</v>
      </c>
      <c r="P194" s="845">
        <v>15173.371672679088</v>
      </c>
      <c r="Q194" s="783">
        <v>10621.360170875361</v>
      </c>
      <c r="R194" s="828">
        <v>0</v>
      </c>
      <c r="S194" s="845">
        <v>19827.442913289764</v>
      </c>
      <c r="T194" s="783">
        <v>13879.210039302834</v>
      </c>
      <c r="U194" s="828">
        <v>0</v>
      </c>
      <c r="V194" s="845">
        <v>13969.255948917578</v>
      </c>
      <c r="W194" s="783">
        <v>9778.4791642423043</v>
      </c>
      <c r="X194" s="828">
        <v>0</v>
      </c>
      <c r="Y194" s="845">
        <v>13907.872954619679</v>
      </c>
      <c r="Z194" s="783">
        <v>9735.5110682337745</v>
      </c>
      <c r="AA194" s="828">
        <v>0</v>
      </c>
      <c r="AB194" s="845">
        <v>14726.66323814815</v>
      </c>
      <c r="AC194" s="783">
        <v>10308.664266703705</v>
      </c>
      <c r="AD194" s="828">
        <v>0</v>
      </c>
      <c r="AE194" s="845">
        <v>16137.421028330324</v>
      </c>
      <c r="AF194" s="783">
        <v>11296.194719831226</v>
      </c>
      <c r="AG194" s="828">
        <v>0</v>
      </c>
      <c r="AH194" s="845">
        <v>20016.216642329189</v>
      </c>
      <c r="AI194" s="783">
        <v>14011.351649630431</v>
      </c>
      <c r="AJ194" s="828">
        <v>0</v>
      </c>
      <c r="AK194" s="845">
        <v>11632.497850919506</v>
      </c>
      <c r="AL194" s="783">
        <v>8142.7484956436538</v>
      </c>
      <c r="AM194" s="828">
        <v>0</v>
      </c>
      <c r="AN194" s="845">
        <v>6809.8335917235054</v>
      </c>
      <c r="AO194" s="783">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0.70000000000000007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3690797.2437686916</v>
      </c>
      <c r="E197" s="761">
        <v>2616380.0327169821</v>
      </c>
      <c r="F197" s="759"/>
      <c r="G197" s="850">
        <v>185940.33345227316</v>
      </c>
      <c r="H197" s="761">
        <v>132026.70723466895</v>
      </c>
      <c r="I197" s="759"/>
      <c r="J197" s="850">
        <v>178804.41123069511</v>
      </c>
      <c r="K197" s="761">
        <v>126831.97885778092</v>
      </c>
      <c r="L197" s="759"/>
      <c r="M197" s="850">
        <v>254133.38302093593</v>
      </c>
      <c r="N197" s="761">
        <v>180284.8954758023</v>
      </c>
      <c r="O197" s="759"/>
      <c r="P197" s="850">
        <v>427783.67734535813</v>
      </c>
      <c r="Q197" s="761">
        <v>302728.4791431193</v>
      </c>
      <c r="R197" s="759"/>
      <c r="S197" s="850">
        <v>474537.36982657952</v>
      </c>
      <c r="T197" s="761">
        <v>336041.02373710048</v>
      </c>
      <c r="U197" s="759"/>
      <c r="V197" s="850">
        <v>277413.32001234376</v>
      </c>
      <c r="W197" s="761">
        <v>197039.17738819987</v>
      </c>
      <c r="X197" s="759"/>
      <c r="Y197" s="850">
        <v>279953.79390923935</v>
      </c>
      <c r="Z197" s="761">
        <v>198607.21103560086</v>
      </c>
      <c r="AA197" s="759"/>
      <c r="AB197" s="850">
        <v>261707.06742955305</v>
      </c>
      <c r="AC197" s="761">
        <v>186063.38336880933</v>
      </c>
      <c r="AD197" s="759"/>
      <c r="AE197" s="850">
        <v>230025.02904886822</v>
      </c>
      <c r="AF197" s="761">
        <v>163707.76596738282</v>
      </c>
      <c r="AG197" s="759"/>
      <c r="AH197" s="850">
        <v>428845.91828465834</v>
      </c>
      <c r="AI197" s="761">
        <v>304121.37218962697</v>
      </c>
      <c r="AJ197" s="759"/>
      <c r="AK197" s="850">
        <v>472699.222701839</v>
      </c>
      <c r="AL197" s="761">
        <v>334051.53618987161</v>
      </c>
      <c r="AM197" s="759"/>
      <c r="AN197" s="850">
        <v>218953.71750634772</v>
      </c>
      <c r="AO197" s="761">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0.70889291931013343</v>
      </c>
      <c r="F198" s="762"/>
      <c r="G198" s="763"/>
      <c r="H198" s="851">
        <v>0.7100487816891935</v>
      </c>
      <c r="I198" s="762"/>
      <c r="J198" s="763"/>
      <c r="K198" s="851">
        <v>0.70933361198869482</v>
      </c>
      <c r="L198" s="762"/>
      <c r="M198" s="763"/>
      <c r="N198" s="851">
        <v>0.70941052030519791</v>
      </c>
      <c r="O198" s="762"/>
      <c r="P198" s="763"/>
      <c r="Q198" s="851">
        <v>0.70766720465288036</v>
      </c>
      <c r="R198" s="762"/>
      <c r="S198" s="763"/>
      <c r="T198" s="851">
        <v>0.70814448999012913</v>
      </c>
      <c r="U198" s="762"/>
      <c r="V198" s="763"/>
      <c r="W198" s="851">
        <v>0.71027295077046926</v>
      </c>
      <c r="X198" s="762"/>
      <c r="Y198" s="763"/>
      <c r="Z198" s="851">
        <v>0.7094285391252424</v>
      </c>
      <c r="AA198" s="762"/>
      <c r="AB198" s="763"/>
      <c r="AC198" s="851">
        <v>0.71096048416382307</v>
      </c>
      <c r="AD198" s="762"/>
      <c r="AE198" s="763"/>
      <c r="AF198" s="851">
        <v>0.71169544742282598</v>
      </c>
      <c r="AG198" s="762"/>
      <c r="AH198" s="763"/>
      <c r="AI198" s="851">
        <v>0.70916233365606618</v>
      </c>
      <c r="AJ198" s="762"/>
      <c r="AK198" s="763"/>
      <c r="AL198" s="851">
        <v>0.70668941294320431</v>
      </c>
      <c r="AM198" s="762"/>
      <c r="AN198" s="763"/>
      <c r="AO198" s="851">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200107.22499999998</v>
      </c>
      <c r="F201" s="747"/>
      <c r="G201" s="757"/>
      <c r="H201" s="771">
        <v>15728.762179487177</v>
      </c>
      <c r="I201" s="747"/>
      <c r="J201" s="757"/>
      <c r="K201" s="771">
        <v>15728.762179487177</v>
      </c>
      <c r="L201" s="747"/>
      <c r="M201" s="757"/>
      <c r="N201" s="771">
        <v>18569.281891025639</v>
      </c>
      <c r="O201" s="747"/>
      <c r="P201" s="757"/>
      <c r="Q201" s="771">
        <v>15728.762179487177</v>
      </c>
      <c r="R201" s="747"/>
      <c r="S201" s="757"/>
      <c r="T201" s="771">
        <v>18569.281891025639</v>
      </c>
      <c r="U201" s="747"/>
      <c r="V201" s="757"/>
      <c r="W201" s="771">
        <v>15728.762179487177</v>
      </c>
      <c r="X201" s="747"/>
      <c r="Y201" s="757"/>
      <c r="Z201" s="771">
        <v>15728.762179487177</v>
      </c>
      <c r="AA201" s="747"/>
      <c r="AB201" s="757"/>
      <c r="AC201" s="771">
        <v>18569.281891025639</v>
      </c>
      <c r="AD201" s="747"/>
      <c r="AE201" s="757"/>
      <c r="AF201" s="771">
        <v>15728.762179487177</v>
      </c>
      <c r="AG201" s="747"/>
      <c r="AH201" s="757"/>
      <c r="AI201" s="771">
        <v>15728.762179487177</v>
      </c>
      <c r="AJ201" s="747"/>
      <c r="AK201" s="757"/>
      <c r="AL201" s="771">
        <v>18569.281891025639</v>
      </c>
      <c r="AM201" s="747"/>
      <c r="AN201" s="757"/>
      <c r="AO201" s="771">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110532.42199999999</v>
      </c>
      <c r="F202" s="747"/>
      <c r="G202" s="757"/>
      <c r="H202" s="771">
        <v>8540.9555384615378</v>
      </c>
      <c r="I202" s="747"/>
      <c r="J202" s="757"/>
      <c r="K202" s="771">
        <v>8540.9555384615378</v>
      </c>
      <c r="L202" s="747"/>
      <c r="M202" s="757"/>
      <c r="N202" s="771">
        <v>10551.194423076922</v>
      </c>
      <c r="O202" s="747"/>
      <c r="P202" s="757"/>
      <c r="Q202" s="771">
        <v>8540.9555384615378</v>
      </c>
      <c r="R202" s="747"/>
      <c r="S202" s="757"/>
      <c r="T202" s="771">
        <v>10551.194423076922</v>
      </c>
      <c r="U202" s="747"/>
      <c r="V202" s="757"/>
      <c r="W202" s="771">
        <v>8540.9555384615378</v>
      </c>
      <c r="X202" s="747"/>
      <c r="Y202" s="757"/>
      <c r="Z202" s="771">
        <v>8540.9555384615378</v>
      </c>
      <c r="AA202" s="747"/>
      <c r="AB202" s="757"/>
      <c r="AC202" s="771">
        <v>10551.194423076922</v>
      </c>
      <c r="AD202" s="747"/>
      <c r="AE202" s="757"/>
      <c r="AF202" s="771">
        <v>8540.9555384615378</v>
      </c>
      <c r="AG202" s="747"/>
      <c r="AH202" s="757"/>
      <c r="AI202" s="771">
        <v>8540.9555384615378</v>
      </c>
      <c r="AJ202" s="747"/>
      <c r="AK202" s="757"/>
      <c r="AL202" s="771">
        <v>10551.194423076922</v>
      </c>
      <c r="AM202" s="747"/>
      <c r="AN202" s="757"/>
      <c r="AO202" s="771">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225525.50000000003</v>
      </c>
      <c r="F203" s="780"/>
      <c r="G203" s="781"/>
      <c r="H203" s="783">
        <v>17386.576923076926</v>
      </c>
      <c r="I203" s="780"/>
      <c r="J203" s="781"/>
      <c r="K203" s="783">
        <v>17386.576923076926</v>
      </c>
      <c r="L203" s="780"/>
      <c r="M203" s="781"/>
      <c r="N203" s="783">
        <v>21608.221153846152</v>
      </c>
      <c r="O203" s="780"/>
      <c r="P203" s="781"/>
      <c r="Q203" s="783">
        <v>17386.576923076926</v>
      </c>
      <c r="R203" s="780"/>
      <c r="S203" s="781"/>
      <c r="T203" s="783">
        <v>21608.221153846152</v>
      </c>
      <c r="U203" s="780"/>
      <c r="V203" s="781"/>
      <c r="W203" s="783">
        <v>17386.576923076926</v>
      </c>
      <c r="X203" s="780"/>
      <c r="Y203" s="781"/>
      <c r="Z203" s="783">
        <v>17386.576923076926</v>
      </c>
      <c r="AA203" s="780"/>
      <c r="AB203" s="781"/>
      <c r="AC203" s="783">
        <v>21608.221153846152</v>
      </c>
      <c r="AD203" s="780"/>
      <c r="AE203" s="781"/>
      <c r="AF203" s="783">
        <v>17386.576923076926</v>
      </c>
      <c r="AG203" s="780"/>
      <c r="AH203" s="781"/>
      <c r="AI203" s="783">
        <v>17386.576923076926</v>
      </c>
      <c r="AJ203" s="780"/>
      <c r="AK203" s="781"/>
      <c r="AL203" s="783">
        <v>21608.221153846152</v>
      </c>
      <c r="AM203" s="780"/>
      <c r="AN203" s="781"/>
      <c r="AO203" s="783">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365799.26791981579</v>
      </c>
      <c r="F204" s="747"/>
      <c r="G204" s="757"/>
      <c r="H204" s="771">
        <v>22290.336382194619</v>
      </c>
      <c r="I204" s="747"/>
      <c r="J204" s="757"/>
      <c r="K204" s="771">
        <v>22366.944585270074</v>
      </c>
      <c r="L204" s="747"/>
      <c r="M204" s="757"/>
      <c r="N204" s="771">
        <v>29459.471030658788</v>
      </c>
      <c r="O204" s="747"/>
      <c r="P204" s="757"/>
      <c r="Q204" s="771">
        <v>37251.8431136</v>
      </c>
      <c r="R204" s="747"/>
      <c r="S204" s="757"/>
      <c r="T204" s="771">
        <v>42491.9338336</v>
      </c>
      <c r="U204" s="747"/>
      <c r="V204" s="757"/>
      <c r="W204" s="771">
        <v>26712.389950435332</v>
      </c>
      <c r="X204" s="747"/>
      <c r="Y204" s="757"/>
      <c r="Z204" s="771">
        <v>27492.507699199999</v>
      </c>
      <c r="AA204" s="747"/>
      <c r="AB204" s="757"/>
      <c r="AC204" s="771">
        <v>28714.218215727149</v>
      </c>
      <c r="AD204" s="747"/>
      <c r="AE204" s="757"/>
      <c r="AF204" s="771">
        <v>23405.232981063091</v>
      </c>
      <c r="AG204" s="747"/>
      <c r="AH204" s="757"/>
      <c r="AI204" s="771">
        <v>35443.838744000001</v>
      </c>
      <c r="AJ204" s="747"/>
      <c r="AK204" s="757"/>
      <c r="AL204" s="771">
        <v>44455.465460799998</v>
      </c>
      <c r="AM204" s="747"/>
      <c r="AN204" s="757"/>
      <c r="AO204" s="771">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209744.26717906876</v>
      </c>
      <c r="F208" s="747"/>
      <c r="G208" s="757"/>
      <c r="H208" s="771">
        <v>12657.897135159797</v>
      </c>
      <c r="I208" s="747"/>
      <c r="J208" s="757"/>
      <c r="K208" s="771">
        <v>12579.878101224591</v>
      </c>
      <c r="L208" s="747"/>
      <c r="M208" s="757"/>
      <c r="N208" s="771">
        <v>16539.370539953656</v>
      </c>
      <c r="O208" s="747"/>
      <c r="P208" s="757"/>
      <c r="Q208" s="771">
        <v>21337.650925649403</v>
      </c>
      <c r="R208" s="747"/>
      <c r="S208" s="757"/>
      <c r="T208" s="771">
        <v>24257.202352684133</v>
      </c>
      <c r="U208" s="747"/>
      <c r="V208" s="757"/>
      <c r="W208" s="771">
        <v>15831.041725044821</v>
      </c>
      <c r="X208" s="747"/>
      <c r="Y208" s="757"/>
      <c r="Z208" s="771">
        <v>15978.759647668778</v>
      </c>
      <c r="AA208" s="747"/>
      <c r="AB208" s="757"/>
      <c r="AC208" s="771">
        <v>16674.450424347018</v>
      </c>
      <c r="AD208" s="747"/>
      <c r="AE208" s="757"/>
      <c r="AF208" s="771">
        <v>14012.29952289802</v>
      </c>
      <c r="AG208" s="747"/>
      <c r="AH208" s="757"/>
      <c r="AI208" s="771">
        <v>21053.513894315158</v>
      </c>
      <c r="AJ208" s="747"/>
      <c r="AK208" s="757"/>
      <c r="AL208" s="771">
        <v>24642.155259697473</v>
      </c>
      <c r="AM208" s="747"/>
      <c r="AN208" s="757"/>
      <c r="AO208" s="771">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255019.46141596028</v>
      </c>
      <c r="F209" s="780"/>
      <c r="G209" s="781"/>
      <c r="H209" s="783">
        <v>15390.218543189885</v>
      </c>
      <c r="I209" s="780"/>
      <c r="J209" s="781"/>
      <c r="K209" s="783">
        <v>15295.358396202588</v>
      </c>
      <c r="L209" s="780"/>
      <c r="M209" s="781"/>
      <c r="N209" s="783">
        <v>20109.543035362156</v>
      </c>
      <c r="O209" s="780"/>
      <c r="P209" s="781"/>
      <c r="Q209" s="783">
        <v>25943.575574798393</v>
      </c>
      <c r="R209" s="780"/>
      <c r="S209" s="781"/>
      <c r="T209" s="783">
        <v>29493.338543351638</v>
      </c>
      <c r="U209" s="780"/>
      <c r="V209" s="781"/>
      <c r="W209" s="783">
        <v>19248.315048953176</v>
      </c>
      <c r="X209" s="780"/>
      <c r="Y209" s="781"/>
      <c r="Z209" s="783">
        <v>19427.919219191994</v>
      </c>
      <c r="AA209" s="780"/>
      <c r="AB209" s="781"/>
      <c r="AC209" s="783">
        <v>20273.781132686243</v>
      </c>
      <c r="AD209" s="780"/>
      <c r="AE209" s="781"/>
      <c r="AF209" s="783">
        <v>17036.980917708606</v>
      </c>
      <c r="AG209" s="780"/>
      <c r="AH209" s="781"/>
      <c r="AI209" s="783">
        <v>25598.104999255436</v>
      </c>
      <c r="AJ209" s="780"/>
      <c r="AK209" s="781"/>
      <c r="AL209" s="783">
        <v>29961.387011790761</v>
      </c>
      <c r="AM209" s="780"/>
      <c r="AN209" s="781"/>
      <c r="AO209" s="783">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131390.46164257085</v>
      </c>
      <c r="F210" s="747"/>
      <c r="G210" s="757"/>
      <c r="H210" s="771">
        <v>7929.3082494260925</v>
      </c>
      <c r="I210" s="747"/>
      <c r="J210" s="757"/>
      <c r="K210" s="771">
        <v>7880.4346519565488</v>
      </c>
      <c r="L210" s="747"/>
      <c r="M210" s="757"/>
      <c r="N210" s="771">
        <v>10360.786303001805</v>
      </c>
      <c r="O210" s="747"/>
      <c r="P210" s="757"/>
      <c r="Q210" s="771">
        <v>13366.581328754823</v>
      </c>
      <c r="R210" s="747"/>
      <c r="S210" s="757"/>
      <c r="T210" s="771">
        <v>15195.480945161602</v>
      </c>
      <c r="U210" s="747"/>
      <c r="V210" s="757"/>
      <c r="W210" s="771">
        <v>9917.0666665258741</v>
      </c>
      <c r="X210" s="747"/>
      <c r="Y210" s="757"/>
      <c r="Z210" s="771">
        <v>10009.601858583701</v>
      </c>
      <c r="AA210" s="747"/>
      <c r="AB210" s="757"/>
      <c r="AC210" s="771">
        <v>10445.404627057909</v>
      </c>
      <c r="AD210" s="747"/>
      <c r="AE210" s="757"/>
      <c r="AF210" s="771">
        <v>8777.7488641237815</v>
      </c>
      <c r="AG210" s="747"/>
      <c r="AH210" s="757"/>
      <c r="AI210" s="771">
        <v>13188.588880051169</v>
      </c>
      <c r="AJ210" s="747"/>
      <c r="AK210" s="757"/>
      <c r="AL210" s="771">
        <v>15436.627656074805</v>
      </c>
      <c r="AM210" s="747"/>
      <c r="AN210" s="757"/>
      <c r="AO210" s="771">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57286.980463005551</v>
      </c>
      <c r="F211" s="747"/>
      <c r="G211" s="757"/>
      <c r="H211" s="771">
        <v>3457.223006078887</v>
      </c>
      <c r="I211" s="747"/>
      <c r="J211" s="757"/>
      <c r="K211" s="771">
        <v>3435.9138426252184</v>
      </c>
      <c r="L211" s="747"/>
      <c r="M211" s="757"/>
      <c r="N211" s="771">
        <v>4517.3611166393239</v>
      </c>
      <c r="O211" s="747"/>
      <c r="P211" s="757"/>
      <c r="Q211" s="771">
        <v>5827.9046581068851</v>
      </c>
      <c r="R211" s="747"/>
      <c r="S211" s="757"/>
      <c r="T211" s="771">
        <v>6625.3151800282658</v>
      </c>
      <c r="U211" s="747"/>
      <c r="V211" s="757"/>
      <c r="W211" s="771">
        <v>4323.8968588228145</v>
      </c>
      <c r="X211" s="747"/>
      <c r="Y211" s="757"/>
      <c r="Z211" s="771">
        <v>4364.2427231518241</v>
      </c>
      <c r="AA211" s="747"/>
      <c r="AB211" s="757"/>
      <c r="AC211" s="771">
        <v>4554.255181980242</v>
      </c>
      <c r="AD211" s="747"/>
      <c r="AE211" s="757"/>
      <c r="AF211" s="771">
        <v>3827.1478873113533</v>
      </c>
      <c r="AG211" s="747"/>
      <c r="AH211" s="757"/>
      <c r="AI211" s="771">
        <v>5750.2989491081044</v>
      </c>
      <c r="AJ211" s="747"/>
      <c r="AK211" s="757"/>
      <c r="AL211" s="771">
        <v>6730.4565026486489</v>
      </c>
      <c r="AM211" s="747"/>
      <c r="AN211" s="757"/>
      <c r="AO211" s="771">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0.59448763794654436</v>
      </c>
      <c r="E213" s="779">
        <v>1555405.5856204212</v>
      </c>
      <c r="F213" s="777" t="s">
        <v>175</v>
      </c>
      <c r="G213" s="778">
        <v>0.78303307052353699</v>
      </c>
      <c r="H213" s="779">
        <v>103381.27795707491</v>
      </c>
      <c r="I213" s="777" t="s">
        <v>175</v>
      </c>
      <c r="J213" s="778">
        <v>0.81379179878634056</v>
      </c>
      <c r="K213" s="779">
        <v>103214.82421830465</v>
      </c>
      <c r="L213" s="777" t="s">
        <v>175</v>
      </c>
      <c r="M213" s="778">
        <v>0.73059492391720182</v>
      </c>
      <c r="N213" s="779">
        <v>131715.22949356446</v>
      </c>
      <c r="O213" s="777" t="s">
        <v>175</v>
      </c>
      <c r="P213" s="778">
        <v>0.48024503889904196</v>
      </c>
      <c r="Q213" s="779">
        <v>145383.85024193514</v>
      </c>
      <c r="R213" s="777" t="s">
        <v>175</v>
      </c>
      <c r="S213" s="778">
        <v>0.50229572105704468</v>
      </c>
      <c r="T213" s="779">
        <v>168791.96832277434</v>
      </c>
      <c r="U213" s="777" t="s">
        <v>175</v>
      </c>
      <c r="V213" s="778">
        <v>0.5972873336704041</v>
      </c>
      <c r="W213" s="779">
        <v>117689.00489080767</v>
      </c>
      <c r="X213" s="777" t="s">
        <v>175</v>
      </c>
      <c r="Y213" s="778">
        <v>0.59881675578991711</v>
      </c>
      <c r="Z213" s="779">
        <v>118929.32578882194</v>
      </c>
      <c r="AA213" s="777" t="s">
        <v>175</v>
      </c>
      <c r="AB213" s="778">
        <v>0.70616154920341467</v>
      </c>
      <c r="AC213" s="779">
        <v>131390.80704974727</v>
      </c>
      <c r="AD213" s="777" t="s">
        <v>175</v>
      </c>
      <c r="AE213" s="778">
        <v>0.66408398020525816</v>
      </c>
      <c r="AF213" s="779">
        <v>108715.70481413048</v>
      </c>
      <c r="AG213" s="777" t="s">
        <v>175</v>
      </c>
      <c r="AH213" s="778">
        <v>0.46918978130476291</v>
      </c>
      <c r="AI213" s="779">
        <v>142690.64010775549</v>
      </c>
      <c r="AJ213" s="777" t="s">
        <v>175</v>
      </c>
      <c r="AK213" s="778">
        <v>0.51475527195666892</v>
      </c>
      <c r="AL213" s="779">
        <v>171954.78935896041</v>
      </c>
      <c r="AM213" s="777" t="s">
        <v>175</v>
      </c>
      <c r="AN213" s="778">
        <v>0.72023942846810873</v>
      </c>
      <c r="AO213" s="779">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124643.90782958329</v>
      </c>
      <c r="F214" s="747"/>
      <c r="G214" s="757"/>
      <c r="H214" s="771">
        <v>10386.992319131941</v>
      </c>
      <c r="I214" s="747"/>
      <c r="J214" s="757"/>
      <c r="K214" s="771">
        <v>10386.992319131941</v>
      </c>
      <c r="L214" s="747"/>
      <c r="M214" s="757"/>
      <c r="N214" s="771">
        <v>10386.992319131941</v>
      </c>
      <c r="O214" s="747"/>
      <c r="P214" s="757"/>
      <c r="Q214" s="771">
        <v>10386.992319131941</v>
      </c>
      <c r="R214" s="747"/>
      <c r="S214" s="757"/>
      <c r="T214" s="771">
        <v>10386.992319131941</v>
      </c>
      <c r="U214" s="747"/>
      <c r="V214" s="757"/>
      <c r="W214" s="771">
        <v>10386.992319131941</v>
      </c>
      <c r="X214" s="747"/>
      <c r="Y214" s="757"/>
      <c r="Z214" s="771">
        <v>10386.992319131941</v>
      </c>
      <c r="AA214" s="747"/>
      <c r="AB214" s="757"/>
      <c r="AC214" s="771">
        <v>10386.992319131941</v>
      </c>
      <c r="AD214" s="747"/>
      <c r="AE214" s="757"/>
      <c r="AF214" s="771">
        <v>10386.992319131941</v>
      </c>
      <c r="AG214" s="747"/>
      <c r="AH214" s="757"/>
      <c r="AI214" s="771">
        <v>10386.992319131941</v>
      </c>
      <c r="AJ214" s="747"/>
      <c r="AK214" s="757"/>
      <c r="AL214" s="771">
        <v>10386.992319131941</v>
      </c>
      <c r="AM214" s="747"/>
      <c r="AN214" s="757"/>
      <c r="AO214" s="771">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46324.71188201334</v>
      </c>
      <c r="F215" s="747"/>
      <c r="G215" s="757"/>
      <c r="H215" s="771">
        <v>3860.3926568344446</v>
      </c>
      <c r="I215" s="747"/>
      <c r="J215" s="757"/>
      <c r="K215" s="771">
        <v>3860.3926568344446</v>
      </c>
      <c r="L215" s="747"/>
      <c r="M215" s="757"/>
      <c r="N215" s="771">
        <v>3860.3926568344446</v>
      </c>
      <c r="O215" s="747"/>
      <c r="P215" s="757"/>
      <c r="Q215" s="771">
        <v>3860.3926568344446</v>
      </c>
      <c r="R215" s="747"/>
      <c r="S215" s="757"/>
      <c r="T215" s="771">
        <v>3860.3926568344446</v>
      </c>
      <c r="U215" s="747"/>
      <c r="V215" s="757"/>
      <c r="W215" s="771">
        <v>3860.3926568344446</v>
      </c>
      <c r="X215" s="747"/>
      <c r="Y215" s="757"/>
      <c r="Z215" s="771">
        <v>3860.3926568344446</v>
      </c>
      <c r="AA215" s="747"/>
      <c r="AB215" s="757"/>
      <c r="AC215" s="771">
        <v>3860.3926568344446</v>
      </c>
      <c r="AD215" s="747"/>
      <c r="AE215" s="757"/>
      <c r="AF215" s="771">
        <v>3860.3926568344446</v>
      </c>
      <c r="AG215" s="747"/>
      <c r="AH215" s="757"/>
      <c r="AI215" s="771">
        <v>3860.3926568344446</v>
      </c>
      <c r="AJ215" s="747"/>
      <c r="AK215" s="757"/>
      <c r="AL215" s="771">
        <v>3860.3926568344446</v>
      </c>
      <c r="AM215" s="747"/>
      <c r="AN215" s="757"/>
      <c r="AO215" s="771">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160000</v>
      </c>
      <c r="F216" s="776"/>
      <c r="G216" s="784"/>
      <c r="H216" s="775">
        <v>13333.333333333334</v>
      </c>
      <c r="I216" s="776"/>
      <c r="J216" s="784"/>
      <c r="K216" s="775">
        <v>13333.333333333334</v>
      </c>
      <c r="L216" s="776"/>
      <c r="M216" s="784"/>
      <c r="N216" s="775">
        <v>13333.333333333334</v>
      </c>
      <c r="O216" s="776"/>
      <c r="P216" s="784"/>
      <c r="Q216" s="775">
        <v>13333.333333333334</v>
      </c>
      <c r="R216" s="776"/>
      <c r="S216" s="784"/>
      <c r="T216" s="775">
        <v>13333.333333333334</v>
      </c>
      <c r="U216" s="776"/>
      <c r="V216" s="784"/>
      <c r="W216" s="775">
        <v>13333.333333333334</v>
      </c>
      <c r="X216" s="776"/>
      <c r="Y216" s="784"/>
      <c r="Z216" s="775">
        <v>13333.333333333334</v>
      </c>
      <c r="AA216" s="776"/>
      <c r="AB216" s="784"/>
      <c r="AC216" s="775">
        <v>13333.333333333334</v>
      </c>
      <c r="AD216" s="776"/>
      <c r="AE216" s="784"/>
      <c r="AF216" s="775">
        <v>13333.333333333334</v>
      </c>
      <c r="AG216" s="776"/>
      <c r="AH216" s="784"/>
      <c r="AI216" s="775">
        <v>13333.333333333334</v>
      </c>
      <c r="AJ216" s="776"/>
      <c r="AK216" s="784"/>
      <c r="AL216" s="775">
        <v>13333.333333333334</v>
      </c>
      <c r="AM216" s="776"/>
      <c r="AN216" s="784"/>
      <c r="AO216" s="775">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52330.582495999988</v>
      </c>
      <c r="F217" s="747"/>
      <c r="G217" s="757"/>
      <c r="H217" s="771">
        <v>4360.8818746666657</v>
      </c>
      <c r="I217" s="747"/>
      <c r="J217" s="757"/>
      <c r="K217" s="771">
        <v>4360.8818746666657</v>
      </c>
      <c r="L217" s="747"/>
      <c r="M217" s="757"/>
      <c r="N217" s="771">
        <v>4360.8818746666657</v>
      </c>
      <c r="O217" s="747"/>
      <c r="P217" s="757"/>
      <c r="Q217" s="771">
        <v>4360.8818746666657</v>
      </c>
      <c r="R217" s="747"/>
      <c r="S217" s="757"/>
      <c r="T217" s="771">
        <v>4360.8818746666657</v>
      </c>
      <c r="U217" s="747"/>
      <c r="V217" s="757"/>
      <c r="W217" s="771">
        <v>4360.8818746666657</v>
      </c>
      <c r="X217" s="747"/>
      <c r="Y217" s="757"/>
      <c r="Z217" s="771">
        <v>4360.8818746666657</v>
      </c>
      <c r="AA217" s="747"/>
      <c r="AB217" s="757"/>
      <c r="AC217" s="771">
        <v>4360.8818746666657</v>
      </c>
      <c r="AD217" s="747"/>
      <c r="AE217" s="757"/>
      <c r="AF217" s="771">
        <v>4360.8818746666657</v>
      </c>
      <c r="AG217" s="747"/>
      <c r="AH217" s="757"/>
      <c r="AI217" s="771">
        <v>4360.8818746666657</v>
      </c>
      <c r="AJ217" s="747"/>
      <c r="AK217" s="757"/>
      <c r="AL217" s="771">
        <v>4360.8818746666657</v>
      </c>
      <c r="AM217" s="747"/>
      <c r="AN217" s="757"/>
      <c r="AO217" s="771">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13192.582256247888</v>
      </c>
      <c r="F218" s="747"/>
      <c r="G218" s="757"/>
      <c r="H218" s="771">
        <v>1099.3818546873238</v>
      </c>
      <c r="I218" s="747"/>
      <c r="J218" s="757"/>
      <c r="K218" s="771">
        <v>1099.3818546873238</v>
      </c>
      <c r="L218" s="747"/>
      <c r="M218" s="757"/>
      <c r="N218" s="771">
        <v>1099.3818546873238</v>
      </c>
      <c r="O218" s="747"/>
      <c r="P218" s="757"/>
      <c r="Q218" s="771">
        <v>1099.3818546873238</v>
      </c>
      <c r="R218" s="747"/>
      <c r="S218" s="757"/>
      <c r="T218" s="771">
        <v>1099.3818546873238</v>
      </c>
      <c r="U218" s="747"/>
      <c r="V218" s="757"/>
      <c r="W218" s="771">
        <v>1099.3818546873238</v>
      </c>
      <c r="X218" s="747"/>
      <c r="Y218" s="757"/>
      <c r="Z218" s="771">
        <v>1099.3818546873238</v>
      </c>
      <c r="AA218" s="747"/>
      <c r="AB218" s="757"/>
      <c r="AC218" s="771">
        <v>1099.3818546873238</v>
      </c>
      <c r="AD218" s="747"/>
      <c r="AE218" s="757"/>
      <c r="AF218" s="771">
        <v>1099.3818546873238</v>
      </c>
      <c r="AG218" s="747"/>
      <c r="AH218" s="757"/>
      <c r="AI218" s="771">
        <v>1099.3818546873238</v>
      </c>
      <c r="AJ218" s="747"/>
      <c r="AK218" s="757"/>
      <c r="AL218" s="771">
        <v>1099.3818546873238</v>
      </c>
      <c r="AM218" s="747"/>
      <c r="AN218" s="757"/>
      <c r="AO218" s="771">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79701.264029866681</v>
      </c>
      <c r="F219" s="776"/>
      <c r="G219" s="784"/>
      <c r="H219" s="775">
        <v>5641.7720024888895</v>
      </c>
      <c r="I219" s="776"/>
      <c r="J219" s="784"/>
      <c r="K219" s="775">
        <v>5641.7720024888895</v>
      </c>
      <c r="L219" s="776"/>
      <c r="M219" s="784"/>
      <c r="N219" s="775">
        <v>5141.7720024888895</v>
      </c>
      <c r="O219" s="776"/>
      <c r="P219" s="784"/>
      <c r="Q219" s="775">
        <v>5141.7720024888895</v>
      </c>
      <c r="R219" s="776"/>
      <c r="S219" s="784"/>
      <c r="T219" s="775">
        <v>10141.772002488889</v>
      </c>
      <c r="U219" s="776"/>
      <c r="V219" s="784"/>
      <c r="W219" s="775">
        <v>5641.7720024888895</v>
      </c>
      <c r="X219" s="776"/>
      <c r="Y219" s="784"/>
      <c r="Z219" s="775">
        <v>5641.7720024888895</v>
      </c>
      <c r="AA219" s="776"/>
      <c r="AB219" s="784"/>
      <c r="AC219" s="775">
        <v>3641.772002488889</v>
      </c>
      <c r="AD219" s="776"/>
      <c r="AE219" s="784"/>
      <c r="AF219" s="775">
        <v>3641.772002488889</v>
      </c>
      <c r="AG219" s="776"/>
      <c r="AH219" s="784"/>
      <c r="AI219" s="775">
        <v>10141.772002488889</v>
      </c>
      <c r="AJ219" s="776"/>
      <c r="AK219" s="784"/>
      <c r="AL219" s="775">
        <v>15141.772002488889</v>
      </c>
      <c r="AM219" s="776"/>
      <c r="AN219" s="784"/>
      <c r="AO219" s="775">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67000.000000000015</v>
      </c>
      <c r="F221" s="747"/>
      <c r="G221" s="757"/>
      <c r="H221" s="771">
        <v>5583.333333333333</v>
      </c>
      <c r="I221" s="747"/>
      <c r="J221" s="757"/>
      <c r="K221" s="771">
        <v>5583.333333333333</v>
      </c>
      <c r="L221" s="747"/>
      <c r="M221" s="757"/>
      <c r="N221" s="771">
        <v>5583.333333333333</v>
      </c>
      <c r="O221" s="747"/>
      <c r="P221" s="757"/>
      <c r="Q221" s="771">
        <v>5583.333333333333</v>
      </c>
      <c r="R221" s="747"/>
      <c r="S221" s="757"/>
      <c r="T221" s="771">
        <v>5583.333333333333</v>
      </c>
      <c r="U221" s="747"/>
      <c r="V221" s="757"/>
      <c r="W221" s="771">
        <v>5583.333333333333</v>
      </c>
      <c r="X221" s="747"/>
      <c r="Y221" s="757"/>
      <c r="Z221" s="771">
        <v>5583.333333333333</v>
      </c>
      <c r="AA221" s="747"/>
      <c r="AB221" s="757"/>
      <c r="AC221" s="771">
        <v>5583.333333333333</v>
      </c>
      <c r="AD221" s="747"/>
      <c r="AE221" s="757"/>
      <c r="AF221" s="771">
        <v>5583.333333333333</v>
      </c>
      <c r="AG221" s="747"/>
      <c r="AH221" s="757"/>
      <c r="AI221" s="771">
        <v>5583.333333333333</v>
      </c>
      <c r="AJ221" s="747"/>
      <c r="AK221" s="757"/>
      <c r="AL221" s="771">
        <v>5583.333333333333</v>
      </c>
      <c r="AM221" s="747"/>
      <c r="AN221" s="757"/>
      <c r="AO221" s="771">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14663.299651285315</v>
      </c>
      <c r="F222" s="747"/>
      <c r="G222" s="757"/>
      <c r="H222" s="771">
        <v>1221.9416376071097</v>
      </c>
      <c r="I222" s="747"/>
      <c r="J222" s="757"/>
      <c r="K222" s="771">
        <v>1221.9416376071097</v>
      </c>
      <c r="L222" s="747"/>
      <c r="M222" s="757"/>
      <c r="N222" s="771">
        <v>1221.9416376071097</v>
      </c>
      <c r="O222" s="747"/>
      <c r="P222" s="757"/>
      <c r="Q222" s="771">
        <v>1221.9416376071097</v>
      </c>
      <c r="R222" s="747"/>
      <c r="S222" s="757"/>
      <c r="T222" s="771">
        <v>1221.9416376071097</v>
      </c>
      <c r="U222" s="747"/>
      <c r="V222" s="757"/>
      <c r="W222" s="771">
        <v>1221.9416376071097</v>
      </c>
      <c r="X222" s="747"/>
      <c r="Y222" s="757"/>
      <c r="Z222" s="771">
        <v>1221.9416376071097</v>
      </c>
      <c r="AA222" s="747"/>
      <c r="AB222" s="757"/>
      <c r="AC222" s="771">
        <v>1221.9416376071097</v>
      </c>
      <c r="AD222" s="747"/>
      <c r="AE222" s="757"/>
      <c r="AF222" s="771">
        <v>1221.9416376071097</v>
      </c>
      <c r="AG222" s="747"/>
      <c r="AH222" s="757"/>
      <c r="AI222" s="771">
        <v>1221.9416376071097</v>
      </c>
      <c r="AJ222" s="747"/>
      <c r="AK222" s="757"/>
      <c r="AL222" s="771">
        <v>1221.9416376071097</v>
      </c>
      <c r="AM222" s="747"/>
      <c r="AN222" s="757"/>
      <c r="AO222" s="771">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8978.4511677120008</v>
      </c>
      <c r="F223" s="747"/>
      <c r="G223" s="757"/>
      <c r="H223" s="771">
        <v>748.20426397599988</v>
      </c>
      <c r="I223" s="747"/>
      <c r="J223" s="757"/>
      <c r="K223" s="771">
        <v>748.20426397599988</v>
      </c>
      <c r="L223" s="747"/>
      <c r="M223" s="757"/>
      <c r="N223" s="771">
        <v>748.20426397599988</v>
      </c>
      <c r="O223" s="747"/>
      <c r="P223" s="757"/>
      <c r="Q223" s="771">
        <v>748.20426397599988</v>
      </c>
      <c r="R223" s="747"/>
      <c r="S223" s="757"/>
      <c r="T223" s="771">
        <v>748.20426397599988</v>
      </c>
      <c r="U223" s="747"/>
      <c r="V223" s="757"/>
      <c r="W223" s="771">
        <v>748.20426397599988</v>
      </c>
      <c r="X223" s="747"/>
      <c r="Y223" s="757"/>
      <c r="Z223" s="771">
        <v>748.20426397599988</v>
      </c>
      <c r="AA223" s="747"/>
      <c r="AB223" s="757"/>
      <c r="AC223" s="771">
        <v>748.20426397599988</v>
      </c>
      <c r="AD223" s="747"/>
      <c r="AE223" s="757"/>
      <c r="AF223" s="771">
        <v>748.20426397599988</v>
      </c>
      <c r="AG223" s="747"/>
      <c r="AH223" s="757"/>
      <c r="AI223" s="771">
        <v>748.20426397599988</v>
      </c>
      <c r="AJ223" s="747"/>
      <c r="AK223" s="757"/>
      <c r="AL223" s="771">
        <v>748.20426397599988</v>
      </c>
      <c r="AM223" s="747"/>
      <c r="AN223" s="757"/>
      <c r="AO223" s="771">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2593.0447654759992</v>
      </c>
      <c r="F224" s="747"/>
      <c r="G224" s="757"/>
      <c r="H224" s="771">
        <v>216.08706378966664</v>
      </c>
      <c r="I224" s="747"/>
      <c r="J224" s="757"/>
      <c r="K224" s="771">
        <v>216.08706378966664</v>
      </c>
      <c r="L224" s="747"/>
      <c r="M224" s="757"/>
      <c r="N224" s="771">
        <v>216.08706378966664</v>
      </c>
      <c r="O224" s="747"/>
      <c r="P224" s="757"/>
      <c r="Q224" s="771">
        <v>216.08706378966664</v>
      </c>
      <c r="R224" s="747"/>
      <c r="S224" s="757"/>
      <c r="T224" s="771">
        <v>216.08706378966664</v>
      </c>
      <c r="U224" s="747"/>
      <c r="V224" s="757"/>
      <c r="W224" s="771">
        <v>216.08706378966664</v>
      </c>
      <c r="X224" s="747"/>
      <c r="Y224" s="757"/>
      <c r="Z224" s="771">
        <v>216.08706378966664</v>
      </c>
      <c r="AA224" s="747"/>
      <c r="AB224" s="757"/>
      <c r="AC224" s="771">
        <v>216.08706378966664</v>
      </c>
      <c r="AD224" s="747"/>
      <c r="AE224" s="757"/>
      <c r="AF224" s="771">
        <v>216.08706378966664</v>
      </c>
      <c r="AG224" s="747"/>
      <c r="AH224" s="757"/>
      <c r="AI224" s="771">
        <v>216.08706378966664</v>
      </c>
      <c r="AJ224" s="747"/>
      <c r="AK224" s="757"/>
      <c r="AL224" s="771">
        <v>216.08706378966664</v>
      </c>
      <c r="AM224" s="747"/>
      <c r="AN224" s="757"/>
      <c r="AO224" s="771">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1245.3413391639999</v>
      </c>
      <c r="F225" s="747"/>
      <c r="G225" s="757"/>
      <c r="H225" s="771">
        <v>103.77844493033332</v>
      </c>
      <c r="I225" s="747"/>
      <c r="J225" s="757"/>
      <c r="K225" s="771">
        <v>103.77844493033332</v>
      </c>
      <c r="L225" s="747"/>
      <c r="M225" s="757"/>
      <c r="N225" s="771">
        <v>103.77844493033332</v>
      </c>
      <c r="O225" s="747"/>
      <c r="P225" s="757"/>
      <c r="Q225" s="771">
        <v>103.77844493033332</v>
      </c>
      <c r="R225" s="747"/>
      <c r="S225" s="757"/>
      <c r="T225" s="771">
        <v>103.77844493033332</v>
      </c>
      <c r="U225" s="747"/>
      <c r="V225" s="757"/>
      <c r="W225" s="771">
        <v>103.77844493033332</v>
      </c>
      <c r="X225" s="747"/>
      <c r="Y225" s="757"/>
      <c r="Z225" s="771">
        <v>103.77844493033332</v>
      </c>
      <c r="AA225" s="747"/>
      <c r="AB225" s="757"/>
      <c r="AC225" s="771">
        <v>103.77844493033332</v>
      </c>
      <c r="AD225" s="747"/>
      <c r="AE225" s="757"/>
      <c r="AF225" s="771">
        <v>103.77844493033332</v>
      </c>
      <c r="AG225" s="747"/>
      <c r="AH225" s="757"/>
      <c r="AI225" s="771">
        <v>103.77844493033332</v>
      </c>
      <c r="AJ225" s="747"/>
      <c r="AK225" s="757"/>
      <c r="AL225" s="771">
        <v>103.77844493033332</v>
      </c>
      <c r="AM225" s="747"/>
      <c r="AN225" s="757"/>
      <c r="AO225" s="771">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2597.6718309159996</v>
      </c>
      <c r="F226" s="747"/>
      <c r="G226" s="757"/>
      <c r="H226" s="771">
        <v>216.4726525763333</v>
      </c>
      <c r="I226" s="747"/>
      <c r="J226" s="757"/>
      <c r="K226" s="771">
        <v>216.4726525763333</v>
      </c>
      <c r="L226" s="747"/>
      <c r="M226" s="757"/>
      <c r="N226" s="771">
        <v>216.4726525763333</v>
      </c>
      <c r="O226" s="747"/>
      <c r="P226" s="757"/>
      <c r="Q226" s="771">
        <v>216.4726525763333</v>
      </c>
      <c r="R226" s="747"/>
      <c r="S226" s="757"/>
      <c r="T226" s="771">
        <v>216.4726525763333</v>
      </c>
      <c r="U226" s="747"/>
      <c r="V226" s="757"/>
      <c r="W226" s="771">
        <v>216.4726525763333</v>
      </c>
      <c r="X226" s="747"/>
      <c r="Y226" s="757"/>
      <c r="Z226" s="771">
        <v>216.4726525763333</v>
      </c>
      <c r="AA226" s="747"/>
      <c r="AB226" s="757"/>
      <c r="AC226" s="771">
        <v>216.4726525763333</v>
      </c>
      <c r="AD226" s="747"/>
      <c r="AE226" s="757"/>
      <c r="AF226" s="771">
        <v>216.4726525763333</v>
      </c>
      <c r="AG226" s="747"/>
      <c r="AH226" s="757"/>
      <c r="AI226" s="771">
        <v>216.4726525763333</v>
      </c>
      <c r="AJ226" s="747"/>
      <c r="AK226" s="757"/>
      <c r="AL226" s="771">
        <v>216.4726525763333</v>
      </c>
      <c r="AM226" s="747"/>
      <c r="AN226" s="757"/>
      <c r="AO226" s="771">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47837.454665381847</v>
      </c>
      <c r="F227" s="747"/>
      <c r="G227" s="757"/>
      <c r="H227" s="771">
        <v>3986.4545554484885</v>
      </c>
      <c r="I227" s="747"/>
      <c r="J227" s="757"/>
      <c r="K227" s="771">
        <v>3986.4545554484885</v>
      </c>
      <c r="L227" s="747"/>
      <c r="M227" s="757"/>
      <c r="N227" s="771">
        <v>3986.4545554484885</v>
      </c>
      <c r="O227" s="747"/>
      <c r="P227" s="757"/>
      <c r="Q227" s="771">
        <v>3986.4545554484885</v>
      </c>
      <c r="R227" s="747"/>
      <c r="S227" s="757"/>
      <c r="T227" s="771">
        <v>3986.4545554484885</v>
      </c>
      <c r="U227" s="747"/>
      <c r="V227" s="757"/>
      <c r="W227" s="771">
        <v>3986.4545554484885</v>
      </c>
      <c r="X227" s="747"/>
      <c r="Y227" s="757"/>
      <c r="Z227" s="771">
        <v>3986.4545554484885</v>
      </c>
      <c r="AA227" s="747"/>
      <c r="AB227" s="757"/>
      <c r="AC227" s="771">
        <v>3986.4545554484885</v>
      </c>
      <c r="AD227" s="747"/>
      <c r="AE227" s="757"/>
      <c r="AF227" s="771">
        <v>3986.4545554484885</v>
      </c>
      <c r="AG227" s="747"/>
      <c r="AH227" s="757"/>
      <c r="AI227" s="771">
        <v>3986.4545554484885</v>
      </c>
      <c r="AJ227" s="747"/>
      <c r="AK227" s="757"/>
      <c r="AL227" s="771">
        <v>3986.4545554484885</v>
      </c>
      <c r="AM227" s="747"/>
      <c r="AN227" s="757"/>
      <c r="AO227" s="771">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23398.36077425268</v>
      </c>
      <c r="F228" s="747"/>
      <c r="G228" s="757"/>
      <c r="H228" s="771">
        <v>1949.8633978543896</v>
      </c>
      <c r="I228" s="747"/>
      <c r="J228" s="757"/>
      <c r="K228" s="771">
        <v>1949.8633978543896</v>
      </c>
      <c r="L228" s="747"/>
      <c r="M228" s="757"/>
      <c r="N228" s="771">
        <v>1949.8633978543896</v>
      </c>
      <c r="O228" s="747"/>
      <c r="P228" s="757"/>
      <c r="Q228" s="771">
        <v>1949.8633978543896</v>
      </c>
      <c r="R228" s="747"/>
      <c r="S228" s="757"/>
      <c r="T228" s="771">
        <v>1949.8633978543896</v>
      </c>
      <c r="U228" s="747"/>
      <c r="V228" s="757"/>
      <c r="W228" s="771">
        <v>1949.8633978543896</v>
      </c>
      <c r="X228" s="747"/>
      <c r="Y228" s="757"/>
      <c r="Z228" s="771">
        <v>1949.8633978543896</v>
      </c>
      <c r="AA228" s="747"/>
      <c r="AB228" s="757"/>
      <c r="AC228" s="771">
        <v>1949.8633978543896</v>
      </c>
      <c r="AD228" s="747"/>
      <c r="AE228" s="757"/>
      <c r="AF228" s="771">
        <v>1949.8633978543896</v>
      </c>
      <c r="AG228" s="747"/>
      <c r="AH228" s="757"/>
      <c r="AI228" s="771">
        <v>1949.8633978543896</v>
      </c>
      <c r="AJ228" s="747"/>
      <c r="AK228" s="757"/>
      <c r="AL228" s="771">
        <v>1949.8633978543896</v>
      </c>
      <c r="AM228" s="747"/>
      <c r="AN228" s="757"/>
      <c r="AO228" s="771">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0.246335266524187</v>
      </c>
      <c r="E232" s="779">
        <v>644506.67268789886</v>
      </c>
      <c r="F232" s="777" t="s">
        <v>175</v>
      </c>
      <c r="G232" s="778">
        <v>0.39922899309282633</v>
      </c>
      <c r="H232" s="779">
        <v>52708.889390658253</v>
      </c>
      <c r="I232" s="777" t="s">
        <v>175</v>
      </c>
      <c r="J232" s="778">
        <v>0.41558043850882215</v>
      </c>
      <c r="K232" s="779">
        <v>52708.889390658253</v>
      </c>
      <c r="L232" s="777" t="s">
        <v>175</v>
      </c>
      <c r="M232" s="778">
        <v>0.28959103452826801</v>
      </c>
      <c r="N232" s="779">
        <v>52208.889390658253</v>
      </c>
      <c r="O232" s="777" t="s">
        <v>175</v>
      </c>
      <c r="P232" s="778">
        <v>0.17246110950128263</v>
      </c>
      <c r="Q232" s="779">
        <v>52208.889390658253</v>
      </c>
      <c r="R232" s="777" t="s">
        <v>175</v>
      </c>
      <c r="S232" s="778">
        <v>0.17024376593798041</v>
      </c>
      <c r="T232" s="779">
        <v>57208.889390658253</v>
      </c>
      <c r="U232" s="777" t="s">
        <v>175</v>
      </c>
      <c r="V232" s="778">
        <v>0.26750461552533278</v>
      </c>
      <c r="W232" s="779">
        <v>52708.889390658253</v>
      </c>
      <c r="X232" s="777" t="s">
        <v>175</v>
      </c>
      <c r="Y232" s="778">
        <v>0.26539262656082535</v>
      </c>
      <c r="Z232" s="779">
        <v>52708.889390658253</v>
      </c>
      <c r="AA232" s="777" t="s">
        <v>175</v>
      </c>
      <c r="AB232" s="778">
        <v>0.27253556542151336</v>
      </c>
      <c r="AC232" s="779">
        <v>50708.889390658253</v>
      </c>
      <c r="AD232" s="777" t="s">
        <v>175</v>
      </c>
      <c r="AE232" s="778">
        <v>0.30975249763509388</v>
      </c>
      <c r="AF232" s="779">
        <v>50708.889390658253</v>
      </c>
      <c r="AG232" s="777" t="s">
        <v>175</v>
      </c>
      <c r="AH232" s="778">
        <v>0.18811203230724324</v>
      </c>
      <c r="AI232" s="779">
        <v>57208.889390658253</v>
      </c>
      <c r="AJ232" s="777" t="s">
        <v>175</v>
      </c>
      <c r="AK232" s="778">
        <v>0.18622542527479752</v>
      </c>
      <c r="AL232" s="779">
        <v>62208.889390658253</v>
      </c>
      <c r="AM232" s="777" t="s">
        <v>175</v>
      </c>
      <c r="AN232" s="778">
        <v>0.33064337511960989</v>
      </c>
      <c r="AO232" s="779">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0.84082290447073149</v>
      </c>
      <c r="E234" s="789">
        <v>2199912.2583083203</v>
      </c>
      <c r="F234" s="777" t="s">
        <v>119</v>
      </c>
      <c r="G234" s="815">
        <v>1.1822620636163634</v>
      </c>
      <c r="H234" s="789">
        <v>156090.16734773316</v>
      </c>
      <c r="I234" s="777" t="s">
        <v>119</v>
      </c>
      <c r="J234" s="815">
        <v>1.2293722372951625</v>
      </c>
      <c r="K234" s="789">
        <v>155923.71360896289</v>
      </c>
      <c r="L234" s="777" t="s">
        <v>119</v>
      </c>
      <c r="M234" s="815">
        <v>1.0201859584454698</v>
      </c>
      <c r="N234" s="789">
        <v>183924.1188842227</v>
      </c>
      <c r="O234" s="777" t="s">
        <v>119</v>
      </c>
      <c r="P234" s="815">
        <v>0.65270614840032459</v>
      </c>
      <c r="Q234" s="789">
        <v>197592.73963259341</v>
      </c>
      <c r="R234" s="777" t="s">
        <v>119</v>
      </c>
      <c r="S234" s="815">
        <v>0.67253948699502497</v>
      </c>
      <c r="T234" s="789">
        <v>226000.85771343258</v>
      </c>
      <c r="U234" s="777" t="s">
        <v>119</v>
      </c>
      <c r="V234" s="815">
        <v>0.86479194919573676</v>
      </c>
      <c r="W234" s="789">
        <v>170397.89428146591</v>
      </c>
      <c r="X234" s="777" t="s">
        <v>119</v>
      </c>
      <c r="Y234" s="815">
        <v>0.86420938235074252</v>
      </c>
      <c r="Z234" s="789">
        <v>171638.2151794802</v>
      </c>
      <c r="AA234" s="777" t="s">
        <v>119</v>
      </c>
      <c r="AB234" s="815">
        <v>0.97869711462492803</v>
      </c>
      <c r="AC234" s="789">
        <v>182099.6964404055</v>
      </c>
      <c r="AD234" s="777" t="s">
        <v>119</v>
      </c>
      <c r="AE234" s="815">
        <v>0.9738364778403521</v>
      </c>
      <c r="AF234" s="789">
        <v>159424.59420478874</v>
      </c>
      <c r="AG234" s="777" t="s">
        <v>119</v>
      </c>
      <c r="AH234" s="815">
        <v>0.65730181361200612</v>
      </c>
      <c r="AI234" s="789">
        <v>199899.52949841373</v>
      </c>
      <c r="AJ234" s="777" t="s">
        <v>119</v>
      </c>
      <c r="AK234" s="815">
        <v>0.70098069723146639</v>
      </c>
      <c r="AL234" s="789">
        <v>234163.67874961864</v>
      </c>
      <c r="AM234" s="777" t="s">
        <v>119</v>
      </c>
      <c r="AN234" s="815">
        <v>1.0508828035877187</v>
      </c>
      <c r="AO234" s="789">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416467.77440866176</v>
      </c>
      <c r="F236" s="816"/>
      <c r="G236" s="817"/>
      <c r="H236" s="798">
        <v>-24063.460113064211</v>
      </c>
      <c r="I236" s="816"/>
      <c r="J236" s="817"/>
      <c r="K236" s="798">
        <v>-29091.734751181968</v>
      </c>
      <c r="L236" s="816"/>
      <c r="M236" s="817"/>
      <c r="N236" s="798">
        <v>-3639.2234084203956</v>
      </c>
      <c r="O236" s="816"/>
      <c r="P236" s="817"/>
      <c r="Q236" s="798">
        <v>105135.73951052589</v>
      </c>
      <c r="R236" s="816"/>
      <c r="S236" s="817"/>
      <c r="T236" s="798">
        <v>110040.1660236679</v>
      </c>
      <c r="U236" s="816"/>
      <c r="V236" s="817"/>
      <c r="W236" s="798">
        <v>26641.283106733958</v>
      </c>
      <c r="X236" s="816"/>
      <c r="Y236" s="817"/>
      <c r="Z236" s="798">
        <v>26968.995856120659</v>
      </c>
      <c r="AA236" s="816"/>
      <c r="AB236" s="817"/>
      <c r="AC236" s="798">
        <v>3963.6869284038257</v>
      </c>
      <c r="AD236" s="816"/>
      <c r="AE236" s="817"/>
      <c r="AF236" s="798">
        <v>4283.1717625940801</v>
      </c>
      <c r="AG236" s="816"/>
      <c r="AH236" s="817"/>
      <c r="AI236" s="798">
        <v>104221.84269121324</v>
      </c>
      <c r="AJ236" s="816"/>
      <c r="AK236" s="817"/>
      <c r="AL236" s="798">
        <v>99887.857440252963</v>
      </c>
      <c r="AM236" s="816"/>
      <c r="AN236" s="817"/>
      <c r="AO236" s="798">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1187551</v>
      </c>
      <c r="E244" s="758">
        <v>178132.64999999997</v>
      </c>
      <c r="F244" s="820">
        <v>0</v>
      </c>
      <c r="G244" s="821">
        <v>114273.79910049828</v>
      </c>
      <c r="H244" s="771">
        <v>17141.06986507474</v>
      </c>
      <c r="I244" s="820">
        <v>0</v>
      </c>
      <c r="J244" s="821">
        <v>87661.944450869094</v>
      </c>
      <c r="K244" s="771">
        <v>13149.291667630363</v>
      </c>
      <c r="L244" s="820">
        <v>0</v>
      </c>
      <c r="M244" s="821">
        <v>127718.26555916485</v>
      </c>
      <c r="N244" s="771">
        <v>19157.739833874726</v>
      </c>
      <c r="O244" s="820">
        <v>0</v>
      </c>
      <c r="P244" s="821">
        <v>111937.99023890575</v>
      </c>
      <c r="Q244" s="771">
        <v>16790.698535835862</v>
      </c>
      <c r="R244" s="820">
        <v>0</v>
      </c>
      <c r="S244" s="821">
        <v>93531.939296992714</v>
      </c>
      <c r="T244" s="771">
        <v>14029.790894548907</v>
      </c>
      <c r="U244" s="820">
        <v>0</v>
      </c>
      <c r="V244" s="821">
        <v>109434.21769626775</v>
      </c>
      <c r="W244" s="771">
        <v>16415.13265444016</v>
      </c>
      <c r="X244" s="820">
        <v>0</v>
      </c>
      <c r="Y244" s="821">
        <v>102279.60711969429</v>
      </c>
      <c r="Z244" s="771">
        <v>15341.941067954143</v>
      </c>
      <c r="AA244" s="820">
        <v>0</v>
      </c>
      <c r="AB244" s="821">
        <v>99362.912856790354</v>
      </c>
      <c r="AC244" s="771">
        <v>14904.436928518553</v>
      </c>
      <c r="AD244" s="820">
        <v>0</v>
      </c>
      <c r="AE244" s="821">
        <v>65414.584168287191</v>
      </c>
      <c r="AF244" s="771">
        <v>9812.1876252430775</v>
      </c>
      <c r="AG244" s="820">
        <v>0</v>
      </c>
      <c r="AH244" s="821">
        <v>105347.5803785967</v>
      </c>
      <c r="AI244" s="771">
        <v>15802.137056789505</v>
      </c>
      <c r="AJ244" s="820">
        <v>0</v>
      </c>
      <c r="AK244" s="821">
        <v>108565.13624085431</v>
      </c>
      <c r="AL244" s="771">
        <v>16284.770436128145</v>
      </c>
      <c r="AM244" s="820">
        <v>0</v>
      </c>
      <c r="AN244" s="821">
        <v>62023.022893078683</v>
      </c>
      <c r="AO244" s="771">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0.14999999999999997</v>
      </c>
      <c r="F245" s="819"/>
      <c r="G245" s="757"/>
      <c r="H245" s="822">
        <v>0.15</v>
      </c>
      <c r="I245" s="819"/>
      <c r="J245" s="757"/>
      <c r="K245" s="822">
        <v>0.15</v>
      </c>
      <c r="L245" s="819"/>
      <c r="M245" s="757"/>
      <c r="N245" s="822">
        <v>0.15</v>
      </c>
      <c r="O245" s="819"/>
      <c r="P245" s="757"/>
      <c r="Q245" s="822">
        <v>0.15</v>
      </c>
      <c r="R245" s="819"/>
      <c r="S245" s="757"/>
      <c r="T245" s="822">
        <v>0.15</v>
      </c>
      <c r="U245" s="819"/>
      <c r="V245" s="757"/>
      <c r="W245" s="822">
        <v>0.14999999999999997</v>
      </c>
      <c r="X245" s="819"/>
      <c r="Y245" s="757"/>
      <c r="Z245" s="822">
        <v>0.15</v>
      </c>
      <c r="AA245" s="819"/>
      <c r="AB245" s="757"/>
      <c r="AC245" s="822">
        <v>0.15</v>
      </c>
      <c r="AD245" s="819"/>
      <c r="AE245" s="757"/>
      <c r="AF245" s="822">
        <v>0.15</v>
      </c>
      <c r="AG245" s="819"/>
      <c r="AH245" s="757"/>
      <c r="AI245" s="822">
        <v>0.15</v>
      </c>
      <c r="AJ245" s="819"/>
      <c r="AK245" s="757"/>
      <c r="AL245" s="822">
        <v>0.15</v>
      </c>
      <c r="AM245" s="819"/>
      <c r="AN245" s="757"/>
      <c r="AO245" s="822">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1187551</v>
      </c>
      <c r="E253" s="761">
        <v>178132.64999999997</v>
      </c>
      <c r="F253" s="759"/>
      <c r="G253" s="850">
        <v>114273.79910049828</v>
      </c>
      <c r="H253" s="761">
        <v>17141.06986507474</v>
      </c>
      <c r="I253" s="759"/>
      <c r="J253" s="850">
        <v>87661.944450869094</v>
      </c>
      <c r="K253" s="761">
        <v>13149.291667630363</v>
      </c>
      <c r="L253" s="759"/>
      <c r="M253" s="850">
        <v>127718.26555916485</v>
      </c>
      <c r="N253" s="761">
        <v>19157.739833874726</v>
      </c>
      <c r="O253" s="759"/>
      <c r="P253" s="850">
        <v>111937.99023890575</v>
      </c>
      <c r="Q253" s="761">
        <v>16790.698535835862</v>
      </c>
      <c r="R253" s="759"/>
      <c r="S253" s="850">
        <v>93531.939296992714</v>
      </c>
      <c r="T253" s="761">
        <v>14029.790894548907</v>
      </c>
      <c r="U253" s="759"/>
      <c r="V253" s="850">
        <v>109434.21769626775</v>
      </c>
      <c r="W253" s="761">
        <v>16415.13265444016</v>
      </c>
      <c r="X253" s="759"/>
      <c r="Y253" s="850">
        <v>102279.60711969429</v>
      </c>
      <c r="Z253" s="761">
        <v>15341.941067954143</v>
      </c>
      <c r="AA253" s="759"/>
      <c r="AB253" s="850">
        <v>99362.912856790354</v>
      </c>
      <c r="AC253" s="761">
        <v>14904.436928518553</v>
      </c>
      <c r="AD253" s="759"/>
      <c r="AE253" s="850">
        <v>65414.584168287191</v>
      </c>
      <c r="AF253" s="761">
        <v>9812.1876252430775</v>
      </c>
      <c r="AG253" s="759"/>
      <c r="AH253" s="850">
        <v>105347.5803785967</v>
      </c>
      <c r="AI253" s="761">
        <v>15802.137056789505</v>
      </c>
      <c r="AJ253" s="759"/>
      <c r="AK253" s="850">
        <v>108565.13624085431</v>
      </c>
      <c r="AL253" s="761">
        <v>16284.770436128145</v>
      </c>
      <c r="AM253" s="759"/>
      <c r="AN253" s="850">
        <v>62023.022893078683</v>
      </c>
      <c r="AO253" s="761">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0.14999999999999997</v>
      </c>
      <c r="F254" s="762"/>
      <c r="G254" s="763"/>
      <c r="H254" s="851">
        <v>0.15</v>
      </c>
      <c r="I254" s="762"/>
      <c r="J254" s="763"/>
      <c r="K254" s="851">
        <v>0.15</v>
      </c>
      <c r="L254" s="762"/>
      <c r="M254" s="763"/>
      <c r="N254" s="851">
        <v>0.15</v>
      </c>
      <c r="O254" s="762"/>
      <c r="P254" s="763"/>
      <c r="Q254" s="851">
        <v>0.15</v>
      </c>
      <c r="R254" s="762"/>
      <c r="S254" s="763"/>
      <c r="T254" s="851">
        <v>0.15</v>
      </c>
      <c r="U254" s="762"/>
      <c r="V254" s="763"/>
      <c r="W254" s="851">
        <v>0.14999999999999997</v>
      </c>
      <c r="X254" s="762"/>
      <c r="Y254" s="763"/>
      <c r="Z254" s="851">
        <v>0.15</v>
      </c>
      <c r="AA254" s="762"/>
      <c r="AB254" s="763"/>
      <c r="AC254" s="851">
        <v>0.15</v>
      </c>
      <c r="AD254" s="762"/>
      <c r="AE254" s="763"/>
      <c r="AF254" s="851">
        <v>0.15</v>
      </c>
      <c r="AG254" s="762"/>
      <c r="AH254" s="763"/>
      <c r="AI254" s="851">
        <v>0.15</v>
      </c>
      <c r="AJ254" s="762"/>
      <c r="AK254" s="763"/>
      <c r="AL254" s="851">
        <v>0.15</v>
      </c>
      <c r="AM254" s="762"/>
      <c r="AN254" s="763"/>
      <c r="AO254" s="851">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297.32500000000005</v>
      </c>
      <c r="I257" s="747"/>
      <c r="J257" s="757"/>
      <c r="K257" s="771">
        <v>297.32500000000005</v>
      </c>
      <c r="L257" s="747"/>
      <c r="M257" s="757"/>
      <c r="N257" s="771">
        <v>371.65625000000006</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297.32500000000005</v>
      </c>
      <c r="AJ257" s="747"/>
      <c r="AK257" s="757"/>
      <c r="AL257" s="771">
        <v>371.65625000000006</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60628.758000000016</v>
      </c>
      <c r="F258" s="747"/>
      <c r="G258" s="757"/>
      <c r="H258" s="771">
        <v>4703.7506153846152</v>
      </c>
      <c r="I258" s="747"/>
      <c r="J258" s="757"/>
      <c r="K258" s="771">
        <v>4703.7506153846152</v>
      </c>
      <c r="L258" s="747"/>
      <c r="M258" s="757"/>
      <c r="N258" s="771">
        <v>5749.688269230769</v>
      </c>
      <c r="O258" s="747"/>
      <c r="P258" s="757"/>
      <c r="Q258" s="771">
        <v>4703.7506153846152</v>
      </c>
      <c r="R258" s="747"/>
      <c r="S258" s="757"/>
      <c r="T258" s="771">
        <v>5749.688269230769</v>
      </c>
      <c r="U258" s="747"/>
      <c r="V258" s="757"/>
      <c r="W258" s="771">
        <v>4703.7506153846152</v>
      </c>
      <c r="X258" s="747"/>
      <c r="Y258" s="757"/>
      <c r="Z258" s="771">
        <v>4703.7506153846152</v>
      </c>
      <c r="AA258" s="747"/>
      <c r="AB258" s="757"/>
      <c r="AC258" s="771">
        <v>5749.688269230769</v>
      </c>
      <c r="AD258" s="747"/>
      <c r="AE258" s="757"/>
      <c r="AF258" s="771">
        <v>4703.7506153846152</v>
      </c>
      <c r="AG258" s="747"/>
      <c r="AH258" s="757"/>
      <c r="AI258" s="771">
        <v>4703.7506153846152</v>
      </c>
      <c r="AJ258" s="747"/>
      <c r="AK258" s="757"/>
      <c r="AL258" s="771">
        <v>5749.688269230769</v>
      </c>
      <c r="AM258" s="747"/>
      <c r="AN258" s="757"/>
      <c r="AO258" s="771">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17.530769230769231</v>
      </c>
      <c r="I259" s="780"/>
      <c r="J259" s="781"/>
      <c r="K259" s="783">
        <v>17.530769230769231</v>
      </c>
      <c r="L259" s="780"/>
      <c r="M259" s="781"/>
      <c r="N259" s="783">
        <v>21.91346153846154</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17.530769230769231</v>
      </c>
      <c r="AJ259" s="780"/>
      <c r="AK259" s="781"/>
      <c r="AL259" s="783">
        <v>21.91346153846154</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7697.1027204999991</v>
      </c>
      <c r="F264" s="747"/>
      <c r="G264" s="757"/>
      <c r="H264" s="771">
        <v>596.62482465384608</v>
      </c>
      <c r="I264" s="747"/>
      <c r="J264" s="757"/>
      <c r="K264" s="771">
        <v>596.62482465384608</v>
      </c>
      <c r="L264" s="747"/>
      <c r="M264" s="757"/>
      <c r="N264" s="771">
        <v>731.02603081730774</v>
      </c>
      <c r="O264" s="747"/>
      <c r="P264" s="757"/>
      <c r="Q264" s="771">
        <v>596.62482465384608</v>
      </c>
      <c r="R264" s="747"/>
      <c r="S264" s="757"/>
      <c r="T264" s="771">
        <v>731.02603081730774</v>
      </c>
      <c r="U264" s="747"/>
      <c r="V264" s="757"/>
      <c r="W264" s="771">
        <v>596.62482465384608</v>
      </c>
      <c r="X264" s="747"/>
      <c r="Y264" s="757"/>
      <c r="Z264" s="771">
        <v>596.62482465384608</v>
      </c>
      <c r="AA264" s="747"/>
      <c r="AB264" s="757"/>
      <c r="AC264" s="771">
        <v>731.02603081730774</v>
      </c>
      <c r="AD264" s="747"/>
      <c r="AE264" s="757"/>
      <c r="AF264" s="771">
        <v>596.62482465384608</v>
      </c>
      <c r="AG264" s="747"/>
      <c r="AH264" s="757"/>
      <c r="AI264" s="771">
        <v>596.62482465384608</v>
      </c>
      <c r="AJ264" s="747"/>
      <c r="AK264" s="757"/>
      <c r="AL264" s="771">
        <v>731.02603081730774</v>
      </c>
      <c r="AM264" s="747"/>
      <c r="AN264" s="757"/>
      <c r="AO264" s="771">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9358.5918539999984</v>
      </c>
      <c r="F265" s="780"/>
      <c r="G265" s="781"/>
      <c r="H265" s="783">
        <v>725.41168107692306</v>
      </c>
      <c r="I265" s="780"/>
      <c r="J265" s="781"/>
      <c r="K265" s="783">
        <v>725.41168107692306</v>
      </c>
      <c r="L265" s="780"/>
      <c r="M265" s="781"/>
      <c r="N265" s="783">
        <v>888.82460134615394</v>
      </c>
      <c r="O265" s="780"/>
      <c r="P265" s="781"/>
      <c r="Q265" s="783">
        <v>725.41168107692306</v>
      </c>
      <c r="R265" s="780"/>
      <c r="S265" s="781"/>
      <c r="T265" s="783">
        <v>888.82460134615394</v>
      </c>
      <c r="U265" s="780"/>
      <c r="V265" s="781"/>
      <c r="W265" s="783">
        <v>725.41168107692306</v>
      </c>
      <c r="X265" s="780"/>
      <c r="Y265" s="781"/>
      <c r="Z265" s="783">
        <v>725.41168107692306</v>
      </c>
      <c r="AA265" s="780"/>
      <c r="AB265" s="781"/>
      <c r="AC265" s="783">
        <v>888.82460134615394</v>
      </c>
      <c r="AD265" s="780"/>
      <c r="AE265" s="781"/>
      <c r="AF265" s="783">
        <v>725.41168107692306</v>
      </c>
      <c r="AG265" s="780"/>
      <c r="AH265" s="781"/>
      <c r="AI265" s="783">
        <v>725.41168107692306</v>
      </c>
      <c r="AJ265" s="780"/>
      <c r="AK265" s="781"/>
      <c r="AL265" s="783">
        <v>888.82460134615394</v>
      </c>
      <c r="AM265" s="780"/>
      <c r="AN265" s="781"/>
      <c r="AO265" s="783">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4821.709281299999</v>
      </c>
      <c r="F266" s="747"/>
      <c r="G266" s="757"/>
      <c r="H266" s="771">
        <v>373.74471394615375</v>
      </c>
      <c r="I266" s="747"/>
      <c r="J266" s="757"/>
      <c r="K266" s="771">
        <v>373.74471394615375</v>
      </c>
      <c r="L266" s="747"/>
      <c r="M266" s="757"/>
      <c r="N266" s="771">
        <v>457.93789243269231</v>
      </c>
      <c r="O266" s="747"/>
      <c r="P266" s="757"/>
      <c r="Q266" s="771">
        <v>373.74471394615375</v>
      </c>
      <c r="R266" s="747"/>
      <c r="S266" s="757"/>
      <c r="T266" s="771">
        <v>457.93789243269231</v>
      </c>
      <c r="U266" s="747"/>
      <c r="V266" s="757"/>
      <c r="W266" s="771">
        <v>373.74471394615375</v>
      </c>
      <c r="X266" s="747"/>
      <c r="Y266" s="757"/>
      <c r="Z266" s="771">
        <v>373.74471394615375</v>
      </c>
      <c r="AA266" s="747"/>
      <c r="AB266" s="757"/>
      <c r="AC266" s="771">
        <v>457.93789243269231</v>
      </c>
      <c r="AD266" s="747"/>
      <c r="AE266" s="757"/>
      <c r="AF266" s="771">
        <v>373.74471394615375</v>
      </c>
      <c r="AG266" s="747"/>
      <c r="AH266" s="757"/>
      <c r="AI266" s="771">
        <v>373.74471394615375</v>
      </c>
      <c r="AJ266" s="747"/>
      <c r="AK266" s="757"/>
      <c r="AL266" s="771">
        <v>457.93789243269231</v>
      </c>
      <c r="AM266" s="747"/>
      <c r="AN266" s="757"/>
      <c r="AO266" s="771">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2102.2923729999998</v>
      </c>
      <c r="F267" s="747"/>
      <c r="G267" s="757"/>
      <c r="H267" s="771">
        <v>162.95479792307691</v>
      </c>
      <c r="I267" s="747"/>
      <c r="J267" s="757"/>
      <c r="K267" s="771">
        <v>162.95479792307691</v>
      </c>
      <c r="L267" s="747"/>
      <c r="M267" s="757"/>
      <c r="N267" s="771">
        <v>199.66349740384615</v>
      </c>
      <c r="O267" s="747"/>
      <c r="P267" s="757"/>
      <c r="Q267" s="771">
        <v>162.95479792307691</v>
      </c>
      <c r="R267" s="747"/>
      <c r="S267" s="757"/>
      <c r="T267" s="771">
        <v>199.66349740384615</v>
      </c>
      <c r="U267" s="747"/>
      <c r="V267" s="757"/>
      <c r="W267" s="771">
        <v>162.95479792307691</v>
      </c>
      <c r="X267" s="747"/>
      <c r="Y267" s="757"/>
      <c r="Z267" s="771">
        <v>162.95479792307691</v>
      </c>
      <c r="AA267" s="747"/>
      <c r="AB267" s="757"/>
      <c r="AC267" s="771">
        <v>199.66349740384615</v>
      </c>
      <c r="AD267" s="747"/>
      <c r="AE267" s="757"/>
      <c r="AF267" s="771">
        <v>162.95479792307691</v>
      </c>
      <c r="AG267" s="747"/>
      <c r="AH267" s="757"/>
      <c r="AI267" s="771">
        <v>162.95479792307691</v>
      </c>
      <c r="AJ267" s="747"/>
      <c r="AK267" s="757"/>
      <c r="AL267" s="771">
        <v>199.66349740384615</v>
      </c>
      <c r="AM267" s="747"/>
      <c r="AN267" s="757"/>
      <c r="AO267" s="771">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88701.579228800023</v>
      </c>
      <c r="F269" s="777" t="s">
        <v>119</v>
      </c>
      <c r="G269" s="778">
        <v>0</v>
      </c>
      <c r="H269" s="779">
        <v>6877.3424022153831</v>
      </c>
      <c r="I269" s="777" t="s">
        <v>119</v>
      </c>
      <c r="J269" s="778">
        <v>0</v>
      </c>
      <c r="K269" s="779">
        <v>6877.3424022153831</v>
      </c>
      <c r="L269" s="777" t="s">
        <v>119</v>
      </c>
      <c r="M269" s="778">
        <v>0</v>
      </c>
      <c r="N269" s="779">
        <v>8420.7100027692304</v>
      </c>
      <c r="O269" s="777" t="s">
        <v>119</v>
      </c>
      <c r="P269" s="778">
        <v>0</v>
      </c>
      <c r="Q269" s="779">
        <v>6877.3424022153831</v>
      </c>
      <c r="R269" s="777" t="s">
        <v>119</v>
      </c>
      <c r="S269" s="778">
        <v>0</v>
      </c>
      <c r="T269" s="779">
        <v>8420.7100027692304</v>
      </c>
      <c r="U269" s="777" t="s">
        <v>119</v>
      </c>
      <c r="V269" s="778">
        <v>0</v>
      </c>
      <c r="W269" s="779">
        <v>6877.3424022153831</v>
      </c>
      <c r="X269" s="777" t="s">
        <v>119</v>
      </c>
      <c r="Y269" s="778">
        <v>0</v>
      </c>
      <c r="Z269" s="779">
        <v>6877.3424022153831</v>
      </c>
      <c r="AA269" s="777" t="s">
        <v>119</v>
      </c>
      <c r="AB269" s="778">
        <v>0</v>
      </c>
      <c r="AC269" s="779">
        <v>8420.7100027692304</v>
      </c>
      <c r="AD269" s="777" t="s">
        <v>119</v>
      </c>
      <c r="AE269" s="778">
        <v>0</v>
      </c>
      <c r="AF269" s="779">
        <v>6877.3424022153831</v>
      </c>
      <c r="AG269" s="777" t="s">
        <v>119</v>
      </c>
      <c r="AH269" s="778">
        <v>0</v>
      </c>
      <c r="AI269" s="779">
        <v>6877.3424022153831</v>
      </c>
      <c r="AJ269" s="777" t="s">
        <v>119</v>
      </c>
      <c r="AK269" s="778">
        <v>0</v>
      </c>
      <c r="AL269" s="779">
        <v>8420.7100027692304</v>
      </c>
      <c r="AM269" s="777" t="s">
        <v>119</v>
      </c>
      <c r="AN269" s="778">
        <v>0</v>
      </c>
      <c r="AO269" s="779">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0</v>
      </c>
      <c r="F270" s="747"/>
      <c r="G270" s="757"/>
      <c r="H270" s="771">
        <v>0</v>
      </c>
      <c r="I270" s="747"/>
      <c r="J270" s="757"/>
      <c r="K270" s="771">
        <v>0</v>
      </c>
      <c r="L270" s="747"/>
      <c r="M270" s="757"/>
      <c r="N270" s="771">
        <v>0</v>
      </c>
      <c r="O270" s="747"/>
      <c r="P270" s="757"/>
      <c r="Q270" s="771">
        <v>0</v>
      </c>
      <c r="R270" s="747"/>
      <c r="S270" s="757"/>
      <c r="T270" s="771">
        <v>0</v>
      </c>
      <c r="U270" s="747"/>
      <c r="V270" s="757"/>
      <c r="W270" s="771">
        <v>0</v>
      </c>
      <c r="X270" s="747"/>
      <c r="Y270" s="757"/>
      <c r="Z270" s="771">
        <v>0</v>
      </c>
      <c r="AA270" s="747"/>
      <c r="AB270" s="757"/>
      <c r="AC270" s="771">
        <v>0</v>
      </c>
      <c r="AD270" s="747"/>
      <c r="AE270" s="757"/>
      <c r="AF270" s="771">
        <v>0</v>
      </c>
      <c r="AG270" s="747"/>
      <c r="AH270" s="757"/>
      <c r="AI270" s="771">
        <v>0</v>
      </c>
      <c r="AJ270" s="747"/>
      <c r="AK270" s="757"/>
      <c r="AL270" s="771">
        <v>0</v>
      </c>
      <c r="AM270" s="747"/>
      <c r="AN270" s="757"/>
      <c r="AO270" s="771">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7126.8787510789762</v>
      </c>
      <c r="F271" s="747"/>
      <c r="G271" s="757"/>
      <c r="H271" s="771">
        <v>593.90656258991453</v>
      </c>
      <c r="I271" s="747"/>
      <c r="J271" s="757"/>
      <c r="K271" s="771">
        <v>593.90656258991453</v>
      </c>
      <c r="L271" s="747"/>
      <c r="M271" s="757"/>
      <c r="N271" s="771">
        <v>593.90656258991453</v>
      </c>
      <c r="O271" s="747"/>
      <c r="P271" s="757"/>
      <c r="Q271" s="771">
        <v>593.90656258991453</v>
      </c>
      <c r="R271" s="747"/>
      <c r="S271" s="757"/>
      <c r="T271" s="771">
        <v>593.90656258991453</v>
      </c>
      <c r="U271" s="747"/>
      <c r="V271" s="757"/>
      <c r="W271" s="771">
        <v>593.90656258991453</v>
      </c>
      <c r="X271" s="747"/>
      <c r="Y271" s="757"/>
      <c r="Z271" s="771">
        <v>593.90656258991453</v>
      </c>
      <c r="AA271" s="747"/>
      <c r="AB271" s="757"/>
      <c r="AC271" s="771">
        <v>593.90656258991453</v>
      </c>
      <c r="AD271" s="747"/>
      <c r="AE271" s="757"/>
      <c r="AF271" s="771">
        <v>593.90656258991453</v>
      </c>
      <c r="AG271" s="747"/>
      <c r="AH271" s="757"/>
      <c r="AI271" s="771">
        <v>593.90656258991453</v>
      </c>
      <c r="AJ271" s="747"/>
      <c r="AK271" s="757"/>
      <c r="AL271" s="771">
        <v>593.90656258991453</v>
      </c>
      <c r="AM271" s="747"/>
      <c r="AN271" s="757"/>
      <c r="AO271" s="771">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0</v>
      </c>
      <c r="F272" s="776"/>
      <c r="G272" s="784"/>
      <c r="H272" s="775">
        <v>0</v>
      </c>
      <c r="I272" s="776"/>
      <c r="J272" s="784"/>
      <c r="K272" s="775">
        <v>0</v>
      </c>
      <c r="L272" s="776"/>
      <c r="M272" s="784"/>
      <c r="N272" s="775">
        <v>0</v>
      </c>
      <c r="O272" s="776"/>
      <c r="P272" s="784"/>
      <c r="Q272" s="775">
        <v>0</v>
      </c>
      <c r="R272" s="776"/>
      <c r="S272" s="784"/>
      <c r="T272" s="775">
        <v>0</v>
      </c>
      <c r="U272" s="776"/>
      <c r="V272" s="784"/>
      <c r="W272" s="775">
        <v>0</v>
      </c>
      <c r="X272" s="776"/>
      <c r="Y272" s="784"/>
      <c r="Z272" s="775">
        <v>0</v>
      </c>
      <c r="AA272" s="776"/>
      <c r="AB272" s="784"/>
      <c r="AC272" s="775">
        <v>0</v>
      </c>
      <c r="AD272" s="776"/>
      <c r="AE272" s="784"/>
      <c r="AF272" s="775">
        <v>0</v>
      </c>
      <c r="AG272" s="776"/>
      <c r="AH272" s="784"/>
      <c r="AI272" s="775">
        <v>0</v>
      </c>
      <c r="AJ272" s="776"/>
      <c r="AK272" s="784"/>
      <c r="AL272" s="775">
        <v>0</v>
      </c>
      <c r="AM272" s="776"/>
      <c r="AN272" s="784"/>
      <c r="AO272" s="775">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17209.607161333337</v>
      </c>
      <c r="F273" s="747"/>
      <c r="G273" s="757"/>
      <c r="H273" s="771">
        <v>1434.1339301111113</v>
      </c>
      <c r="I273" s="747"/>
      <c r="J273" s="757"/>
      <c r="K273" s="771">
        <v>1434.1339301111113</v>
      </c>
      <c r="L273" s="747"/>
      <c r="M273" s="757"/>
      <c r="N273" s="771">
        <v>1434.1339301111113</v>
      </c>
      <c r="O273" s="747"/>
      <c r="P273" s="757"/>
      <c r="Q273" s="771">
        <v>1434.1339301111113</v>
      </c>
      <c r="R273" s="747"/>
      <c r="S273" s="757"/>
      <c r="T273" s="771">
        <v>1434.1339301111113</v>
      </c>
      <c r="U273" s="747"/>
      <c r="V273" s="757"/>
      <c r="W273" s="771">
        <v>1434.1339301111113</v>
      </c>
      <c r="X273" s="747"/>
      <c r="Y273" s="757"/>
      <c r="Z273" s="771">
        <v>1434.1339301111113</v>
      </c>
      <c r="AA273" s="747"/>
      <c r="AB273" s="757"/>
      <c r="AC273" s="771">
        <v>1434.1339301111113</v>
      </c>
      <c r="AD273" s="747"/>
      <c r="AE273" s="757"/>
      <c r="AF273" s="771">
        <v>1434.1339301111113</v>
      </c>
      <c r="AG273" s="747"/>
      <c r="AH273" s="757"/>
      <c r="AI273" s="771">
        <v>1434.1339301111113</v>
      </c>
      <c r="AJ273" s="747"/>
      <c r="AK273" s="757"/>
      <c r="AL273" s="771">
        <v>1434.1339301111113</v>
      </c>
      <c r="AM273" s="747"/>
      <c r="AN273" s="757"/>
      <c r="AO273" s="771">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2141.1807663028917</v>
      </c>
      <c r="F274" s="747"/>
      <c r="G274" s="757"/>
      <c r="H274" s="771">
        <v>178.43173052524097</v>
      </c>
      <c r="I274" s="747"/>
      <c r="J274" s="757"/>
      <c r="K274" s="771">
        <v>178.43173052524097</v>
      </c>
      <c r="L274" s="747"/>
      <c r="M274" s="757"/>
      <c r="N274" s="771">
        <v>178.43173052524097</v>
      </c>
      <c r="O274" s="747"/>
      <c r="P274" s="757"/>
      <c r="Q274" s="771">
        <v>178.43173052524097</v>
      </c>
      <c r="R274" s="747"/>
      <c r="S274" s="757"/>
      <c r="T274" s="771">
        <v>178.43173052524097</v>
      </c>
      <c r="U274" s="747"/>
      <c r="V274" s="757"/>
      <c r="W274" s="771">
        <v>178.43173052524097</v>
      </c>
      <c r="X274" s="747"/>
      <c r="Y274" s="757"/>
      <c r="Z274" s="771">
        <v>178.43173052524097</v>
      </c>
      <c r="AA274" s="747"/>
      <c r="AB274" s="757"/>
      <c r="AC274" s="771">
        <v>178.43173052524097</v>
      </c>
      <c r="AD274" s="747"/>
      <c r="AE274" s="757"/>
      <c r="AF274" s="771">
        <v>178.43173052524097</v>
      </c>
      <c r="AG274" s="747"/>
      <c r="AH274" s="757"/>
      <c r="AI274" s="771">
        <v>178.43173052524097</v>
      </c>
      <c r="AJ274" s="747"/>
      <c r="AK274" s="757"/>
      <c r="AL274" s="771">
        <v>178.43173052524097</v>
      </c>
      <c r="AM274" s="747"/>
      <c r="AN274" s="757"/>
      <c r="AO274" s="771">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8118.614435794444</v>
      </c>
      <c r="F275" s="776"/>
      <c r="G275" s="784"/>
      <c r="H275" s="775">
        <v>676.55120298287022</v>
      </c>
      <c r="I275" s="776"/>
      <c r="J275" s="784"/>
      <c r="K275" s="775">
        <v>676.55120298287022</v>
      </c>
      <c r="L275" s="776"/>
      <c r="M275" s="784"/>
      <c r="N275" s="775">
        <v>676.55120298287022</v>
      </c>
      <c r="O275" s="776"/>
      <c r="P275" s="784"/>
      <c r="Q275" s="775">
        <v>676.55120298287022</v>
      </c>
      <c r="R275" s="776"/>
      <c r="S275" s="784"/>
      <c r="T275" s="775">
        <v>676.55120298287022</v>
      </c>
      <c r="U275" s="776"/>
      <c r="V275" s="784"/>
      <c r="W275" s="775">
        <v>676.55120298287022</v>
      </c>
      <c r="X275" s="776"/>
      <c r="Y275" s="784"/>
      <c r="Z275" s="775">
        <v>676.55120298287022</v>
      </c>
      <c r="AA275" s="776"/>
      <c r="AB275" s="784"/>
      <c r="AC275" s="775">
        <v>676.55120298287022</v>
      </c>
      <c r="AD275" s="776"/>
      <c r="AE275" s="784"/>
      <c r="AF275" s="775">
        <v>676.55120298287022</v>
      </c>
      <c r="AG275" s="776"/>
      <c r="AH275" s="784"/>
      <c r="AI275" s="775">
        <v>676.55120298287022</v>
      </c>
      <c r="AJ275" s="776"/>
      <c r="AK275" s="784"/>
      <c r="AL275" s="775">
        <v>676.55120298287022</v>
      </c>
      <c r="AM275" s="776"/>
      <c r="AN275" s="784"/>
      <c r="AO275" s="775">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1500</v>
      </c>
      <c r="F277" s="747"/>
      <c r="G277" s="757"/>
      <c r="H277" s="771">
        <v>125</v>
      </c>
      <c r="I277" s="747"/>
      <c r="J277" s="757"/>
      <c r="K277" s="771">
        <v>125</v>
      </c>
      <c r="L277" s="747"/>
      <c r="M277" s="757"/>
      <c r="N277" s="771">
        <v>125</v>
      </c>
      <c r="O277" s="747"/>
      <c r="P277" s="757"/>
      <c r="Q277" s="771">
        <v>125</v>
      </c>
      <c r="R277" s="747"/>
      <c r="S277" s="757"/>
      <c r="T277" s="771">
        <v>125</v>
      </c>
      <c r="U277" s="747"/>
      <c r="V277" s="757"/>
      <c r="W277" s="771">
        <v>125</v>
      </c>
      <c r="X277" s="747"/>
      <c r="Y277" s="757"/>
      <c r="Z277" s="771">
        <v>125</v>
      </c>
      <c r="AA277" s="747"/>
      <c r="AB277" s="757"/>
      <c r="AC277" s="771">
        <v>125</v>
      </c>
      <c r="AD277" s="747"/>
      <c r="AE277" s="757"/>
      <c r="AF277" s="771">
        <v>125</v>
      </c>
      <c r="AG277" s="747"/>
      <c r="AH277" s="757"/>
      <c r="AI277" s="771">
        <v>125</v>
      </c>
      <c r="AJ277" s="747"/>
      <c r="AK277" s="757"/>
      <c r="AL277" s="771">
        <v>125</v>
      </c>
      <c r="AM277" s="747"/>
      <c r="AN277" s="757"/>
      <c r="AO277" s="771">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1000.0000000000001</v>
      </c>
      <c r="F278" s="747"/>
      <c r="G278" s="757"/>
      <c r="H278" s="771">
        <v>83.333333333333329</v>
      </c>
      <c r="I278" s="747"/>
      <c r="J278" s="757"/>
      <c r="K278" s="771">
        <v>83.333333333333329</v>
      </c>
      <c r="L278" s="747"/>
      <c r="M278" s="757"/>
      <c r="N278" s="771">
        <v>83.333333333333329</v>
      </c>
      <c r="O278" s="747"/>
      <c r="P278" s="757"/>
      <c r="Q278" s="771">
        <v>83.333333333333329</v>
      </c>
      <c r="R278" s="747"/>
      <c r="S278" s="757"/>
      <c r="T278" s="771">
        <v>83.333333333333329</v>
      </c>
      <c r="U278" s="747"/>
      <c r="V278" s="757"/>
      <c r="W278" s="771">
        <v>83.333333333333329</v>
      </c>
      <c r="X278" s="747"/>
      <c r="Y278" s="757"/>
      <c r="Z278" s="771">
        <v>83.333333333333329</v>
      </c>
      <c r="AA278" s="747"/>
      <c r="AB278" s="757"/>
      <c r="AC278" s="771">
        <v>83.333333333333329</v>
      </c>
      <c r="AD278" s="747"/>
      <c r="AE278" s="757"/>
      <c r="AF278" s="771">
        <v>83.333333333333329</v>
      </c>
      <c r="AG278" s="747"/>
      <c r="AH278" s="757"/>
      <c r="AI278" s="771">
        <v>83.333333333333329</v>
      </c>
      <c r="AJ278" s="747"/>
      <c r="AK278" s="757"/>
      <c r="AL278" s="771">
        <v>83.333333333333329</v>
      </c>
      <c r="AM278" s="747"/>
      <c r="AN278" s="757"/>
      <c r="AO278" s="771">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1890.7022489159997</v>
      </c>
      <c r="F279" s="747"/>
      <c r="G279" s="757"/>
      <c r="H279" s="771">
        <v>157.558520743</v>
      </c>
      <c r="I279" s="747"/>
      <c r="J279" s="757"/>
      <c r="K279" s="771">
        <v>157.558520743</v>
      </c>
      <c r="L279" s="747"/>
      <c r="M279" s="757"/>
      <c r="N279" s="771">
        <v>157.558520743</v>
      </c>
      <c r="O279" s="747"/>
      <c r="P279" s="757"/>
      <c r="Q279" s="771">
        <v>157.558520743</v>
      </c>
      <c r="R279" s="747"/>
      <c r="S279" s="757"/>
      <c r="T279" s="771">
        <v>157.558520743</v>
      </c>
      <c r="U279" s="747"/>
      <c r="V279" s="757"/>
      <c r="W279" s="771">
        <v>157.558520743</v>
      </c>
      <c r="X279" s="747"/>
      <c r="Y279" s="757"/>
      <c r="Z279" s="771">
        <v>157.558520743</v>
      </c>
      <c r="AA279" s="747"/>
      <c r="AB279" s="757"/>
      <c r="AC279" s="771">
        <v>157.558520743</v>
      </c>
      <c r="AD279" s="747"/>
      <c r="AE279" s="757"/>
      <c r="AF279" s="771">
        <v>157.558520743</v>
      </c>
      <c r="AG279" s="747"/>
      <c r="AH279" s="757"/>
      <c r="AI279" s="771">
        <v>157.558520743</v>
      </c>
      <c r="AJ279" s="747"/>
      <c r="AK279" s="757"/>
      <c r="AL279" s="771">
        <v>157.558520743</v>
      </c>
      <c r="AM279" s="747"/>
      <c r="AN279" s="757"/>
      <c r="AO279" s="771">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441.36442326383332</v>
      </c>
      <c r="F280" s="747"/>
      <c r="G280" s="757"/>
      <c r="H280" s="771">
        <v>36.780368605319445</v>
      </c>
      <c r="I280" s="747"/>
      <c r="J280" s="757"/>
      <c r="K280" s="771">
        <v>36.780368605319445</v>
      </c>
      <c r="L280" s="747"/>
      <c r="M280" s="757"/>
      <c r="N280" s="771">
        <v>36.780368605319445</v>
      </c>
      <c r="O280" s="747"/>
      <c r="P280" s="757"/>
      <c r="Q280" s="771">
        <v>36.780368605319445</v>
      </c>
      <c r="R280" s="747"/>
      <c r="S280" s="757"/>
      <c r="T280" s="771">
        <v>36.780368605319445</v>
      </c>
      <c r="U280" s="747"/>
      <c r="V280" s="757"/>
      <c r="W280" s="771">
        <v>36.780368605319445</v>
      </c>
      <c r="X280" s="747"/>
      <c r="Y280" s="757"/>
      <c r="Z280" s="771">
        <v>36.780368605319445</v>
      </c>
      <c r="AA280" s="747"/>
      <c r="AB280" s="757"/>
      <c r="AC280" s="771">
        <v>36.780368605319445</v>
      </c>
      <c r="AD280" s="747"/>
      <c r="AE280" s="757"/>
      <c r="AF280" s="771">
        <v>36.780368605319445</v>
      </c>
      <c r="AG280" s="747"/>
      <c r="AH280" s="757"/>
      <c r="AI280" s="771">
        <v>36.780368605319445</v>
      </c>
      <c r="AJ280" s="747"/>
      <c r="AK280" s="757"/>
      <c r="AL280" s="771">
        <v>36.780368605319445</v>
      </c>
      <c r="AM280" s="747"/>
      <c r="AN280" s="757"/>
      <c r="AO280" s="771">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296.94878225616674</v>
      </c>
      <c r="F281" s="747"/>
      <c r="G281" s="757"/>
      <c r="H281" s="771">
        <v>24.745731854680557</v>
      </c>
      <c r="I281" s="747"/>
      <c r="J281" s="757"/>
      <c r="K281" s="771">
        <v>24.745731854680557</v>
      </c>
      <c r="L281" s="747"/>
      <c r="M281" s="757"/>
      <c r="N281" s="771">
        <v>24.745731854680557</v>
      </c>
      <c r="O281" s="747"/>
      <c r="P281" s="757"/>
      <c r="Q281" s="771">
        <v>24.745731854680557</v>
      </c>
      <c r="R281" s="747"/>
      <c r="S281" s="757"/>
      <c r="T281" s="771">
        <v>24.745731854680557</v>
      </c>
      <c r="U281" s="747"/>
      <c r="V281" s="757"/>
      <c r="W281" s="771">
        <v>24.745731854680557</v>
      </c>
      <c r="X281" s="747"/>
      <c r="Y281" s="757"/>
      <c r="Z281" s="771">
        <v>24.745731854680557</v>
      </c>
      <c r="AA281" s="747"/>
      <c r="AB281" s="757"/>
      <c r="AC281" s="771">
        <v>24.745731854680557</v>
      </c>
      <c r="AD281" s="747"/>
      <c r="AE281" s="757"/>
      <c r="AF281" s="771">
        <v>24.745731854680557</v>
      </c>
      <c r="AG281" s="747"/>
      <c r="AH281" s="757"/>
      <c r="AI281" s="771">
        <v>24.745731854680557</v>
      </c>
      <c r="AJ281" s="747"/>
      <c r="AK281" s="757"/>
      <c r="AL281" s="771">
        <v>24.745731854680557</v>
      </c>
      <c r="AM281" s="747"/>
      <c r="AN281" s="757"/>
      <c r="AO281" s="771">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2819.9935590171658</v>
      </c>
      <c r="F282" s="747"/>
      <c r="G282" s="757"/>
      <c r="H282" s="771">
        <v>234.99946325143051</v>
      </c>
      <c r="I282" s="747"/>
      <c r="J282" s="757"/>
      <c r="K282" s="771">
        <v>234.99946325143051</v>
      </c>
      <c r="L282" s="747"/>
      <c r="M282" s="757"/>
      <c r="N282" s="771">
        <v>234.99946325143051</v>
      </c>
      <c r="O282" s="747"/>
      <c r="P282" s="757"/>
      <c r="Q282" s="771">
        <v>234.99946325143051</v>
      </c>
      <c r="R282" s="747"/>
      <c r="S282" s="757"/>
      <c r="T282" s="771">
        <v>234.99946325143051</v>
      </c>
      <c r="U282" s="747"/>
      <c r="V282" s="757"/>
      <c r="W282" s="771">
        <v>234.99946325143051</v>
      </c>
      <c r="X282" s="747"/>
      <c r="Y282" s="757"/>
      <c r="Z282" s="771">
        <v>234.99946325143051</v>
      </c>
      <c r="AA282" s="747"/>
      <c r="AB282" s="757"/>
      <c r="AC282" s="771">
        <v>234.99946325143051</v>
      </c>
      <c r="AD282" s="747"/>
      <c r="AE282" s="757"/>
      <c r="AF282" s="771">
        <v>234.99946325143051</v>
      </c>
      <c r="AG282" s="747"/>
      <c r="AH282" s="757"/>
      <c r="AI282" s="771">
        <v>234.99946325143051</v>
      </c>
      <c r="AJ282" s="747"/>
      <c r="AK282" s="757"/>
      <c r="AL282" s="771">
        <v>234.99946325143051</v>
      </c>
      <c r="AM282" s="747"/>
      <c r="AN282" s="757"/>
      <c r="AO282" s="771">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5211.9018277758541</v>
      </c>
      <c r="F283" s="747"/>
      <c r="G283" s="757"/>
      <c r="H283" s="771">
        <v>434.32515231465453</v>
      </c>
      <c r="I283" s="747"/>
      <c r="J283" s="757"/>
      <c r="K283" s="771">
        <v>434.32515231465453</v>
      </c>
      <c r="L283" s="747"/>
      <c r="M283" s="757"/>
      <c r="N283" s="771">
        <v>434.32515231465453</v>
      </c>
      <c r="O283" s="747"/>
      <c r="P283" s="757"/>
      <c r="Q283" s="771">
        <v>434.32515231465453</v>
      </c>
      <c r="R283" s="747"/>
      <c r="S283" s="757"/>
      <c r="T283" s="771">
        <v>434.32515231465453</v>
      </c>
      <c r="U283" s="747"/>
      <c r="V283" s="757"/>
      <c r="W283" s="771">
        <v>434.32515231465453</v>
      </c>
      <c r="X283" s="747"/>
      <c r="Y283" s="757"/>
      <c r="Z283" s="771">
        <v>434.32515231465453</v>
      </c>
      <c r="AA283" s="747"/>
      <c r="AB283" s="757"/>
      <c r="AC283" s="771">
        <v>434.32515231465453</v>
      </c>
      <c r="AD283" s="747"/>
      <c r="AE283" s="757"/>
      <c r="AF283" s="771">
        <v>434.32515231465453</v>
      </c>
      <c r="AG283" s="747"/>
      <c r="AH283" s="757"/>
      <c r="AI283" s="771">
        <v>434.32515231465453</v>
      </c>
      <c r="AJ283" s="747"/>
      <c r="AK283" s="757"/>
      <c r="AL283" s="771">
        <v>434.32515231465453</v>
      </c>
      <c r="AM283" s="747"/>
      <c r="AN283" s="757"/>
      <c r="AO283" s="771">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2463.3784661654386</v>
      </c>
      <c r="F284" s="747"/>
      <c r="G284" s="757"/>
      <c r="H284" s="771">
        <v>205.2815388471198</v>
      </c>
      <c r="I284" s="747"/>
      <c r="J284" s="757"/>
      <c r="K284" s="771">
        <v>205.2815388471198</v>
      </c>
      <c r="L284" s="747"/>
      <c r="M284" s="757"/>
      <c r="N284" s="771">
        <v>205.2815388471198</v>
      </c>
      <c r="O284" s="747"/>
      <c r="P284" s="757"/>
      <c r="Q284" s="771">
        <v>205.2815388471198</v>
      </c>
      <c r="R284" s="747"/>
      <c r="S284" s="757"/>
      <c r="T284" s="771">
        <v>205.2815388471198</v>
      </c>
      <c r="U284" s="747"/>
      <c r="V284" s="757"/>
      <c r="W284" s="771">
        <v>205.2815388471198</v>
      </c>
      <c r="X284" s="747"/>
      <c r="Y284" s="757"/>
      <c r="Z284" s="771">
        <v>205.2815388471198</v>
      </c>
      <c r="AA284" s="747"/>
      <c r="AB284" s="757"/>
      <c r="AC284" s="771">
        <v>205.2815388471198</v>
      </c>
      <c r="AD284" s="747"/>
      <c r="AE284" s="757"/>
      <c r="AF284" s="771">
        <v>205.2815388471198</v>
      </c>
      <c r="AG284" s="747"/>
      <c r="AH284" s="757"/>
      <c r="AI284" s="771">
        <v>205.2815388471198</v>
      </c>
      <c r="AJ284" s="747"/>
      <c r="AK284" s="757"/>
      <c r="AL284" s="771">
        <v>205.2815388471198</v>
      </c>
      <c r="AM284" s="747"/>
      <c r="AN284" s="757"/>
      <c r="AO284" s="771">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50220.5704219041</v>
      </c>
      <c r="F288" s="790" t="s">
        <v>119</v>
      </c>
      <c r="G288" s="791">
        <v>0</v>
      </c>
      <c r="H288" s="792">
        <v>4185.0475351586747</v>
      </c>
      <c r="I288" s="790" t="s">
        <v>119</v>
      </c>
      <c r="J288" s="791">
        <v>0</v>
      </c>
      <c r="K288" s="792">
        <v>4185.0475351586747</v>
      </c>
      <c r="L288" s="790" t="s">
        <v>119</v>
      </c>
      <c r="M288" s="791">
        <v>0</v>
      </c>
      <c r="N288" s="792">
        <v>4185.0475351586747</v>
      </c>
      <c r="O288" s="790" t="s">
        <v>119</v>
      </c>
      <c r="P288" s="791">
        <v>0</v>
      </c>
      <c r="Q288" s="792">
        <v>4185.0475351586747</v>
      </c>
      <c r="R288" s="790" t="s">
        <v>119</v>
      </c>
      <c r="S288" s="791">
        <v>0</v>
      </c>
      <c r="T288" s="792">
        <v>4185.0475351586747</v>
      </c>
      <c r="U288" s="790" t="s">
        <v>119</v>
      </c>
      <c r="V288" s="791">
        <v>0</v>
      </c>
      <c r="W288" s="792">
        <v>4185.0475351586747</v>
      </c>
      <c r="X288" s="790" t="s">
        <v>119</v>
      </c>
      <c r="Y288" s="791">
        <v>0</v>
      </c>
      <c r="Z288" s="792">
        <v>4185.0475351586747</v>
      </c>
      <c r="AA288" s="790" t="s">
        <v>119</v>
      </c>
      <c r="AB288" s="791">
        <v>0</v>
      </c>
      <c r="AC288" s="792">
        <v>4185.0475351586747</v>
      </c>
      <c r="AD288" s="790" t="s">
        <v>119</v>
      </c>
      <c r="AE288" s="791">
        <v>0</v>
      </c>
      <c r="AF288" s="792">
        <v>4185.0475351586747</v>
      </c>
      <c r="AG288" s="790" t="s">
        <v>119</v>
      </c>
      <c r="AH288" s="791">
        <v>0</v>
      </c>
      <c r="AI288" s="792">
        <v>4185.0475351586747</v>
      </c>
      <c r="AJ288" s="790" t="s">
        <v>119</v>
      </c>
      <c r="AK288" s="791">
        <v>0</v>
      </c>
      <c r="AL288" s="792">
        <v>4185.0475351586747</v>
      </c>
      <c r="AM288" s="790" t="s">
        <v>119</v>
      </c>
      <c r="AN288" s="791">
        <v>0</v>
      </c>
      <c r="AO288" s="792">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138922.14965070412</v>
      </c>
      <c r="F290" s="777" t="s">
        <v>119</v>
      </c>
      <c r="G290" s="815">
        <v>0</v>
      </c>
      <c r="H290" s="789">
        <v>11062.389937374057</v>
      </c>
      <c r="I290" s="777" t="s">
        <v>119</v>
      </c>
      <c r="J290" s="815">
        <v>0</v>
      </c>
      <c r="K290" s="789">
        <v>11062.389937374057</v>
      </c>
      <c r="L290" s="777" t="s">
        <v>119</v>
      </c>
      <c r="M290" s="815">
        <v>0</v>
      </c>
      <c r="N290" s="789">
        <v>12605.757537927904</v>
      </c>
      <c r="O290" s="777" t="s">
        <v>119</v>
      </c>
      <c r="P290" s="815">
        <v>0</v>
      </c>
      <c r="Q290" s="789">
        <v>11062.389937374057</v>
      </c>
      <c r="R290" s="777" t="s">
        <v>119</v>
      </c>
      <c r="S290" s="815">
        <v>0</v>
      </c>
      <c r="T290" s="789">
        <v>12605.757537927904</v>
      </c>
      <c r="U290" s="777" t="s">
        <v>119</v>
      </c>
      <c r="V290" s="815">
        <v>0</v>
      </c>
      <c r="W290" s="789">
        <v>11062.389937374057</v>
      </c>
      <c r="X290" s="777" t="s">
        <v>119</v>
      </c>
      <c r="Y290" s="815">
        <v>0</v>
      </c>
      <c r="Z290" s="789">
        <v>11062.389937374057</v>
      </c>
      <c r="AA290" s="777" t="s">
        <v>119</v>
      </c>
      <c r="AB290" s="815">
        <v>0</v>
      </c>
      <c r="AC290" s="789">
        <v>12605.757537927904</v>
      </c>
      <c r="AD290" s="777" t="s">
        <v>119</v>
      </c>
      <c r="AE290" s="815">
        <v>0</v>
      </c>
      <c r="AF290" s="789">
        <v>11062.389937374057</v>
      </c>
      <c r="AG290" s="777" t="s">
        <v>119</v>
      </c>
      <c r="AH290" s="815">
        <v>0</v>
      </c>
      <c r="AI290" s="789">
        <v>11062.389937374057</v>
      </c>
      <c r="AJ290" s="777" t="s">
        <v>119</v>
      </c>
      <c r="AK290" s="815">
        <v>0</v>
      </c>
      <c r="AL290" s="789">
        <v>12605.757537927904</v>
      </c>
      <c r="AM290" s="777" t="s">
        <v>119</v>
      </c>
      <c r="AN290" s="815">
        <v>0</v>
      </c>
      <c r="AO290" s="789">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39210.500349295849</v>
      </c>
      <c r="F292" s="816"/>
      <c r="G292" s="817"/>
      <c r="H292" s="798">
        <v>6078.679927700683</v>
      </c>
      <c r="I292" s="816"/>
      <c r="J292" s="817"/>
      <c r="K292" s="798">
        <v>2086.9017302563061</v>
      </c>
      <c r="L292" s="816"/>
      <c r="M292" s="817"/>
      <c r="N292" s="798">
        <v>6551.982295946822</v>
      </c>
      <c r="O292" s="816"/>
      <c r="P292" s="817"/>
      <c r="Q292" s="798">
        <v>5728.3085984618046</v>
      </c>
      <c r="R292" s="816"/>
      <c r="S292" s="817"/>
      <c r="T292" s="798">
        <v>1424.0333566210029</v>
      </c>
      <c r="U292" s="816"/>
      <c r="V292" s="817"/>
      <c r="W292" s="798">
        <v>5352.7427170661031</v>
      </c>
      <c r="X292" s="816"/>
      <c r="Y292" s="817"/>
      <c r="Z292" s="798">
        <v>4279.5511305800865</v>
      </c>
      <c r="AA292" s="816"/>
      <c r="AB292" s="817"/>
      <c r="AC292" s="798">
        <v>2298.6793905906488</v>
      </c>
      <c r="AD292" s="816"/>
      <c r="AE292" s="817"/>
      <c r="AF292" s="798">
        <v>-1250.2023121309794</v>
      </c>
      <c r="AG292" s="816"/>
      <c r="AH292" s="817"/>
      <c r="AI292" s="798">
        <v>4739.7471194154477</v>
      </c>
      <c r="AJ292" s="816"/>
      <c r="AK292" s="817"/>
      <c r="AL292" s="798">
        <v>3679.0128982002407</v>
      </c>
      <c r="AM292" s="816"/>
      <c r="AN292" s="817"/>
      <c r="AO292" s="798">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1453900.5079473404</v>
      </c>
      <c r="D298" s="813">
        <v>0.34199999999999997</v>
      </c>
      <c r="E298" s="758">
        <v>497233.97371799039</v>
      </c>
      <c r="F298" s="820">
        <v>68102.943029233269</v>
      </c>
      <c r="G298" s="813">
        <v>0.34200000000000003</v>
      </c>
      <c r="H298" s="771">
        <v>23291.206515997779</v>
      </c>
      <c r="I298" s="820">
        <v>68675.867624883031</v>
      </c>
      <c r="J298" s="813">
        <v>0.34200000000000003</v>
      </c>
      <c r="K298" s="771">
        <v>23487.146727709998</v>
      </c>
      <c r="L298" s="820">
        <v>97068.693605354172</v>
      </c>
      <c r="M298" s="813">
        <v>0.34200000000000003</v>
      </c>
      <c r="N298" s="771">
        <v>33197.493213031128</v>
      </c>
      <c r="O298" s="820">
        <v>179994.55319999999</v>
      </c>
      <c r="P298" s="813">
        <v>0.34200000000000003</v>
      </c>
      <c r="Q298" s="771">
        <v>61558.137194400006</v>
      </c>
      <c r="R298" s="820">
        <v>194533.69320000001</v>
      </c>
      <c r="S298" s="813">
        <v>0.34200000000000008</v>
      </c>
      <c r="T298" s="771">
        <v>66530.523074400015</v>
      </c>
      <c r="U298" s="820">
        <v>101173.85646693091</v>
      </c>
      <c r="V298" s="813">
        <v>0.34200000000000003</v>
      </c>
      <c r="W298" s="771">
        <v>34601.458911690373</v>
      </c>
      <c r="X298" s="820">
        <v>107008.0704</v>
      </c>
      <c r="Y298" s="813">
        <v>0.34200000000000008</v>
      </c>
      <c r="Z298" s="771">
        <v>36596.760076800005</v>
      </c>
      <c r="AA298" s="820">
        <v>91495.221698814159</v>
      </c>
      <c r="AB298" s="813">
        <v>0.34200000000000003</v>
      </c>
      <c r="AC298" s="771">
        <v>31291.365820994444</v>
      </c>
      <c r="AD298" s="820">
        <v>76440.844943847915</v>
      </c>
      <c r="AE298" s="813">
        <v>0.34200000000000003</v>
      </c>
      <c r="AF298" s="771">
        <v>26142.768970795987</v>
      </c>
      <c r="AG298" s="820">
        <v>166473.15300000002</v>
      </c>
      <c r="AH298" s="813">
        <v>0.34200000000000003</v>
      </c>
      <c r="AI298" s="771">
        <v>56933.818326000008</v>
      </c>
      <c r="AJ298" s="820">
        <v>209218.22459999999</v>
      </c>
      <c r="AK298" s="813">
        <v>0.34200000000000003</v>
      </c>
      <c r="AL298" s="771">
        <v>71552.632813200005</v>
      </c>
      <c r="AM298" s="820">
        <v>93715.386178276894</v>
      </c>
      <c r="AN298" s="813">
        <v>0.34200000000000003</v>
      </c>
      <c r="AO298" s="771">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710095.99999999988</v>
      </c>
      <c r="D299" s="813">
        <v>0.24800000000000005</v>
      </c>
      <c r="E299" s="758">
        <v>176103.80800000002</v>
      </c>
      <c r="F299" s="820">
        <v>77311.478677311447</v>
      </c>
      <c r="G299" s="813">
        <v>0.248</v>
      </c>
      <c r="H299" s="771">
        <v>19173.246711973239</v>
      </c>
      <c r="I299" s="820">
        <v>62778.957931147255</v>
      </c>
      <c r="J299" s="813">
        <v>0.248</v>
      </c>
      <c r="K299" s="771">
        <v>15569.181566924519</v>
      </c>
      <c r="L299" s="820">
        <v>61315.684533504544</v>
      </c>
      <c r="M299" s="813">
        <v>0.248</v>
      </c>
      <c r="N299" s="771">
        <v>15206.289764309127</v>
      </c>
      <c r="O299" s="820">
        <v>67540.913915572368</v>
      </c>
      <c r="P299" s="813">
        <v>0.248</v>
      </c>
      <c r="Q299" s="771">
        <v>16750.146651061947</v>
      </c>
      <c r="R299" s="820">
        <v>51253.068428494706</v>
      </c>
      <c r="S299" s="813">
        <v>0.248</v>
      </c>
      <c r="T299" s="771">
        <v>12710.760970266687</v>
      </c>
      <c r="U299" s="820">
        <v>66130.940674823782</v>
      </c>
      <c r="V299" s="813">
        <v>0.248</v>
      </c>
      <c r="W299" s="771">
        <v>16400.473287356297</v>
      </c>
      <c r="X299" s="820">
        <v>55923.367985034376</v>
      </c>
      <c r="Y299" s="813">
        <v>0.24800000000000003</v>
      </c>
      <c r="Z299" s="771">
        <v>13868.995260288526</v>
      </c>
      <c r="AA299" s="820">
        <v>57292.53348045599</v>
      </c>
      <c r="AB299" s="813">
        <v>0.248</v>
      </c>
      <c r="AC299" s="771">
        <v>14208.548303153086</v>
      </c>
      <c r="AD299" s="820">
        <v>34326.636867241177</v>
      </c>
      <c r="AE299" s="813">
        <v>0.248</v>
      </c>
      <c r="AF299" s="771">
        <v>8513.005943075812</v>
      </c>
      <c r="AG299" s="820">
        <v>52480.08107250421</v>
      </c>
      <c r="AH299" s="813">
        <v>0.248</v>
      </c>
      <c r="AI299" s="771">
        <v>13015.060105981043</v>
      </c>
      <c r="AJ299" s="820">
        <v>74393.158025585159</v>
      </c>
      <c r="AK299" s="813">
        <v>0.248</v>
      </c>
      <c r="AL299" s="771">
        <v>18449.50319034512</v>
      </c>
      <c r="AM299" s="820">
        <v>49349.178408324966</v>
      </c>
      <c r="AN299" s="813">
        <v>0.248</v>
      </c>
      <c r="AO299" s="771">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539994.9889000064</v>
      </c>
      <c r="D300" s="813">
        <v>0.24299999999999999</v>
      </c>
      <c r="E300" s="758">
        <v>131218.78230270155</v>
      </c>
      <c r="F300" s="820">
        <v>25294.198443502137</v>
      </c>
      <c r="G300" s="813">
        <v>0.24299999999999997</v>
      </c>
      <c r="H300" s="771">
        <v>6146.4902217710187</v>
      </c>
      <c r="I300" s="820">
        <v>25506.989077371039</v>
      </c>
      <c r="J300" s="813">
        <v>0.24299999999999999</v>
      </c>
      <c r="K300" s="771">
        <v>6198.1983458011628</v>
      </c>
      <c r="L300" s="820">
        <v>36052.40375076604</v>
      </c>
      <c r="M300" s="813">
        <v>0.24300000000000002</v>
      </c>
      <c r="N300" s="771">
        <v>8760.7341114361479</v>
      </c>
      <c r="O300" s="820">
        <v>66852</v>
      </c>
      <c r="P300" s="813">
        <v>0.24299999999999999</v>
      </c>
      <c r="Q300" s="771">
        <v>16245.036</v>
      </c>
      <c r="R300" s="820">
        <v>72252</v>
      </c>
      <c r="S300" s="813">
        <v>0.24300000000000002</v>
      </c>
      <c r="T300" s="771">
        <v>17557.236000000001</v>
      </c>
      <c r="U300" s="820">
        <v>37577.107375087311</v>
      </c>
      <c r="V300" s="813">
        <v>0.24300000000000002</v>
      </c>
      <c r="W300" s="771">
        <v>9131.237092146217</v>
      </c>
      <c r="X300" s="820">
        <v>39744</v>
      </c>
      <c r="Y300" s="813">
        <v>0.24299999999999999</v>
      </c>
      <c r="Z300" s="771">
        <v>9657.7919999999995</v>
      </c>
      <c r="AA300" s="820">
        <v>33982.35364496088</v>
      </c>
      <c r="AB300" s="813">
        <v>0.24300000000000002</v>
      </c>
      <c r="AC300" s="771">
        <v>8257.7119357254942</v>
      </c>
      <c r="AD300" s="820">
        <v>28390.98892346994</v>
      </c>
      <c r="AE300" s="813">
        <v>0.24299999999999999</v>
      </c>
      <c r="AF300" s="771">
        <v>6899.0103084031953</v>
      </c>
      <c r="AG300" s="820">
        <v>61830</v>
      </c>
      <c r="AH300" s="813">
        <v>0.24300000000000002</v>
      </c>
      <c r="AI300" s="771">
        <v>15024.69</v>
      </c>
      <c r="AJ300" s="820">
        <v>77706</v>
      </c>
      <c r="AK300" s="813">
        <v>0.24300000000000002</v>
      </c>
      <c r="AL300" s="771">
        <v>18882.558000000001</v>
      </c>
      <c r="AM300" s="820">
        <v>34806.947684848987</v>
      </c>
      <c r="AN300" s="813">
        <v>0.24300000000000002</v>
      </c>
      <c r="AO300" s="771">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583538.00000000012</v>
      </c>
      <c r="D301" s="813">
        <v>0.31599999999999995</v>
      </c>
      <c r="E301" s="758">
        <v>184398.008</v>
      </c>
      <c r="F301" s="820">
        <v>25630.360314305966</v>
      </c>
      <c r="G301" s="813">
        <v>0.316</v>
      </c>
      <c r="H301" s="771">
        <v>8099.1938593206851</v>
      </c>
      <c r="I301" s="820">
        <v>32024.893327266007</v>
      </c>
      <c r="J301" s="813">
        <v>0.316</v>
      </c>
      <c r="K301" s="771">
        <v>10119.866291416058</v>
      </c>
      <c r="L301" s="820">
        <v>44126.52917235552</v>
      </c>
      <c r="M301" s="813">
        <v>0.316</v>
      </c>
      <c r="N301" s="771">
        <v>13943.983218464344</v>
      </c>
      <c r="O301" s="820">
        <v>46178.307044285575</v>
      </c>
      <c r="P301" s="813">
        <v>0.316</v>
      </c>
      <c r="Q301" s="771">
        <v>14592.345025994242</v>
      </c>
      <c r="R301" s="820">
        <v>50992.242773818311</v>
      </c>
      <c r="S301" s="813">
        <v>0.316</v>
      </c>
      <c r="T301" s="771">
        <v>16113.548716526586</v>
      </c>
      <c r="U301" s="820">
        <v>60882.99990752634</v>
      </c>
      <c r="V301" s="813">
        <v>0.316</v>
      </c>
      <c r="W301" s="771">
        <v>19239.027970778323</v>
      </c>
      <c r="X301" s="820">
        <v>53464.490283295439</v>
      </c>
      <c r="Y301" s="813">
        <v>0.316</v>
      </c>
      <c r="Z301" s="771">
        <v>16894.778929521359</v>
      </c>
      <c r="AA301" s="820">
        <v>52148.583638741169</v>
      </c>
      <c r="AB301" s="813">
        <v>0.31600000000000006</v>
      </c>
      <c r="AC301" s="771">
        <v>16478.952429842211</v>
      </c>
      <c r="AD301" s="820">
        <v>53843.813305220196</v>
      </c>
      <c r="AE301" s="813">
        <v>0.316</v>
      </c>
      <c r="AF301" s="771">
        <v>17014.645004449583</v>
      </c>
      <c r="AG301" s="820">
        <v>72697.863264700442</v>
      </c>
      <c r="AH301" s="813">
        <v>0.316</v>
      </c>
      <c r="AI301" s="771">
        <v>22972.524791645341</v>
      </c>
      <c r="AJ301" s="820">
        <v>56005.685384712364</v>
      </c>
      <c r="AK301" s="813">
        <v>0.316</v>
      </c>
      <c r="AL301" s="771">
        <v>17697.796581569106</v>
      </c>
      <c r="AM301" s="820">
        <v>35542.231583772656</v>
      </c>
      <c r="AN301" s="813">
        <v>0.316</v>
      </c>
      <c r="AO301" s="771">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254357.82</v>
      </c>
      <c r="D302" s="813">
        <v>0.26500000000000007</v>
      </c>
      <c r="E302" s="758">
        <v>67404.822300000014</v>
      </c>
      <c r="F302" s="820">
        <v>12781.800000000001</v>
      </c>
      <c r="G302" s="813">
        <v>0.26500000000000001</v>
      </c>
      <c r="H302" s="771">
        <v>3387.1770000000006</v>
      </c>
      <c r="I302" s="820">
        <v>12781.800000000001</v>
      </c>
      <c r="J302" s="813">
        <v>0.26500000000000001</v>
      </c>
      <c r="K302" s="771">
        <v>3387.1770000000006</v>
      </c>
      <c r="L302" s="820">
        <v>17894.52</v>
      </c>
      <c r="M302" s="813">
        <v>0.26500000000000001</v>
      </c>
      <c r="N302" s="771">
        <v>4742.0478000000003</v>
      </c>
      <c r="O302" s="820">
        <v>25563.600000000002</v>
      </c>
      <c r="P302" s="813">
        <v>0.26500000000000001</v>
      </c>
      <c r="Q302" s="771">
        <v>6774.3540000000012</v>
      </c>
      <c r="R302" s="820">
        <v>29398.140000000003</v>
      </c>
      <c r="S302" s="813">
        <v>0.26500000000000001</v>
      </c>
      <c r="T302" s="771">
        <v>7790.5071000000016</v>
      </c>
      <c r="U302" s="820">
        <v>23007.239999999998</v>
      </c>
      <c r="V302" s="813">
        <v>0.26500000000000001</v>
      </c>
      <c r="W302" s="771">
        <v>6096.9186</v>
      </c>
      <c r="X302" s="820">
        <v>20450.88</v>
      </c>
      <c r="Y302" s="813">
        <v>0.26500000000000001</v>
      </c>
      <c r="Z302" s="771">
        <v>5419.4832000000006</v>
      </c>
      <c r="AA302" s="820">
        <v>23007.239999999998</v>
      </c>
      <c r="AB302" s="813">
        <v>0.26500000000000001</v>
      </c>
      <c r="AC302" s="771">
        <v>6096.9186</v>
      </c>
      <c r="AD302" s="820">
        <v>20450.88</v>
      </c>
      <c r="AE302" s="813">
        <v>0.26500000000000001</v>
      </c>
      <c r="AF302" s="771">
        <v>5419.4832000000006</v>
      </c>
      <c r="AG302" s="820">
        <v>30676.32</v>
      </c>
      <c r="AH302" s="813">
        <v>0.26500000000000001</v>
      </c>
      <c r="AI302" s="771">
        <v>8129.2248</v>
      </c>
      <c r="AJ302" s="820">
        <v>25563.600000000002</v>
      </c>
      <c r="AK302" s="813">
        <v>0.26500000000000001</v>
      </c>
      <c r="AL302" s="771">
        <v>6774.3540000000012</v>
      </c>
      <c r="AM302" s="820">
        <v>12781.800000000001</v>
      </c>
      <c r="AN302" s="813">
        <v>0.26500000000000001</v>
      </c>
      <c r="AO302" s="771">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1580494.9999999998</v>
      </c>
      <c r="D303" s="813">
        <v>0.14499999999999999</v>
      </c>
      <c r="E303" s="758">
        <v>229171.77499999994</v>
      </c>
      <c r="F303" s="820">
        <v>131369.88800037501</v>
      </c>
      <c r="G303" s="813">
        <v>0.14499999999999999</v>
      </c>
      <c r="H303" s="771">
        <v>19048.633760054374</v>
      </c>
      <c r="I303" s="820">
        <v>97822.4535252481</v>
      </c>
      <c r="J303" s="813">
        <v>0.14499999999999999</v>
      </c>
      <c r="K303" s="771">
        <v>14184.255761160974</v>
      </c>
      <c r="L303" s="820">
        <v>131294.05183072784</v>
      </c>
      <c r="M303" s="813">
        <v>0.14499999999999999</v>
      </c>
      <c r="N303" s="771">
        <v>19037.637515455535</v>
      </c>
      <c r="O303" s="820">
        <v>114574.82119492393</v>
      </c>
      <c r="P303" s="813">
        <v>0.14499999999999999</v>
      </c>
      <c r="Q303" s="771">
        <v>16613.349073263969</v>
      </c>
      <c r="R303" s="820">
        <v>117872.10027457221</v>
      </c>
      <c r="S303" s="813">
        <v>0.14499999999999999</v>
      </c>
      <c r="T303" s="771">
        <v>17091.45453981297</v>
      </c>
      <c r="U303" s="820">
        <v>134183.48159425892</v>
      </c>
      <c r="V303" s="813">
        <v>0.14499999999999999</v>
      </c>
      <c r="W303" s="771">
        <v>19456.60483116754</v>
      </c>
      <c r="X303" s="820">
        <v>143141.73013459198</v>
      </c>
      <c r="Y303" s="813">
        <v>0.14499999999999999</v>
      </c>
      <c r="Z303" s="771">
        <v>20755.550869515835</v>
      </c>
      <c r="AA303" s="820">
        <v>124847.8658281988</v>
      </c>
      <c r="AB303" s="813">
        <v>0.14499999999999999</v>
      </c>
      <c r="AC303" s="771">
        <v>18102.940545088826</v>
      </c>
      <c r="AD303" s="820">
        <v>149444.83181509384</v>
      </c>
      <c r="AE303" s="813">
        <v>0.14499999999999999</v>
      </c>
      <c r="AF303" s="771">
        <v>21669.500613188608</v>
      </c>
      <c r="AG303" s="820">
        <v>150310.40872804238</v>
      </c>
      <c r="AH303" s="813">
        <v>0.14499999999999999</v>
      </c>
      <c r="AI303" s="771">
        <v>21795.009265566143</v>
      </c>
      <c r="AJ303" s="820">
        <v>140837.08896621366</v>
      </c>
      <c r="AK303" s="813">
        <v>0.14499999999999999</v>
      </c>
      <c r="AL303" s="771">
        <v>20421.377900100979</v>
      </c>
      <c r="AM303" s="820">
        <v>144796.27810775323</v>
      </c>
      <c r="AN303" s="813">
        <v>0.14499999999999999</v>
      </c>
      <c r="AO303" s="771">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93727</v>
      </c>
      <c r="F305" s="820">
        <v>0</v>
      </c>
      <c r="G305" s="813">
        <v>0</v>
      </c>
      <c r="H305" s="771">
        <v>6230.1419357614495</v>
      </c>
      <c r="I305" s="820">
        <v>0</v>
      </c>
      <c r="J305" s="813">
        <v>0</v>
      </c>
      <c r="K305" s="771">
        <v>5481.7778741030306</v>
      </c>
      <c r="L305" s="820">
        <v>0</v>
      </c>
      <c r="M305" s="813">
        <v>0</v>
      </c>
      <c r="N305" s="771">
        <v>7094.9059402213134</v>
      </c>
      <c r="O305" s="820">
        <v>0</v>
      </c>
      <c r="P305" s="813">
        <v>0</v>
      </c>
      <c r="Q305" s="771">
        <v>9161.6554983934057</v>
      </c>
      <c r="R305" s="820">
        <v>0</v>
      </c>
      <c r="S305" s="813">
        <v>0</v>
      </c>
      <c r="T305" s="771">
        <v>9447.0431464423928</v>
      </c>
      <c r="U305" s="820">
        <v>0</v>
      </c>
      <c r="V305" s="813">
        <v>0</v>
      </c>
      <c r="W305" s="771">
        <v>7739.0478702586215</v>
      </c>
      <c r="X305" s="820">
        <v>0</v>
      </c>
      <c r="Y305" s="813">
        <v>0</v>
      </c>
      <c r="Z305" s="771">
        <v>7680.0733000722348</v>
      </c>
      <c r="AA305" s="820">
        <v>0</v>
      </c>
      <c r="AB305" s="813">
        <v>0</v>
      </c>
      <c r="AC305" s="771">
        <v>7003.8192335704462</v>
      </c>
      <c r="AD305" s="820">
        <v>0</v>
      </c>
      <c r="AE305" s="813">
        <v>0</v>
      </c>
      <c r="AF305" s="771">
        <v>6640.1409253700067</v>
      </c>
      <c r="AG305" s="820">
        <v>0</v>
      </c>
      <c r="AH305" s="813">
        <v>0</v>
      </c>
      <c r="AI305" s="771">
        <v>9779.4469125937139</v>
      </c>
      <c r="AJ305" s="820">
        <v>0</v>
      </c>
      <c r="AK305" s="813">
        <v>0</v>
      </c>
      <c r="AL305" s="771">
        <v>10680.709323510635</v>
      </c>
      <c r="AM305" s="820">
        <v>0</v>
      </c>
      <c r="AN305" s="813">
        <v>0</v>
      </c>
      <c r="AO305" s="771">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5122382.3168473458</v>
      </c>
      <c r="D307" s="854">
        <v>0.26926107502447783</v>
      </c>
      <c r="E307" s="855">
        <v>1379258.1693206918</v>
      </c>
      <c r="F307" s="853">
        <v>340490.66846472782</v>
      </c>
      <c r="G307" s="854">
        <v>0.25074428732464032</v>
      </c>
      <c r="H307" s="855">
        <v>85376.090004878555</v>
      </c>
      <c r="I307" s="853">
        <v>299590.96148591547</v>
      </c>
      <c r="J307" s="854">
        <v>0.26178227533343934</v>
      </c>
      <c r="K307" s="855">
        <v>78427.603567115744</v>
      </c>
      <c r="L307" s="853">
        <v>387751.88289270806</v>
      </c>
      <c r="M307" s="854">
        <v>0.26301120913224957</v>
      </c>
      <c r="N307" s="855">
        <v>101983.09156291759</v>
      </c>
      <c r="O307" s="853">
        <v>500704.19535478187</v>
      </c>
      <c r="P307" s="854">
        <v>0.28299148430884091</v>
      </c>
      <c r="Q307" s="855">
        <v>141695.02344311358</v>
      </c>
      <c r="R307" s="853">
        <v>516301.24467688525</v>
      </c>
      <c r="S307" s="854">
        <v>0.28518442491765816</v>
      </c>
      <c r="T307" s="855">
        <v>147241.07354744864</v>
      </c>
      <c r="U307" s="853">
        <v>422955.62601862726</v>
      </c>
      <c r="V307" s="854">
        <v>0.26637491413445707</v>
      </c>
      <c r="W307" s="855">
        <v>112664.76856339737</v>
      </c>
      <c r="X307" s="853">
        <v>419732.53880292183</v>
      </c>
      <c r="Y307" s="854">
        <v>0.26415258143295073</v>
      </c>
      <c r="Z307" s="855">
        <v>110873.43363619797</v>
      </c>
      <c r="AA307" s="853">
        <v>382773.79829117097</v>
      </c>
      <c r="AB307" s="854">
        <v>0.2650135858860701</v>
      </c>
      <c r="AC307" s="855">
        <v>101440.25686837452</v>
      </c>
      <c r="AD307" s="853">
        <v>362897.99585487309</v>
      </c>
      <c r="AE307" s="854">
        <v>0.25433746126885309</v>
      </c>
      <c r="AF307" s="855">
        <v>92298.554965283198</v>
      </c>
      <c r="AG307" s="853">
        <v>534467.82606524706</v>
      </c>
      <c r="AH307" s="854">
        <v>0.27625568275790163</v>
      </c>
      <c r="AI307" s="855">
        <v>147649.77420178623</v>
      </c>
      <c r="AJ307" s="853">
        <v>583723.7569765111</v>
      </c>
      <c r="AK307" s="854">
        <v>0.28174102877115492</v>
      </c>
      <c r="AL307" s="855">
        <v>164458.93180872584</v>
      </c>
      <c r="AM307" s="853">
        <v>370991.82196297671</v>
      </c>
      <c r="AN307" s="854">
        <v>0.25647348949095761</v>
      </c>
      <c r="AO307" s="855">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562303.35499999998</v>
      </c>
      <c r="D310" s="813">
        <v>0.18000000000000005</v>
      </c>
      <c r="E310" s="758">
        <v>101214.60390000002</v>
      </c>
      <c r="F310" s="820">
        <v>28256.45</v>
      </c>
      <c r="G310" s="813">
        <v>0.18</v>
      </c>
      <c r="H310" s="771">
        <v>5086.1610000000001</v>
      </c>
      <c r="I310" s="820">
        <v>28256.45</v>
      </c>
      <c r="J310" s="813">
        <v>0.18</v>
      </c>
      <c r="K310" s="771">
        <v>5086.1610000000001</v>
      </c>
      <c r="L310" s="820">
        <v>39559.030000000006</v>
      </c>
      <c r="M310" s="813">
        <v>0.18</v>
      </c>
      <c r="N310" s="771">
        <v>7120.6254000000008</v>
      </c>
      <c r="O310" s="820">
        <v>56512.9</v>
      </c>
      <c r="P310" s="813">
        <v>0.18</v>
      </c>
      <c r="Q310" s="771">
        <v>10172.322</v>
      </c>
      <c r="R310" s="820">
        <v>64989.835000000006</v>
      </c>
      <c r="S310" s="813">
        <v>0.18</v>
      </c>
      <c r="T310" s="771">
        <v>11698.170300000002</v>
      </c>
      <c r="U310" s="820">
        <v>50861.61</v>
      </c>
      <c r="V310" s="813">
        <v>0.18</v>
      </c>
      <c r="W310" s="771">
        <v>9155.0897999999997</v>
      </c>
      <c r="X310" s="820">
        <v>45210.32</v>
      </c>
      <c r="Y310" s="813">
        <v>0.18</v>
      </c>
      <c r="Z310" s="771">
        <v>8137.8575999999994</v>
      </c>
      <c r="AA310" s="820">
        <v>50861.61</v>
      </c>
      <c r="AB310" s="813">
        <v>0.18</v>
      </c>
      <c r="AC310" s="771">
        <v>9155.0897999999997</v>
      </c>
      <c r="AD310" s="820">
        <v>45210.32</v>
      </c>
      <c r="AE310" s="813">
        <v>0.18</v>
      </c>
      <c r="AF310" s="771">
        <v>8137.8575999999994</v>
      </c>
      <c r="AG310" s="820">
        <v>67815.48</v>
      </c>
      <c r="AH310" s="813">
        <v>0.18</v>
      </c>
      <c r="AI310" s="771">
        <v>12206.786399999999</v>
      </c>
      <c r="AJ310" s="820">
        <v>56512.9</v>
      </c>
      <c r="AK310" s="813">
        <v>0.18</v>
      </c>
      <c r="AL310" s="771">
        <v>10172.322</v>
      </c>
      <c r="AM310" s="820">
        <v>28256.45</v>
      </c>
      <c r="AN310" s="813">
        <v>0.18</v>
      </c>
      <c r="AO310" s="771">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281372.3888921098</v>
      </c>
      <c r="D311" s="813">
        <v>0.26</v>
      </c>
      <c r="E311" s="758">
        <v>73156.82111194855</v>
      </c>
      <c r="F311" s="820">
        <v>13179.916827852619</v>
      </c>
      <c r="G311" s="813">
        <v>0.26</v>
      </c>
      <c r="H311" s="771">
        <v>3426.7783752416813</v>
      </c>
      <c r="I311" s="820">
        <v>13290.794540083845</v>
      </c>
      <c r="J311" s="813">
        <v>0.26</v>
      </c>
      <c r="K311" s="771">
        <v>3455.6065804217997</v>
      </c>
      <c r="L311" s="820">
        <v>18785.639084021841</v>
      </c>
      <c r="M311" s="813">
        <v>0.26</v>
      </c>
      <c r="N311" s="771">
        <v>4884.2661618456787</v>
      </c>
      <c r="O311" s="820">
        <v>34834.224999999999</v>
      </c>
      <c r="P311" s="813">
        <v>0.26</v>
      </c>
      <c r="Q311" s="771">
        <v>9056.8984999999993</v>
      </c>
      <c r="R311" s="820">
        <v>37647.974999999999</v>
      </c>
      <c r="S311" s="813">
        <v>0.26</v>
      </c>
      <c r="T311" s="771">
        <v>9788.4735000000001</v>
      </c>
      <c r="U311" s="820">
        <v>19580.108495676282</v>
      </c>
      <c r="V311" s="813">
        <v>0.26</v>
      </c>
      <c r="W311" s="771">
        <v>5090.8282088758333</v>
      </c>
      <c r="X311" s="820">
        <v>20709.2</v>
      </c>
      <c r="Y311" s="813">
        <v>0.26</v>
      </c>
      <c r="Z311" s="771">
        <v>5384.3920000000007</v>
      </c>
      <c r="AA311" s="820">
        <v>17707.008808983086</v>
      </c>
      <c r="AB311" s="813">
        <v>0.26</v>
      </c>
      <c r="AC311" s="771">
        <v>4603.8222903356027</v>
      </c>
      <c r="AD311" s="820">
        <v>14793.545385817324</v>
      </c>
      <c r="AE311" s="813">
        <v>0.26</v>
      </c>
      <c r="AF311" s="771">
        <v>3846.3218003125044</v>
      </c>
      <c r="AG311" s="820">
        <v>32217.4375</v>
      </c>
      <c r="AH311" s="813">
        <v>0.26</v>
      </c>
      <c r="AI311" s="771">
        <v>8376.5337500000005</v>
      </c>
      <c r="AJ311" s="820">
        <v>40489.862500000003</v>
      </c>
      <c r="AK311" s="813">
        <v>0.26</v>
      </c>
      <c r="AL311" s="771">
        <v>10527.364250000001</v>
      </c>
      <c r="AM311" s="820">
        <v>18136.675749674781</v>
      </c>
      <c r="AN311" s="813">
        <v>0.26</v>
      </c>
      <c r="AO311" s="771">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5966058.0607394548</v>
      </c>
      <c r="D312" s="854">
        <v>0.2604114104347281</v>
      </c>
      <c r="E312" s="855">
        <v>1553629.5943326403</v>
      </c>
      <c r="F312" s="853">
        <v>381927.03529258043</v>
      </c>
      <c r="G312" s="854">
        <v>0.24582975464985155</v>
      </c>
      <c r="H312" s="855">
        <v>93889.029380120235</v>
      </c>
      <c r="I312" s="853">
        <v>341138.20602599933</v>
      </c>
      <c r="J312" s="854">
        <v>0.25493881837705773</v>
      </c>
      <c r="K312" s="855">
        <v>86969.371147537546</v>
      </c>
      <c r="L312" s="853">
        <v>446096.55197672994</v>
      </c>
      <c r="M312" s="854">
        <v>0.25552312076760753</v>
      </c>
      <c r="N312" s="855">
        <v>113987.98312476327</v>
      </c>
      <c r="O312" s="853">
        <v>592051.32035478181</v>
      </c>
      <c r="P312" s="854">
        <v>0.27180793017517652</v>
      </c>
      <c r="Q312" s="855">
        <v>160924.2439431136</v>
      </c>
      <c r="R312" s="853">
        <v>618939.05467688525</v>
      </c>
      <c r="S312" s="854">
        <v>0.272607966927426</v>
      </c>
      <c r="T312" s="855">
        <v>168727.71734744863</v>
      </c>
      <c r="U312" s="853">
        <v>493397.34451430355</v>
      </c>
      <c r="V312" s="854">
        <v>0.2572180170470984</v>
      </c>
      <c r="W312" s="855">
        <v>126910.6865722732</v>
      </c>
      <c r="X312" s="853">
        <v>485652.05880292185</v>
      </c>
      <c r="Y312" s="854">
        <v>0.25614157498440232</v>
      </c>
      <c r="Z312" s="855">
        <v>124395.68323619798</v>
      </c>
      <c r="AA312" s="853">
        <v>451342.41710015404</v>
      </c>
      <c r="AB312" s="854">
        <v>0.25523674397557705</v>
      </c>
      <c r="AC312" s="855">
        <v>115199.16895871013</v>
      </c>
      <c r="AD312" s="853">
        <v>422901.8612406904</v>
      </c>
      <c r="AE312" s="854">
        <v>0.2465884970561627</v>
      </c>
      <c r="AF312" s="855">
        <v>104282.73436559571</v>
      </c>
      <c r="AG312" s="853">
        <v>634500.74356524704</v>
      </c>
      <c r="AH312" s="854">
        <v>0.26514246997803004</v>
      </c>
      <c r="AI312" s="855">
        <v>168233.09435178625</v>
      </c>
      <c r="AJ312" s="853">
        <v>680726.51947651117</v>
      </c>
      <c r="AK312" s="854">
        <v>0.27200147601288638</v>
      </c>
      <c r="AL312" s="855">
        <v>185158.61805872587</v>
      </c>
      <c r="AM312" s="853">
        <v>417384.94771265151</v>
      </c>
      <c r="AN312" s="854">
        <v>0.2514495657342723</v>
      </c>
      <c r="AO312" s="855">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5966058.0607394548</v>
      </c>
      <c r="D317" s="861">
        <v>0.2604114104347281</v>
      </c>
      <c r="E317" s="761">
        <v>1553629.5943326403</v>
      </c>
      <c r="F317" s="759">
        <v>381927.03529258043</v>
      </c>
      <c r="G317" s="861">
        <v>0.24582975464985155</v>
      </c>
      <c r="H317" s="761">
        <v>93889.029380120235</v>
      </c>
      <c r="I317" s="759">
        <v>341138.20602599933</v>
      </c>
      <c r="J317" s="861">
        <v>0.25493881837705773</v>
      </c>
      <c r="K317" s="761">
        <v>86969.371147537546</v>
      </c>
      <c r="L317" s="759">
        <v>446096.55197672994</v>
      </c>
      <c r="M317" s="861">
        <v>0.25552312076760753</v>
      </c>
      <c r="N317" s="761">
        <v>113987.98312476327</v>
      </c>
      <c r="O317" s="759">
        <v>592051.32035478181</v>
      </c>
      <c r="P317" s="861">
        <v>0.27180793017517652</v>
      </c>
      <c r="Q317" s="761">
        <v>160924.2439431136</v>
      </c>
      <c r="R317" s="759">
        <v>618939.05467688525</v>
      </c>
      <c r="S317" s="861">
        <v>0.272607966927426</v>
      </c>
      <c r="T317" s="761">
        <v>168727.71734744863</v>
      </c>
      <c r="U317" s="759">
        <v>493397.34451430355</v>
      </c>
      <c r="V317" s="861">
        <v>0.2572180170470984</v>
      </c>
      <c r="W317" s="761">
        <v>126910.6865722732</v>
      </c>
      <c r="X317" s="759">
        <v>485652.05880292185</v>
      </c>
      <c r="Y317" s="861">
        <v>0.25614157498440232</v>
      </c>
      <c r="Z317" s="761">
        <v>124395.68323619798</v>
      </c>
      <c r="AA317" s="759">
        <v>451342.41710015404</v>
      </c>
      <c r="AB317" s="861">
        <v>0.25523674397557705</v>
      </c>
      <c r="AC317" s="761">
        <v>115199.16895871013</v>
      </c>
      <c r="AD317" s="759">
        <v>422901.8612406904</v>
      </c>
      <c r="AE317" s="861">
        <v>0.2465884970561627</v>
      </c>
      <c r="AF317" s="761">
        <v>104282.73436559571</v>
      </c>
      <c r="AG317" s="759">
        <v>634500.74356524704</v>
      </c>
      <c r="AH317" s="861">
        <v>0.26514246997803004</v>
      </c>
      <c r="AI317" s="761">
        <v>168233.09435178625</v>
      </c>
      <c r="AJ317" s="759">
        <v>680726.51947651117</v>
      </c>
      <c r="AK317" s="861">
        <v>0.27200147601288638</v>
      </c>
      <c r="AL317" s="761">
        <v>185158.61805872587</v>
      </c>
      <c r="AM317" s="759">
        <v>417384.94771265151</v>
      </c>
      <c r="AN317" s="861">
        <v>0.2514495657342723</v>
      </c>
      <c r="AO317" s="761">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83588.600000000006</v>
      </c>
      <c r="F321" s="747"/>
      <c r="G321" s="757"/>
      <c r="H321" s="771">
        <v>6564.9358974358984</v>
      </c>
      <c r="I321" s="747"/>
      <c r="J321" s="757"/>
      <c r="K321" s="771">
        <v>6564.9358974358984</v>
      </c>
      <c r="L321" s="747"/>
      <c r="M321" s="757"/>
      <c r="N321" s="771">
        <v>7767.2782051282065</v>
      </c>
      <c r="O321" s="747"/>
      <c r="P321" s="757"/>
      <c r="Q321" s="771">
        <v>6564.9358974358984</v>
      </c>
      <c r="R321" s="747"/>
      <c r="S321" s="757"/>
      <c r="T321" s="771">
        <v>7767.2782051282065</v>
      </c>
      <c r="U321" s="747"/>
      <c r="V321" s="757"/>
      <c r="W321" s="771">
        <v>6564.9358974358984</v>
      </c>
      <c r="X321" s="747"/>
      <c r="Y321" s="757"/>
      <c r="Z321" s="771">
        <v>6564.9358974358984</v>
      </c>
      <c r="AA321" s="747"/>
      <c r="AB321" s="757"/>
      <c r="AC321" s="771">
        <v>7767.2782051282065</v>
      </c>
      <c r="AD321" s="747"/>
      <c r="AE321" s="757"/>
      <c r="AF321" s="771">
        <v>6564.9358974358984</v>
      </c>
      <c r="AG321" s="747"/>
      <c r="AH321" s="757"/>
      <c r="AI321" s="771">
        <v>6564.9358974358984</v>
      </c>
      <c r="AJ321" s="747"/>
      <c r="AK321" s="757"/>
      <c r="AL321" s="771">
        <v>7767.2782051282065</v>
      </c>
      <c r="AM321" s="747"/>
      <c r="AN321" s="757"/>
      <c r="AO321" s="771">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344059.10399999999</v>
      </c>
      <c r="F322" s="747"/>
      <c r="G322" s="757"/>
      <c r="H322" s="771">
        <v>26566.084923076924</v>
      </c>
      <c r="I322" s="747"/>
      <c r="J322" s="757"/>
      <c r="K322" s="771">
        <v>26566.084923076924</v>
      </c>
      <c r="L322" s="747"/>
      <c r="M322" s="757"/>
      <c r="N322" s="771">
        <v>32882.606153846158</v>
      </c>
      <c r="O322" s="747"/>
      <c r="P322" s="757"/>
      <c r="Q322" s="771">
        <v>26566.084923076924</v>
      </c>
      <c r="R322" s="747"/>
      <c r="S322" s="757"/>
      <c r="T322" s="771">
        <v>32882.606153846158</v>
      </c>
      <c r="U322" s="747"/>
      <c r="V322" s="757"/>
      <c r="W322" s="771">
        <v>26566.084923076924</v>
      </c>
      <c r="X322" s="747"/>
      <c r="Y322" s="757"/>
      <c r="Z322" s="771">
        <v>26566.084923076924</v>
      </c>
      <c r="AA322" s="747"/>
      <c r="AB322" s="757"/>
      <c r="AC322" s="771">
        <v>32882.606153846158</v>
      </c>
      <c r="AD322" s="747"/>
      <c r="AE322" s="757"/>
      <c r="AF322" s="771">
        <v>26566.084923076924</v>
      </c>
      <c r="AG322" s="747"/>
      <c r="AH322" s="757"/>
      <c r="AI322" s="771">
        <v>26566.084923076924</v>
      </c>
      <c r="AJ322" s="747"/>
      <c r="AK322" s="757"/>
      <c r="AL322" s="771">
        <v>32882.606153846158</v>
      </c>
      <c r="AM322" s="747"/>
      <c r="AN322" s="757"/>
      <c r="AO322" s="771">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140.24615384615385</v>
      </c>
      <c r="I323" s="780"/>
      <c r="J323" s="781"/>
      <c r="K323" s="783">
        <v>140.24615384615385</v>
      </c>
      <c r="L323" s="780"/>
      <c r="M323" s="781"/>
      <c r="N323" s="783">
        <v>175.30769230769232</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140.24615384615385</v>
      </c>
      <c r="AJ323" s="780"/>
      <c r="AK323" s="781"/>
      <c r="AL323" s="783">
        <v>175.30769230769232</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52678.040404000007</v>
      </c>
      <c r="F328" s="747"/>
      <c r="G328" s="757"/>
      <c r="H328" s="771">
        <v>4086.0378682564101</v>
      </c>
      <c r="I328" s="747"/>
      <c r="J328" s="757"/>
      <c r="K328" s="771">
        <v>4086.0378682564101</v>
      </c>
      <c r="L328" s="747"/>
      <c r="M328" s="757"/>
      <c r="N328" s="771">
        <v>4997.4343644871806</v>
      </c>
      <c r="O328" s="747"/>
      <c r="P328" s="757"/>
      <c r="Q328" s="771">
        <v>4086.0378682564101</v>
      </c>
      <c r="R328" s="747"/>
      <c r="S328" s="757"/>
      <c r="T328" s="771">
        <v>4997.4343644871806</v>
      </c>
      <c r="U328" s="747"/>
      <c r="V328" s="757"/>
      <c r="W328" s="771">
        <v>4086.0378682564101</v>
      </c>
      <c r="X328" s="747"/>
      <c r="Y328" s="757"/>
      <c r="Z328" s="771">
        <v>4086.0378682564101</v>
      </c>
      <c r="AA328" s="747"/>
      <c r="AB328" s="757"/>
      <c r="AC328" s="771">
        <v>4997.4343644871806</v>
      </c>
      <c r="AD328" s="747"/>
      <c r="AE328" s="757"/>
      <c r="AF328" s="771">
        <v>4086.0378682564101</v>
      </c>
      <c r="AG328" s="747"/>
      <c r="AH328" s="757"/>
      <c r="AI328" s="771">
        <v>4086.0378682564101</v>
      </c>
      <c r="AJ328" s="747"/>
      <c r="AK328" s="757"/>
      <c r="AL328" s="771">
        <v>4997.4343644871806</v>
      </c>
      <c r="AM328" s="747"/>
      <c r="AN328" s="757"/>
      <c r="AO328" s="771">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64049.071151999997</v>
      </c>
      <c r="F329" s="780"/>
      <c r="G329" s="781"/>
      <c r="H329" s="783">
        <v>4968.0460424615385</v>
      </c>
      <c r="I329" s="780"/>
      <c r="J329" s="781"/>
      <c r="K329" s="783">
        <v>4968.0460424615385</v>
      </c>
      <c r="L329" s="780"/>
      <c r="M329" s="781"/>
      <c r="N329" s="783">
        <v>6076.175703076924</v>
      </c>
      <c r="O329" s="780"/>
      <c r="P329" s="781"/>
      <c r="Q329" s="783">
        <v>4968.0460424615385</v>
      </c>
      <c r="R329" s="780"/>
      <c r="S329" s="781"/>
      <c r="T329" s="783">
        <v>6076.175703076924</v>
      </c>
      <c r="U329" s="780"/>
      <c r="V329" s="781"/>
      <c r="W329" s="783">
        <v>4968.0460424615385</v>
      </c>
      <c r="X329" s="780"/>
      <c r="Y329" s="781"/>
      <c r="Z329" s="783">
        <v>4968.0460424615385</v>
      </c>
      <c r="AA329" s="780"/>
      <c r="AB329" s="781"/>
      <c r="AC329" s="783">
        <v>6076.175703076924</v>
      </c>
      <c r="AD329" s="780"/>
      <c r="AE329" s="781"/>
      <c r="AF329" s="783">
        <v>4968.0460424615385</v>
      </c>
      <c r="AG329" s="780"/>
      <c r="AH329" s="781"/>
      <c r="AI329" s="783">
        <v>4968.0460424615385</v>
      </c>
      <c r="AJ329" s="780"/>
      <c r="AK329" s="781"/>
      <c r="AL329" s="783">
        <v>6076.175703076924</v>
      </c>
      <c r="AM329" s="780"/>
      <c r="AN329" s="781"/>
      <c r="AO329" s="783">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32999.195354399999</v>
      </c>
      <c r="F330" s="747"/>
      <c r="G330" s="757"/>
      <c r="H330" s="771">
        <v>2559.6237218769229</v>
      </c>
      <c r="I330" s="747"/>
      <c r="J330" s="757"/>
      <c r="K330" s="771">
        <v>2559.6237218769229</v>
      </c>
      <c r="L330" s="747"/>
      <c r="M330" s="757"/>
      <c r="N330" s="771">
        <v>3130.5513948461539</v>
      </c>
      <c r="O330" s="747"/>
      <c r="P330" s="757"/>
      <c r="Q330" s="771">
        <v>2559.6237218769229</v>
      </c>
      <c r="R330" s="747"/>
      <c r="S330" s="757"/>
      <c r="T330" s="771">
        <v>3130.5513948461539</v>
      </c>
      <c r="U330" s="747"/>
      <c r="V330" s="757"/>
      <c r="W330" s="771">
        <v>2559.6237218769229</v>
      </c>
      <c r="X330" s="747"/>
      <c r="Y330" s="757"/>
      <c r="Z330" s="771">
        <v>2559.6237218769229</v>
      </c>
      <c r="AA330" s="747"/>
      <c r="AB330" s="757"/>
      <c r="AC330" s="771">
        <v>3130.5513948461539</v>
      </c>
      <c r="AD330" s="747"/>
      <c r="AE330" s="757"/>
      <c r="AF330" s="771">
        <v>2559.6237218769229</v>
      </c>
      <c r="AG330" s="747"/>
      <c r="AH330" s="757"/>
      <c r="AI330" s="771">
        <v>2559.6237218769229</v>
      </c>
      <c r="AJ330" s="747"/>
      <c r="AK330" s="757"/>
      <c r="AL330" s="771">
        <v>3130.5513948461539</v>
      </c>
      <c r="AM330" s="747"/>
      <c r="AN330" s="757"/>
      <c r="AO330" s="771">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14387.834824000001</v>
      </c>
      <c r="F331" s="747"/>
      <c r="G331" s="757"/>
      <c r="H331" s="771">
        <v>1116.0103428717948</v>
      </c>
      <c r="I331" s="747"/>
      <c r="J331" s="757"/>
      <c r="K331" s="771">
        <v>1116.0103428717948</v>
      </c>
      <c r="L331" s="747"/>
      <c r="M331" s="757"/>
      <c r="N331" s="771">
        <v>1364.9380202564105</v>
      </c>
      <c r="O331" s="747"/>
      <c r="P331" s="757"/>
      <c r="Q331" s="771">
        <v>1116.0103428717948</v>
      </c>
      <c r="R331" s="747"/>
      <c r="S331" s="757"/>
      <c r="T331" s="771">
        <v>1364.9380202564105</v>
      </c>
      <c r="U331" s="747"/>
      <c r="V331" s="757"/>
      <c r="W331" s="771">
        <v>1116.0103428717948</v>
      </c>
      <c r="X331" s="747"/>
      <c r="Y331" s="757"/>
      <c r="Z331" s="771">
        <v>1116.0103428717948</v>
      </c>
      <c r="AA331" s="747"/>
      <c r="AB331" s="757"/>
      <c r="AC331" s="771">
        <v>1364.9380202564105</v>
      </c>
      <c r="AD331" s="747"/>
      <c r="AE331" s="757"/>
      <c r="AF331" s="771">
        <v>1116.0103428717948</v>
      </c>
      <c r="AG331" s="747"/>
      <c r="AH331" s="757"/>
      <c r="AI331" s="771">
        <v>1116.0103428717948</v>
      </c>
      <c r="AJ331" s="747"/>
      <c r="AK331" s="757"/>
      <c r="AL331" s="771">
        <v>1364.9380202564105</v>
      </c>
      <c r="AM331" s="747"/>
      <c r="AN331" s="757"/>
      <c r="AO331" s="771">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0.3820634261214455</v>
      </c>
      <c r="E333" s="779">
        <v>593585.04573440005</v>
      </c>
      <c r="F333" s="777" t="s">
        <v>119</v>
      </c>
      <c r="G333" s="778">
        <v>0.48995058585157492</v>
      </c>
      <c r="H333" s="779">
        <v>46000.984949825637</v>
      </c>
      <c r="I333" s="777" t="s">
        <v>119</v>
      </c>
      <c r="J333" s="778">
        <v>0.5289331674226796</v>
      </c>
      <c r="K333" s="779">
        <v>46000.984949825637</v>
      </c>
      <c r="L333" s="777" t="s">
        <v>119</v>
      </c>
      <c r="M333" s="778">
        <v>0.4947389188579947</v>
      </c>
      <c r="N333" s="779">
        <v>56394.291533948723</v>
      </c>
      <c r="O333" s="777" t="s">
        <v>119</v>
      </c>
      <c r="P333" s="778">
        <v>0.28585490801551872</v>
      </c>
      <c r="Q333" s="779">
        <v>46000.984949825637</v>
      </c>
      <c r="R333" s="777" t="s">
        <v>119</v>
      </c>
      <c r="S333" s="778">
        <v>0.33423252812589227</v>
      </c>
      <c r="T333" s="779">
        <v>56394.291533948723</v>
      </c>
      <c r="U333" s="777" t="s">
        <v>119</v>
      </c>
      <c r="V333" s="778">
        <v>0.36246738704410802</v>
      </c>
      <c r="W333" s="779">
        <v>46000.984949825637</v>
      </c>
      <c r="X333" s="777" t="s">
        <v>119</v>
      </c>
      <c r="Y333" s="778">
        <v>0.36979566937608799</v>
      </c>
      <c r="Z333" s="779">
        <v>46000.984949825637</v>
      </c>
      <c r="AA333" s="777" t="s">
        <v>119</v>
      </c>
      <c r="AB333" s="778">
        <v>0.48953731214989626</v>
      </c>
      <c r="AC333" s="779">
        <v>56394.291533948723</v>
      </c>
      <c r="AD333" s="777" t="s">
        <v>119</v>
      </c>
      <c r="AE333" s="778">
        <v>0.4411179398936243</v>
      </c>
      <c r="AF333" s="779">
        <v>46000.984949825637</v>
      </c>
      <c r="AG333" s="777" t="s">
        <v>119</v>
      </c>
      <c r="AH333" s="778">
        <v>0.27343600334447044</v>
      </c>
      <c r="AI333" s="779">
        <v>46000.984949825637</v>
      </c>
      <c r="AJ333" s="777" t="s">
        <v>119</v>
      </c>
      <c r="AK333" s="778">
        <v>0.30457286906333692</v>
      </c>
      <c r="AL333" s="779">
        <v>56394.291533948723</v>
      </c>
      <c r="AM333" s="777" t="s">
        <v>119</v>
      </c>
      <c r="AN333" s="778">
        <v>0.43830806094115943</v>
      </c>
      <c r="AO333" s="779">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53418.817641249982</v>
      </c>
      <c r="F334" s="747"/>
      <c r="G334" s="757"/>
      <c r="H334" s="771">
        <v>4451.5681367708321</v>
      </c>
      <c r="I334" s="747"/>
      <c r="J334" s="757"/>
      <c r="K334" s="771">
        <v>4451.5681367708321</v>
      </c>
      <c r="L334" s="747"/>
      <c r="M334" s="757"/>
      <c r="N334" s="771">
        <v>4451.5681367708321</v>
      </c>
      <c r="O334" s="747"/>
      <c r="P334" s="757"/>
      <c r="Q334" s="771">
        <v>4451.5681367708321</v>
      </c>
      <c r="R334" s="747"/>
      <c r="S334" s="757"/>
      <c r="T334" s="771">
        <v>4451.5681367708321</v>
      </c>
      <c r="U334" s="747"/>
      <c r="V334" s="757"/>
      <c r="W334" s="771">
        <v>4451.5681367708321</v>
      </c>
      <c r="X334" s="747"/>
      <c r="Y334" s="757"/>
      <c r="Z334" s="771">
        <v>4451.5681367708321</v>
      </c>
      <c r="AA334" s="747"/>
      <c r="AB334" s="757"/>
      <c r="AC334" s="771">
        <v>4451.5681367708321</v>
      </c>
      <c r="AD334" s="747"/>
      <c r="AE334" s="757"/>
      <c r="AF334" s="771">
        <v>4451.5681367708321</v>
      </c>
      <c r="AG334" s="747"/>
      <c r="AH334" s="757"/>
      <c r="AI334" s="771">
        <v>4451.5681367708321</v>
      </c>
      <c r="AJ334" s="747"/>
      <c r="AK334" s="757"/>
      <c r="AL334" s="771">
        <v>4451.5681367708321</v>
      </c>
      <c r="AM334" s="747"/>
      <c r="AN334" s="757"/>
      <c r="AO334" s="771">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17817.196877697435</v>
      </c>
      <c r="F335" s="747"/>
      <c r="G335" s="757"/>
      <c r="H335" s="771">
        <v>1484.7664064747862</v>
      </c>
      <c r="I335" s="747"/>
      <c r="J335" s="757"/>
      <c r="K335" s="771">
        <v>1484.7664064747862</v>
      </c>
      <c r="L335" s="747"/>
      <c r="M335" s="757"/>
      <c r="N335" s="771">
        <v>1484.7664064747862</v>
      </c>
      <c r="O335" s="747"/>
      <c r="P335" s="757"/>
      <c r="Q335" s="771">
        <v>1484.7664064747862</v>
      </c>
      <c r="R335" s="747"/>
      <c r="S335" s="757"/>
      <c r="T335" s="771">
        <v>1484.7664064747862</v>
      </c>
      <c r="U335" s="747"/>
      <c r="V335" s="757"/>
      <c r="W335" s="771">
        <v>1484.7664064747862</v>
      </c>
      <c r="X335" s="747"/>
      <c r="Y335" s="757"/>
      <c r="Z335" s="771">
        <v>1484.7664064747862</v>
      </c>
      <c r="AA335" s="747"/>
      <c r="AB335" s="757"/>
      <c r="AC335" s="771">
        <v>1484.7664064747862</v>
      </c>
      <c r="AD335" s="747"/>
      <c r="AE335" s="757"/>
      <c r="AF335" s="771">
        <v>1484.7664064747862</v>
      </c>
      <c r="AG335" s="747"/>
      <c r="AH335" s="757"/>
      <c r="AI335" s="771">
        <v>1484.7664064747862</v>
      </c>
      <c r="AJ335" s="747"/>
      <c r="AK335" s="757"/>
      <c r="AL335" s="771">
        <v>1484.7664064747862</v>
      </c>
      <c r="AM335" s="747"/>
      <c r="AN335" s="757"/>
      <c r="AO335" s="771">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13000.000000000002</v>
      </c>
      <c r="F336" s="776"/>
      <c r="G336" s="784"/>
      <c r="H336" s="775">
        <v>1083.3333333333333</v>
      </c>
      <c r="I336" s="776"/>
      <c r="J336" s="784"/>
      <c r="K336" s="775">
        <v>1083.3333333333333</v>
      </c>
      <c r="L336" s="776"/>
      <c r="M336" s="784"/>
      <c r="N336" s="775">
        <v>1083.3333333333333</v>
      </c>
      <c r="O336" s="776"/>
      <c r="P336" s="784"/>
      <c r="Q336" s="775">
        <v>1083.3333333333333</v>
      </c>
      <c r="R336" s="776"/>
      <c r="S336" s="784"/>
      <c r="T336" s="775">
        <v>1083.3333333333333</v>
      </c>
      <c r="U336" s="776"/>
      <c r="V336" s="784"/>
      <c r="W336" s="775">
        <v>1083.3333333333333</v>
      </c>
      <c r="X336" s="776"/>
      <c r="Y336" s="784"/>
      <c r="Z336" s="775">
        <v>1083.3333333333333</v>
      </c>
      <c r="AA336" s="776"/>
      <c r="AB336" s="784"/>
      <c r="AC336" s="775">
        <v>1083.3333333333333</v>
      </c>
      <c r="AD336" s="776"/>
      <c r="AE336" s="784"/>
      <c r="AF336" s="775">
        <v>1083.3333333333333</v>
      </c>
      <c r="AG336" s="776"/>
      <c r="AH336" s="784"/>
      <c r="AI336" s="775">
        <v>1083.3333333333333</v>
      </c>
      <c r="AJ336" s="776"/>
      <c r="AK336" s="784"/>
      <c r="AL336" s="775">
        <v>1083.3333333333333</v>
      </c>
      <c r="AM336" s="776"/>
      <c r="AN336" s="784"/>
      <c r="AO336" s="775">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45707.228433333337</v>
      </c>
      <c r="F337" s="747"/>
      <c r="G337" s="757"/>
      <c r="H337" s="771">
        <v>3808.9357027777774</v>
      </c>
      <c r="I337" s="747"/>
      <c r="J337" s="757"/>
      <c r="K337" s="771">
        <v>3808.9357027777774</v>
      </c>
      <c r="L337" s="747"/>
      <c r="M337" s="757"/>
      <c r="N337" s="771">
        <v>3808.9357027777774</v>
      </c>
      <c r="O337" s="747"/>
      <c r="P337" s="757"/>
      <c r="Q337" s="771">
        <v>3808.9357027777774</v>
      </c>
      <c r="R337" s="747"/>
      <c r="S337" s="757"/>
      <c r="T337" s="771">
        <v>3808.9357027777774</v>
      </c>
      <c r="U337" s="747"/>
      <c r="V337" s="757"/>
      <c r="W337" s="771">
        <v>3808.9357027777774</v>
      </c>
      <c r="X337" s="747"/>
      <c r="Y337" s="757"/>
      <c r="Z337" s="771">
        <v>3808.9357027777774</v>
      </c>
      <c r="AA337" s="747"/>
      <c r="AB337" s="757"/>
      <c r="AC337" s="771">
        <v>3808.9357027777774</v>
      </c>
      <c r="AD337" s="747"/>
      <c r="AE337" s="757"/>
      <c r="AF337" s="771">
        <v>3808.9357027777774</v>
      </c>
      <c r="AG337" s="747"/>
      <c r="AH337" s="757"/>
      <c r="AI337" s="771">
        <v>3808.9357027777774</v>
      </c>
      <c r="AJ337" s="747"/>
      <c r="AK337" s="757"/>
      <c r="AL337" s="771">
        <v>3808.9357027777774</v>
      </c>
      <c r="AM337" s="747"/>
      <c r="AN337" s="757"/>
      <c r="AO337" s="771">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8227.4459603579617</v>
      </c>
      <c r="F338" s="747"/>
      <c r="G338" s="757"/>
      <c r="H338" s="771">
        <v>685.62049669649684</v>
      </c>
      <c r="I338" s="747"/>
      <c r="J338" s="757"/>
      <c r="K338" s="771">
        <v>685.62049669649684</v>
      </c>
      <c r="L338" s="747"/>
      <c r="M338" s="757"/>
      <c r="N338" s="771">
        <v>685.62049669649684</v>
      </c>
      <c r="O338" s="747"/>
      <c r="P338" s="757"/>
      <c r="Q338" s="771">
        <v>685.62049669649684</v>
      </c>
      <c r="R338" s="747"/>
      <c r="S338" s="757"/>
      <c r="T338" s="771">
        <v>685.62049669649684</v>
      </c>
      <c r="U338" s="747"/>
      <c r="V338" s="757"/>
      <c r="W338" s="771">
        <v>685.62049669649684</v>
      </c>
      <c r="X338" s="747"/>
      <c r="Y338" s="757"/>
      <c r="Z338" s="771">
        <v>685.62049669649684</v>
      </c>
      <c r="AA338" s="747"/>
      <c r="AB338" s="757"/>
      <c r="AC338" s="771">
        <v>685.62049669649684</v>
      </c>
      <c r="AD338" s="747"/>
      <c r="AE338" s="757"/>
      <c r="AF338" s="771">
        <v>685.62049669649684</v>
      </c>
      <c r="AG338" s="747"/>
      <c r="AH338" s="757"/>
      <c r="AI338" s="771">
        <v>685.62049669649684</v>
      </c>
      <c r="AJ338" s="747"/>
      <c r="AK338" s="757"/>
      <c r="AL338" s="771">
        <v>685.62049669649684</v>
      </c>
      <c r="AM338" s="747"/>
      <c r="AN338" s="757"/>
      <c r="AO338" s="771">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149001.93300638889</v>
      </c>
      <c r="F339" s="776"/>
      <c r="G339" s="784"/>
      <c r="H339" s="775">
        <v>12416.827750532408</v>
      </c>
      <c r="I339" s="776"/>
      <c r="J339" s="784"/>
      <c r="K339" s="775">
        <v>12416.827750532408</v>
      </c>
      <c r="L339" s="776"/>
      <c r="M339" s="784"/>
      <c r="N339" s="775">
        <v>12416.827750532408</v>
      </c>
      <c r="O339" s="776"/>
      <c r="P339" s="784"/>
      <c r="Q339" s="775">
        <v>12416.827750532408</v>
      </c>
      <c r="R339" s="776"/>
      <c r="S339" s="784"/>
      <c r="T339" s="775">
        <v>12416.827750532408</v>
      </c>
      <c r="U339" s="776"/>
      <c r="V339" s="784"/>
      <c r="W339" s="775">
        <v>12416.827750532408</v>
      </c>
      <c r="X339" s="776"/>
      <c r="Y339" s="784"/>
      <c r="Z339" s="775">
        <v>12416.827750532408</v>
      </c>
      <c r="AA339" s="776"/>
      <c r="AB339" s="784"/>
      <c r="AC339" s="775">
        <v>12416.827750532408</v>
      </c>
      <c r="AD339" s="776"/>
      <c r="AE339" s="784"/>
      <c r="AF339" s="775">
        <v>12416.827750532408</v>
      </c>
      <c r="AG339" s="776"/>
      <c r="AH339" s="784"/>
      <c r="AI339" s="775">
        <v>12416.827750532408</v>
      </c>
      <c r="AJ339" s="776"/>
      <c r="AK339" s="784"/>
      <c r="AL339" s="775">
        <v>12416.827750532408</v>
      </c>
      <c r="AM339" s="776"/>
      <c r="AN339" s="784"/>
      <c r="AO339" s="775">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1500</v>
      </c>
      <c r="F341" s="747"/>
      <c r="G341" s="757"/>
      <c r="H341" s="771">
        <v>125</v>
      </c>
      <c r="I341" s="747"/>
      <c r="J341" s="757"/>
      <c r="K341" s="771">
        <v>125</v>
      </c>
      <c r="L341" s="747"/>
      <c r="M341" s="757"/>
      <c r="N341" s="771">
        <v>125</v>
      </c>
      <c r="O341" s="747"/>
      <c r="P341" s="757"/>
      <c r="Q341" s="771">
        <v>125</v>
      </c>
      <c r="R341" s="747"/>
      <c r="S341" s="757"/>
      <c r="T341" s="771">
        <v>125</v>
      </c>
      <c r="U341" s="747"/>
      <c r="V341" s="757"/>
      <c r="W341" s="771">
        <v>125</v>
      </c>
      <c r="X341" s="747"/>
      <c r="Y341" s="757"/>
      <c r="Z341" s="771">
        <v>125</v>
      </c>
      <c r="AA341" s="747"/>
      <c r="AB341" s="757"/>
      <c r="AC341" s="771">
        <v>125</v>
      </c>
      <c r="AD341" s="747"/>
      <c r="AE341" s="757"/>
      <c r="AF341" s="771">
        <v>125</v>
      </c>
      <c r="AG341" s="747"/>
      <c r="AH341" s="757"/>
      <c r="AI341" s="771">
        <v>125</v>
      </c>
      <c r="AJ341" s="747"/>
      <c r="AK341" s="757"/>
      <c r="AL341" s="771">
        <v>125</v>
      </c>
      <c r="AM341" s="747"/>
      <c r="AN341" s="757"/>
      <c r="AO341" s="771">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1000.0000000000001</v>
      </c>
      <c r="F342" s="747"/>
      <c r="G342" s="757"/>
      <c r="H342" s="771">
        <v>83.333333333333329</v>
      </c>
      <c r="I342" s="747"/>
      <c r="J342" s="757"/>
      <c r="K342" s="771">
        <v>83.333333333333329</v>
      </c>
      <c r="L342" s="747"/>
      <c r="M342" s="757"/>
      <c r="N342" s="771">
        <v>83.333333333333329</v>
      </c>
      <c r="O342" s="747"/>
      <c r="P342" s="757"/>
      <c r="Q342" s="771">
        <v>83.333333333333329</v>
      </c>
      <c r="R342" s="747"/>
      <c r="S342" s="757"/>
      <c r="T342" s="771">
        <v>83.333333333333329</v>
      </c>
      <c r="U342" s="747"/>
      <c r="V342" s="757"/>
      <c r="W342" s="771">
        <v>83.333333333333329</v>
      </c>
      <c r="X342" s="747"/>
      <c r="Y342" s="757"/>
      <c r="Z342" s="771">
        <v>83.333333333333329</v>
      </c>
      <c r="AA342" s="747"/>
      <c r="AB342" s="757"/>
      <c r="AC342" s="771">
        <v>83.333333333333329</v>
      </c>
      <c r="AD342" s="747"/>
      <c r="AE342" s="757"/>
      <c r="AF342" s="771">
        <v>83.333333333333329</v>
      </c>
      <c r="AG342" s="747"/>
      <c r="AH342" s="757"/>
      <c r="AI342" s="771">
        <v>83.333333333333329</v>
      </c>
      <c r="AJ342" s="747"/>
      <c r="AK342" s="757"/>
      <c r="AL342" s="771">
        <v>83.333333333333329</v>
      </c>
      <c r="AM342" s="747"/>
      <c r="AN342" s="757"/>
      <c r="AO342" s="771">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7415.4351746999992</v>
      </c>
      <c r="F343" s="747"/>
      <c r="G343" s="757"/>
      <c r="H343" s="771">
        <v>617.95293122500004</v>
      </c>
      <c r="I343" s="747"/>
      <c r="J343" s="757"/>
      <c r="K343" s="771">
        <v>617.95293122500004</v>
      </c>
      <c r="L343" s="747"/>
      <c r="M343" s="757"/>
      <c r="N343" s="771">
        <v>617.95293122500004</v>
      </c>
      <c r="O343" s="747"/>
      <c r="P343" s="757"/>
      <c r="Q343" s="771">
        <v>617.95293122500004</v>
      </c>
      <c r="R343" s="747"/>
      <c r="S343" s="757"/>
      <c r="T343" s="771">
        <v>617.95293122500004</v>
      </c>
      <c r="U343" s="747"/>
      <c r="V343" s="757"/>
      <c r="W343" s="771">
        <v>617.95293122500004</v>
      </c>
      <c r="X343" s="747"/>
      <c r="Y343" s="757"/>
      <c r="Z343" s="771">
        <v>617.95293122500004</v>
      </c>
      <c r="AA343" s="747"/>
      <c r="AB343" s="757"/>
      <c r="AC343" s="771">
        <v>617.95293122500004</v>
      </c>
      <c r="AD343" s="747"/>
      <c r="AE343" s="757"/>
      <c r="AF343" s="771">
        <v>617.95293122500004</v>
      </c>
      <c r="AG343" s="747"/>
      <c r="AH343" s="757"/>
      <c r="AI343" s="771">
        <v>617.95293122500004</v>
      </c>
      <c r="AJ343" s="747"/>
      <c r="AK343" s="757"/>
      <c r="AL343" s="771">
        <v>617.95293122500004</v>
      </c>
      <c r="AM343" s="747"/>
      <c r="AN343" s="757"/>
      <c r="AO343" s="771">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1576.2985973708335</v>
      </c>
      <c r="F344" s="747"/>
      <c r="G344" s="757"/>
      <c r="H344" s="771">
        <v>131.35821644756945</v>
      </c>
      <c r="I344" s="747"/>
      <c r="J344" s="757"/>
      <c r="K344" s="771">
        <v>131.35821644756945</v>
      </c>
      <c r="L344" s="747"/>
      <c r="M344" s="757"/>
      <c r="N344" s="771">
        <v>131.35821644756945</v>
      </c>
      <c r="O344" s="747"/>
      <c r="P344" s="757"/>
      <c r="Q344" s="771">
        <v>131.35821644756945</v>
      </c>
      <c r="R344" s="747"/>
      <c r="S344" s="757"/>
      <c r="T344" s="771">
        <v>131.35821644756945</v>
      </c>
      <c r="U344" s="747"/>
      <c r="V344" s="757"/>
      <c r="W344" s="771">
        <v>131.35821644756945</v>
      </c>
      <c r="X344" s="747"/>
      <c r="Y344" s="757"/>
      <c r="Z344" s="771">
        <v>131.35821644756945</v>
      </c>
      <c r="AA344" s="747"/>
      <c r="AB344" s="757"/>
      <c r="AC344" s="771">
        <v>131.35821644756945</v>
      </c>
      <c r="AD344" s="747"/>
      <c r="AE344" s="757"/>
      <c r="AF344" s="771">
        <v>131.35821644756945</v>
      </c>
      <c r="AG344" s="747"/>
      <c r="AH344" s="757"/>
      <c r="AI344" s="771">
        <v>131.35821644756945</v>
      </c>
      <c r="AJ344" s="747"/>
      <c r="AK344" s="757"/>
      <c r="AL344" s="771">
        <v>131.35821644756945</v>
      </c>
      <c r="AM344" s="747"/>
      <c r="AN344" s="757"/>
      <c r="AO344" s="771">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1923.5577366291664</v>
      </c>
      <c r="F345" s="747"/>
      <c r="G345" s="757"/>
      <c r="H345" s="771">
        <v>160.29647805243053</v>
      </c>
      <c r="I345" s="747"/>
      <c r="J345" s="757"/>
      <c r="K345" s="771">
        <v>160.29647805243053</v>
      </c>
      <c r="L345" s="747"/>
      <c r="M345" s="757"/>
      <c r="N345" s="771">
        <v>160.29647805243053</v>
      </c>
      <c r="O345" s="747"/>
      <c r="P345" s="757"/>
      <c r="Q345" s="771">
        <v>160.29647805243053</v>
      </c>
      <c r="R345" s="747"/>
      <c r="S345" s="757"/>
      <c r="T345" s="771">
        <v>160.29647805243053</v>
      </c>
      <c r="U345" s="747"/>
      <c r="V345" s="757"/>
      <c r="W345" s="771">
        <v>160.29647805243053</v>
      </c>
      <c r="X345" s="747"/>
      <c r="Y345" s="757"/>
      <c r="Z345" s="771">
        <v>160.29647805243053</v>
      </c>
      <c r="AA345" s="747"/>
      <c r="AB345" s="757"/>
      <c r="AC345" s="771">
        <v>160.29647805243053</v>
      </c>
      <c r="AD345" s="747"/>
      <c r="AE345" s="757"/>
      <c r="AF345" s="771">
        <v>160.29647805243053</v>
      </c>
      <c r="AG345" s="747"/>
      <c r="AH345" s="757"/>
      <c r="AI345" s="771">
        <v>160.29647805243053</v>
      </c>
      <c r="AJ345" s="747"/>
      <c r="AK345" s="757"/>
      <c r="AL345" s="771">
        <v>160.29647805243053</v>
      </c>
      <c r="AM345" s="747"/>
      <c r="AN345" s="757"/>
      <c r="AO345" s="771">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2625.1738822041675</v>
      </c>
      <c r="F346" s="747"/>
      <c r="G346" s="757"/>
      <c r="H346" s="771">
        <v>218.76449018368055</v>
      </c>
      <c r="I346" s="747"/>
      <c r="J346" s="757"/>
      <c r="K346" s="771">
        <v>218.76449018368055</v>
      </c>
      <c r="L346" s="747"/>
      <c r="M346" s="757"/>
      <c r="N346" s="771">
        <v>218.76449018368055</v>
      </c>
      <c r="O346" s="747"/>
      <c r="P346" s="757"/>
      <c r="Q346" s="771">
        <v>218.76449018368055</v>
      </c>
      <c r="R346" s="747"/>
      <c r="S346" s="757"/>
      <c r="T346" s="771">
        <v>218.76449018368055</v>
      </c>
      <c r="U346" s="747"/>
      <c r="V346" s="757"/>
      <c r="W346" s="771">
        <v>218.76449018368055</v>
      </c>
      <c r="X346" s="747"/>
      <c r="Y346" s="757"/>
      <c r="Z346" s="771">
        <v>218.76449018368055</v>
      </c>
      <c r="AA346" s="747"/>
      <c r="AB346" s="757"/>
      <c r="AC346" s="771">
        <v>218.76449018368055</v>
      </c>
      <c r="AD346" s="747"/>
      <c r="AE346" s="757"/>
      <c r="AF346" s="771">
        <v>218.76449018368055</v>
      </c>
      <c r="AG346" s="747"/>
      <c r="AH346" s="757"/>
      <c r="AI346" s="771">
        <v>218.76449018368055</v>
      </c>
      <c r="AJ346" s="747"/>
      <c r="AK346" s="757"/>
      <c r="AL346" s="771">
        <v>218.76449018368055</v>
      </c>
      <c r="AM346" s="747"/>
      <c r="AN346" s="757"/>
      <c r="AO346" s="771">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9867.1083957992942</v>
      </c>
      <c r="F347" s="747"/>
      <c r="G347" s="757"/>
      <c r="H347" s="771">
        <v>822.25903298327421</v>
      </c>
      <c r="I347" s="747"/>
      <c r="J347" s="757"/>
      <c r="K347" s="771">
        <v>822.25903298327421</v>
      </c>
      <c r="L347" s="747"/>
      <c r="M347" s="757"/>
      <c r="N347" s="771">
        <v>822.25903298327421</v>
      </c>
      <c r="O347" s="747"/>
      <c r="P347" s="757"/>
      <c r="Q347" s="771">
        <v>822.25903298327421</v>
      </c>
      <c r="R347" s="747"/>
      <c r="S347" s="757"/>
      <c r="T347" s="771">
        <v>822.25903298327421</v>
      </c>
      <c r="U347" s="747"/>
      <c r="V347" s="757"/>
      <c r="W347" s="771">
        <v>822.25903298327421</v>
      </c>
      <c r="X347" s="747"/>
      <c r="Y347" s="757"/>
      <c r="Z347" s="771">
        <v>822.25903298327421</v>
      </c>
      <c r="AA347" s="747"/>
      <c r="AB347" s="757"/>
      <c r="AC347" s="771">
        <v>822.25903298327421</v>
      </c>
      <c r="AD347" s="747"/>
      <c r="AE347" s="757"/>
      <c r="AF347" s="771">
        <v>822.25903298327421</v>
      </c>
      <c r="AG347" s="747"/>
      <c r="AH347" s="757"/>
      <c r="AI347" s="771">
        <v>822.25903298327421</v>
      </c>
      <c r="AJ347" s="747"/>
      <c r="AK347" s="757"/>
      <c r="AL347" s="771">
        <v>822.25903298327421</v>
      </c>
      <c r="AM347" s="747"/>
      <c r="AN347" s="757"/>
      <c r="AO347" s="771">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17755.930187755745</v>
      </c>
      <c r="F348" s="747"/>
      <c r="G348" s="757"/>
      <c r="H348" s="771">
        <v>1479.6608489796454</v>
      </c>
      <c r="I348" s="747"/>
      <c r="J348" s="757"/>
      <c r="K348" s="771">
        <v>1479.6608489796454</v>
      </c>
      <c r="L348" s="747"/>
      <c r="M348" s="757"/>
      <c r="N348" s="771">
        <v>1479.6608489796454</v>
      </c>
      <c r="O348" s="747"/>
      <c r="P348" s="757"/>
      <c r="Q348" s="771">
        <v>1479.6608489796454</v>
      </c>
      <c r="R348" s="747"/>
      <c r="S348" s="757"/>
      <c r="T348" s="771">
        <v>1479.6608489796454</v>
      </c>
      <c r="U348" s="747"/>
      <c r="V348" s="757"/>
      <c r="W348" s="771">
        <v>1479.6608489796454</v>
      </c>
      <c r="X348" s="747"/>
      <c r="Y348" s="757"/>
      <c r="Z348" s="771">
        <v>1479.6608489796454</v>
      </c>
      <c r="AA348" s="747"/>
      <c r="AB348" s="757"/>
      <c r="AC348" s="771">
        <v>1479.6608489796454</v>
      </c>
      <c r="AD348" s="747"/>
      <c r="AE348" s="757"/>
      <c r="AF348" s="771">
        <v>1479.6608489796454</v>
      </c>
      <c r="AG348" s="747"/>
      <c r="AH348" s="757"/>
      <c r="AI348" s="771">
        <v>1479.6608489796454</v>
      </c>
      <c r="AJ348" s="747"/>
      <c r="AK348" s="757"/>
      <c r="AL348" s="771">
        <v>1479.6608489796454</v>
      </c>
      <c r="AM348" s="747"/>
      <c r="AN348" s="757"/>
      <c r="AO348" s="771">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0.21294401645045716</v>
      </c>
      <c r="E352" s="779">
        <v>330836.12589348684</v>
      </c>
      <c r="F352" s="777" t="s">
        <v>119</v>
      </c>
      <c r="G352" s="778">
        <v>0.29364109246642273</v>
      </c>
      <c r="H352" s="779">
        <v>27569.677157790564</v>
      </c>
      <c r="I352" s="777" t="s">
        <v>119</v>
      </c>
      <c r="J352" s="778">
        <v>0.31700444413954088</v>
      </c>
      <c r="K352" s="779">
        <v>27569.677157790564</v>
      </c>
      <c r="L352" s="777" t="s">
        <v>119</v>
      </c>
      <c r="M352" s="778">
        <v>0.24186476856612793</v>
      </c>
      <c r="N352" s="779">
        <v>27569.677157790564</v>
      </c>
      <c r="O352" s="777" t="s">
        <v>119</v>
      </c>
      <c r="P352" s="778">
        <v>0.17132084316354712</v>
      </c>
      <c r="Q352" s="779">
        <v>27569.677157790564</v>
      </c>
      <c r="R352" s="777" t="s">
        <v>119</v>
      </c>
      <c r="S352" s="778">
        <v>0.16339744051072738</v>
      </c>
      <c r="T352" s="779">
        <v>27569.677157790564</v>
      </c>
      <c r="U352" s="777" t="s">
        <v>119</v>
      </c>
      <c r="V352" s="778">
        <v>0.21723684507915858</v>
      </c>
      <c r="W352" s="779">
        <v>27569.677157790564</v>
      </c>
      <c r="X352" s="777" t="s">
        <v>119</v>
      </c>
      <c r="Y352" s="778">
        <v>0.22162888968938149</v>
      </c>
      <c r="Z352" s="779">
        <v>27569.677157790564</v>
      </c>
      <c r="AA352" s="777" t="s">
        <v>119</v>
      </c>
      <c r="AB352" s="778">
        <v>0.23932184066077883</v>
      </c>
      <c r="AC352" s="779">
        <v>27569.677157790564</v>
      </c>
      <c r="AD352" s="777" t="s">
        <v>119</v>
      </c>
      <c r="AE352" s="778">
        <v>0.26437432165075808</v>
      </c>
      <c r="AF352" s="779">
        <v>27569.677157790564</v>
      </c>
      <c r="AG352" s="777" t="s">
        <v>119</v>
      </c>
      <c r="AH352" s="778">
        <v>0.16387784617538206</v>
      </c>
      <c r="AI352" s="779">
        <v>27569.677157790564</v>
      </c>
      <c r="AJ352" s="777" t="s">
        <v>119</v>
      </c>
      <c r="AK352" s="778">
        <v>0.14889761787402422</v>
      </c>
      <c r="AL352" s="779">
        <v>27569.677157790564</v>
      </c>
      <c r="AM352" s="777" t="s">
        <v>119</v>
      </c>
      <c r="AN352" s="778">
        <v>0.26269028258819405</v>
      </c>
      <c r="AO352" s="779">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0.59500744257190263</v>
      </c>
      <c r="E354" s="789">
        <v>924421.17162788683</v>
      </c>
      <c r="F354" s="777" t="s">
        <v>119</v>
      </c>
      <c r="G354" s="815">
        <v>0.78359167831799759</v>
      </c>
      <c r="H354" s="789">
        <v>73570.662107616197</v>
      </c>
      <c r="I354" s="777" t="s">
        <v>119</v>
      </c>
      <c r="J354" s="815">
        <v>0.84593761156222047</v>
      </c>
      <c r="K354" s="789">
        <v>73570.662107616197</v>
      </c>
      <c r="L354" s="777" t="s">
        <v>119</v>
      </c>
      <c r="M354" s="815">
        <v>0.73660368742412263</v>
      </c>
      <c r="N354" s="789">
        <v>83963.968691739283</v>
      </c>
      <c r="O354" s="777" t="s">
        <v>119</v>
      </c>
      <c r="P354" s="815">
        <v>0.45717575117906584</v>
      </c>
      <c r="Q354" s="789">
        <v>73570.662107616197</v>
      </c>
      <c r="R354" s="777" t="s">
        <v>119</v>
      </c>
      <c r="S354" s="815">
        <v>0.49762996863661962</v>
      </c>
      <c r="T354" s="789">
        <v>83963.968691739283</v>
      </c>
      <c r="U354" s="777" t="s">
        <v>119</v>
      </c>
      <c r="V354" s="815">
        <v>0.57970423212326661</v>
      </c>
      <c r="W354" s="789">
        <v>73570.662107616197</v>
      </c>
      <c r="X354" s="777" t="s">
        <v>119</v>
      </c>
      <c r="Y354" s="815">
        <v>0.59142455906546942</v>
      </c>
      <c r="Z354" s="789">
        <v>73570.662107616197</v>
      </c>
      <c r="AA354" s="777" t="s">
        <v>119</v>
      </c>
      <c r="AB354" s="815">
        <v>0.72885915281067504</v>
      </c>
      <c r="AC354" s="789">
        <v>83963.968691739283</v>
      </c>
      <c r="AD354" s="777" t="s">
        <v>119</v>
      </c>
      <c r="AE354" s="815">
        <v>0.70549226154438238</v>
      </c>
      <c r="AF354" s="789">
        <v>73570.662107616197</v>
      </c>
      <c r="AG354" s="777" t="s">
        <v>119</v>
      </c>
      <c r="AH354" s="815">
        <v>0.43731384951985247</v>
      </c>
      <c r="AI354" s="789">
        <v>73570.662107616197</v>
      </c>
      <c r="AJ354" s="777" t="s">
        <v>119</v>
      </c>
      <c r="AK354" s="815">
        <v>0.45347048693736108</v>
      </c>
      <c r="AL354" s="789">
        <v>83963.968691739283</v>
      </c>
      <c r="AM354" s="777" t="s">
        <v>119</v>
      </c>
      <c r="AN354" s="815">
        <v>0.70099834352935342</v>
      </c>
      <c r="AO354" s="789">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629208.42270475347</v>
      </c>
      <c r="F356" s="816"/>
      <c r="G356" s="817"/>
      <c r="H356" s="798">
        <v>20318.367272504038</v>
      </c>
      <c r="I356" s="816"/>
      <c r="J356" s="817"/>
      <c r="K356" s="798">
        <v>13398.709039921348</v>
      </c>
      <c r="L356" s="816"/>
      <c r="M356" s="817"/>
      <c r="N356" s="798">
        <v>30024.014433023985</v>
      </c>
      <c r="O356" s="816"/>
      <c r="P356" s="817"/>
      <c r="Q356" s="798">
        <v>87353.581835497404</v>
      </c>
      <c r="R356" s="816"/>
      <c r="S356" s="817"/>
      <c r="T356" s="798">
        <v>84763.748655709351</v>
      </c>
      <c r="U356" s="816"/>
      <c r="V356" s="817"/>
      <c r="W356" s="798">
        <v>53340.024464657006</v>
      </c>
      <c r="X356" s="816"/>
      <c r="Y356" s="817"/>
      <c r="Z356" s="798">
        <v>50825.021128581779</v>
      </c>
      <c r="AA356" s="816"/>
      <c r="AB356" s="817"/>
      <c r="AC356" s="798">
        <v>31235.200266970845</v>
      </c>
      <c r="AD356" s="816"/>
      <c r="AE356" s="817"/>
      <c r="AF356" s="798">
        <v>30712.072257979511</v>
      </c>
      <c r="AG356" s="816"/>
      <c r="AH356" s="817"/>
      <c r="AI356" s="798">
        <v>94662.43224417005</v>
      </c>
      <c r="AJ356" s="816"/>
      <c r="AK356" s="817"/>
      <c r="AL356" s="798">
        <v>101194.64936698659</v>
      </c>
      <c r="AM356" s="816"/>
      <c r="AN356" s="817"/>
      <c r="AO356" s="798">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2024</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3512757.1735477895</v>
      </c>
      <c r="I406" s="873"/>
      <c r="J406" s="873"/>
      <c r="K406" s="874">
        <v>3478384.1040415713</v>
      </c>
      <c r="L406" s="873"/>
      <c r="M406" s="873"/>
      <c r="N406" s="874">
        <v>4977253.97332469</v>
      </c>
      <c r="O406" s="873"/>
      <c r="P406" s="873"/>
      <c r="Q406" s="874">
        <v>6476054.4469894199</v>
      </c>
      <c r="R406" s="873"/>
      <c r="S406" s="873"/>
      <c r="T406" s="874">
        <v>7055316.1389505528</v>
      </c>
      <c r="U406" s="873"/>
      <c r="V406" s="873"/>
      <c r="W406" s="874">
        <v>5732896.1504884632</v>
      </c>
      <c r="X406" s="873"/>
      <c r="Y406" s="873"/>
      <c r="Z406" s="874">
        <v>5263274.4628970586</v>
      </c>
      <c r="AA406" s="873"/>
      <c r="AB406" s="873"/>
      <c r="AC406" s="874">
        <v>5650734.5732088359</v>
      </c>
      <c r="AD406" s="873"/>
      <c r="AE406" s="873"/>
      <c r="AF406" s="874">
        <v>5208958.6432293998</v>
      </c>
      <c r="AG406" s="873"/>
      <c r="AH406" s="873"/>
      <c r="AI406" s="874">
        <v>6932516.5700065428</v>
      </c>
      <c r="AJ406" s="873"/>
      <c r="AK406" s="873"/>
      <c r="AL406" s="874">
        <v>6329043.3217466474</v>
      </c>
      <c r="AM406" s="873"/>
      <c r="AN406" s="873"/>
      <c r="AO406" s="874">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64247633.028998926</v>
      </c>
      <c r="F409" s="878"/>
      <c r="G409" s="879"/>
      <c r="H409" s="880">
        <v>3512757.1735477895</v>
      </c>
      <c r="I409" s="878"/>
      <c r="J409" s="879"/>
      <c r="K409" s="880">
        <v>3478384.1040415713</v>
      </c>
      <c r="L409" s="878"/>
      <c r="M409" s="879"/>
      <c r="N409" s="880">
        <v>4977253.97332469</v>
      </c>
      <c r="O409" s="878"/>
      <c r="P409" s="879"/>
      <c r="Q409" s="880">
        <v>6476054.4469894199</v>
      </c>
      <c r="R409" s="878"/>
      <c r="S409" s="879"/>
      <c r="T409" s="880">
        <v>7055316.1389505528</v>
      </c>
      <c r="U409" s="878"/>
      <c r="V409" s="879"/>
      <c r="W409" s="880">
        <v>5732896.1504884632</v>
      </c>
      <c r="X409" s="878"/>
      <c r="Y409" s="879"/>
      <c r="Z409" s="880">
        <v>5263274.4628970586</v>
      </c>
      <c r="AA409" s="878"/>
      <c r="AB409" s="879"/>
      <c r="AC409" s="880">
        <v>5650734.5732088359</v>
      </c>
      <c r="AD409" s="878"/>
      <c r="AE409" s="879"/>
      <c r="AF409" s="880">
        <v>5208958.6432293998</v>
      </c>
      <c r="AG409" s="878"/>
      <c r="AH409" s="879"/>
      <c r="AI409" s="880">
        <v>6932516.5700065428</v>
      </c>
      <c r="AJ409" s="878"/>
      <c r="AK409" s="879"/>
      <c r="AL409" s="880">
        <v>6329043.3217466474</v>
      </c>
      <c r="AM409" s="878"/>
      <c r="AN409" s="879"/>
      <c r="AO409" s="880">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9094384.0683882013</v>
      </c>
      <c r="F410" s="881"/>
      <c r="G410" s="882"/>
      <c r="H410" s="883">
        <v>494635.89750190306</v>
      </c>
      <c r="I410" s="881"/>
      <c r="J410" s="882"/>
      <c r="K410" s="883">
        <v>482090.33269498794</v>
      </c>
      <c r="L410" s="881"/>
      <c r="M410" s="882"/>
      <c r="N410" s="883">
        <v>682170.02586529509</v>
      </c>
      <c r="O410" s="881"/>
      <c r="P410" s="882"/>
      <c r="Q410" s="883">
        <v>955621.60366614698</v>
      </c>
      <c r="R410" s="881"/>
      <c r="S410" s="882"/>
      <c r="T410" s="883">
        <v>1040197.8013297881</v>
      </c>
      <c r="U410" s="881"/>
      <c r="V410" s="882"/>
      <c r="W410" s="883">
        <v>771523.3204545835</v>
      </c>
      <c r="X410" s="881"/>
      <c r="Y410" s="882"/>
      <c r="Z410" s="883">
        <v>729027.70097501553</v>
      </c>
      <c r="AA410" s="881"/>
      <c r="AB410" s="882"/>
      <c r="AC410" s="883">
        <v>746481.51309570845</v>
      </c>
      <c r="AD410" s="881"/>
      <c r="AE410" s="882"/>
      <c r="AF410" s="883">
        <v>677022.55359348422</v>
      </c>
      <c r="AG410" s="881"/>
      <c r="AH410" s="882"/>
      <c r="AI410" s="883">
        <v>1000096.1020510965</v>
      </c>
      <c r="AJ410" s="881"/>
      <c r="AK410" s="882"/>
      <c r="AL410" s="883">
        <v>985811.70672880381</v>
      </c>
      <c r="AM410" s="881"/>
      <c r="AN410" s="882"/>
      <c r="AO410" s="883">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0.32206599440179107</v>
      </c>
      <c r="D412" s="888">
        <v>763.00690810619631</v>
      </c>
      <c r="E412" s="886">
        <v>865804.92131807387</v>
      </c>
      <c r="F412" s="889"/>
      <c r="G412" s="888">
        <v>818.35588384707296</v>
      </c>
      <c r="H412" s="886">
        <v>45263.263935581606</v>
      </c>
      <c r="I412" s="889"/>
      <c r="J412" s="888">
        <v>815.12752591583023</v>
      </c>
      <c r="K412" s="886">
        <v>45742.918935581605</v>
      </c>
      <c r="L412" s="889"/>
      <c r="M412" s="888">
        <v>807.99653262481763</v>
      </c>
      <c r="N412" s="886">
        <v>65595.178509814257</v>
      </c>
      <c r="O412" s="889"/>
      <c r="P412" s="888">
        <v>832.07614630114836</v>
      </c>
      <c r="Q412" s="886">
        <v>86739.777871163213</v>
      </c>
      <c r="R412" s="889"/>
      <c r="S412" s="888">
        <v>845.60390225197466</v>
      </c>
      <c r="T412" s="886">
        <v>96441.125051837691</v>
      </c>
      <c r="U412" s="889"/>
      <c r="V412" s="888">
        <v>831.30092390094819</v>
      </c>
      <c r="W412" s="886">
        <v>78580.798084046881</v>
      </c>
      <c r="X412" s="889"/>
      <c r="Y412" s="888">
        <v>825.37860735264621</v>
      </c>
      <c r="Z412" s="886">
        <v>70825.738296930576</v>
      </c>
      <c r="AA412" s="889"/>
      <c r="AB412" s="888">
        <v>828.88342408337962</v>
      </c>
      <c r="AC412" s="886">
        <v>78404.083084046884</v>
      </c>
      <c r="AD412" s="889"/>
      <c r="AE412" s="888">
        <v>820.33415938819087</v>
      </c>
      <c r="AF412" s="886">
        <v>71961.763296930571</v>
      </c>
      <c r="AG412" s="889"/>
      <c r="AH412" s="888">
        <v>863.47808599951463</v>
      </c>
      <c r="AI412" s="886">
        <v>96342.567445395835</v>
      </c>
      <c r="AJ412" s="889"/>
      <c r="AK412" s="888">
        <v>847.22584215849508</v>
      </c>
      <c r="AL412" s="886">
        <v>83432.682871163212</v>
      </c>
      <c r="AM412" s="889"/>
      <c r="AN412" s="888">
        <v>810.37530837980125</v>
      </c>
      <c r="AO412" s="886">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0.3</v>
      </c>
      <c r="D413" s="891">
        <v>518.58024943381452</v>
      </c>
      <c r="E413" s="880">
        <v>539820</v>
      </c>
      <c r="F413" s="892"/>
      <c r="G413" s="891">
        <v>525.94648345687938</v>
      </c>
      <c r="H413" s="880">
        <v>29090.1</v>
      </c>
      <c r="I413" s="892"/>
      <c r="J413" s="891">
        <v>527.87543992515702</v>
      </c>
      <c r="K413" s="880">
        <v>29623.05</v>
      </c>
      <c r="L413" s="892"/>
      <c r="M413" s="891">
        <v>532.13623625781429</v>
      </c>
      <c r="N413" s="880">
        <v>43200.150000000009</v>
      </c>
      <c r="O413" s="892"/>
      <c r="P413" s="891">
        <v>518.12269173581467</v>
      </c>
      <c r="Q413" s="880">
        <v>54011.7</v>
      </c>
      <c r="R413" s="892"/>
      <c r="S413" s="891">
        <v>511.09031126698818</v>
      </c>
      <c r="T413" s="880">
        <v>58289.849999999991</v>
      </c>
      <c r="U413" s="892"/>
      <c r="V413" s="891">
        <v>519.26952474147731</v>
      </c>
      <c r="W413" s="880">
        <v>49085.25</v>
      </c>
      <c r="X413" s="892"/>
      <c r="Y413" s="891">
        <v>521.75037874373606</v>
      </c>
      <c r="Z413" s="880">
        <v>44771.399999999994</v>
      </c>
      <c r="AA413" s="892"/>
      <c r="AB413" s="891">
        <v>518.33491912464308</v>
      </c>
      <c r="AC413" s="880">
        <v>49029.299999999988</v>
      </c>
      <c r="AD413" s="892"/>
      <c r="AE413" s="891">
        <v>525.12012311550632</v>
      </c>
      <c r="AF413" s="880">
        <v>46064.85</v>
      </c>
      <c r="AG413" s="892"/>
      <c r="AH413" s="891">
        <v>501.67421017252963</v>
      </c>
      <c r="AI413" s="880">
        <v>55974.299999999988</v>
      </c>
      <c r="AJ413" s="892"/>
      <c r="AK413" s="891">
        <v>510.20334594196635</v>
      </c>
      <c r="AL413" s="880">
        <v>50243.55</v>
      </c>
      <c r="AM413" s="892"/>
      <c r="AN413" s="891">
        <v>530.71490845684389</v>
      </c>
      <c r="AO413" s="880">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77.547834565772376</v>
      </c>
      <c r="E414" s="886">
        <v>80724</v>
      </c>
      <c r="F414" s="889"/>
      <c r="G414" s="888">
        <v>73.944133068161278</v>
      </c>
      <c r="H414" s="886">
        <v>4089.8500000000004</v>
      </c>
      <c r="I414" s="889"/>
      <c r="J414" s="888">
        <v>73.024012117432179</v>
      </c>
      <c r="K414" s="886">
        <v>4097.9250000000002</v>
      </c>
      <c r="L414" s="889"/>
      <c r="M414" s="888">
        <v>70.991593015736157</v>
      </c>
      <c r="N414" s="886">
        <v>5763.2750000000005</v>
      </c>
      <c r="O414" s="889"/>
      <c r="P414" s="888">
        <v>77.964890402417382</v>
      </c>
      <c r="Q414" s="886">
        <v>8127.45</v>
      </c>
      <c r="R414" s="889"/>
      <c r="S414" s="888">
        <v>81.084831214379676</v>
      </c>
      <c r="T414" s="886">
        <v>9247.7250000000004</v>
      </c>
      <c r="U414" s="889"/>
      <c r="V414" s="888">
        <v>77.169342254899362</v>
      </c>
      <c r="W414" s="886">
        <v>7294.625</v>
      </c>
      <c r="X414" s="889"/>
      <c r="Y414" s="888">
        <v>75.945693975061189</v>
      </c>
      <c r="Z414" s="886">
        <v>6516.9000000000005</v>
      </c>
      <c r="AA414" s="889"/>
      <c r="AB414" s="888">
        <v>77.524579765302875</v>
      </c>
      <c r="AC414" s="886">
        <v>7333.0499999999993</v>
      </c>
      <c r="AD414" s="889"/>
      <c r="AE414" s="888">
        <v>74.61284163128046</v>
      </c>
      <c r="AF414" s="886">
        <v>6545.2250000000004</v>
      </c>
      <c r="AG414" s="889"/>
      <c r="AH414" s="888">
        <v>85.624467846739847</v>
      </c>
      <c r="AI414" s="886">
        <v>9553.5499999999975</v>
      </c>
      <c r="AJ414" s="889"/>
      <c r="AK414" s="888">
        <v>81.685410372927819</v>
      </c>
      <c r="AL414" s="886">
        <v>8044.1750000000011</v>
      </c>
      <c r="AM414" s="889"/>
      <c r="AN414" s="888">
        <v>71.66957279860506</v>
      </c>
      <c r="AO414" s="886">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4.7741502414844028</v>
      </c>
      <c r="E415" s="886">
        <v>4969.6875</v>
      </c>
      <c r="F415" s="889"/>
      <c r="G415" s="888">
        <v>4.8909781233050085</v>
      </c>
      <c r="H415" s="886">
        <v>270.52000000000004</v>
      </c>
      <c r="I415" s="889"/>
      <c r="J415" s="888">
        <v>4.9213257896378142</v>
      </c>
      <c r="K415" s="886">
        <v>276.17250000000001</v>
      </c>
      <c r="L415" s="889"/>
      <c r="M415" s="888">
        <v>4.9883595602500543</v>
      </c>
      <c r="N415" s="886">
        <v>404.96750000000003</v>
      </c>
      <c r="O415" s="889"/>
      <c r="P415" s="888">
        <v>4.7648808096311566</v>
      </c>
      <c r="Q415" s="886">
        <v>496.71499999999997</v>
      </c>
      <c r="R415" s="889"/>
      <c r="S415" s="888">
        <v>4.6566856641823762</v>
      </c>
      <c r="T415" s="886">
        <v>531.09499999999991</v>
      </c>
      <c r="U415" s="889"/>
      <c r="V415" s="888">
        <v>4.7855121525482005</v>
      </c>
      <c r="W415" s="886">
        <v>452.36250000000001</v>
      </c>
      <c r="X415" s="889"/>
      <c r="Y415" s="888">
        <v>4.8249621256263833</v>
      </c>
      <c r="Z415" s="886">
        <v>414.03</v>
      </c>
      <c r="AA415" s="889"/>
      <c r="AB415" s="888">
        <v>4.7717517708002957</v>
      </c>
      <c r="AC415" s="886">
        <v>451.36</v>
      </c>
      <c r="AD415" s="889"/>
      <c r="AE415" s="888">
        <v>4.8751175582091255</v>
      </c>
      <c r="AF415" s="886">
        <v>427.65750000000003</v>
      </c>
      <c r="AG415" s="889"/>
      <c r="AH415" s="888">
        <v>4.5080439166479955</v>
      </c>
      <c r="AI415" s="886">
        <v>502.98500000000001</v>
      </c>
      <c r="AJ415" s="889"/>
      <c r="AK415" s="888">
        <v>4.6408824350740012</v>
      </c>
      <c r="AL415" s="886">
        <v>457.02250000000009</v>
      </c>
      <c r="AM415" s="889"/>
      <c r="AN415" s="888">
        <v>4.9659982563208374</v>
      </c>
      <c r="AO415" s="886">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120.46691603643762</v>
      </c>
      <c r="E416" s="880">
        <v>125400.93975000002</v>
      </c>
      <c r="F416" s="892"/>
      <c r="G416" s="891">
        <v>122.63862773458686</v>
      </c>
      <c r="H416" s="880">
        <v>6783.1424999999999</v>
      </c>
      <c r="I416" s="892"/>
      <c r="J416" s="891">
        <v>123.2050162605248</v>
      </c>
      <c r="K416" s="880">
        <v>6913.9575000000004</v>
      </c>
      <c r="L416" s="892"/>
      <c r="M416" s="891">
        <v>124.45608967449881</v>
      </c>
      <c r="N416" s="880">
        <v>10103.656500000001</v>
      </c>
      <c r="O416" s="892"/>
      <c r="P416" s="891">
        <v>120.31310854237611</v>
      </c>
      <c r="Q416" s="880">
        <v>12542.039999999999</v>
      </c>
      <c r="R416" s="892"/>
      <c r="S416" s="891">
        <v>118.27118588338449</v>
      </c>
      <c r="T416" s="880">
        <v>13488.828749999999</v>
      </c>
      <c r="U416" s="892"/>
      <c r="V416" s="891">
        <v>120.67416889265029</v>
      </c>
      <c r="W416" s="880">
        <v>11407.0275</v>
      </c>
      <c r="X416" s="892"/>
      <c r="Y416" s="891">
        <v>121.40654935322225</v>
      </c>
      <c r="Z416" s="880">
        <v>10417.896000000001</v>
      </c>
      <c r="AA416" s="892"/>
      <c r="AB416" s="891">
        <v>120.40861084681255</v>
      </c>
      <c r="AC416" s="880">
        <v>11389.450499999999</v>
      </c>
      <c r="AD416" s="892"/>
      <c r="AE416" s="891">
        <v>122.36911852717378</v>
      </c>
      <c r="AF416" s="880">
        <v>10734.525000000001</v>
      </c>
      <c r="AG416" s="892"/>
      <c r="AH416" s="891">
        <v>115.50168048397938</v>
      </c>
      <c r="AI416" s="880">
        <v>12887.099999999999</v>
      </c>
      <c r="AJ416" s="892"/>
      <c r="AK416" s="891">
        <v>117.99337919829401</v>
      </c>
      <c r="AL416" s="880">
        <v>11619.693000000001</v>
      </c>
      <c r="AM416" s="892"/>
      <c r="AN416" s="891">
        <v>124.03875326939841</v>
      </c>
      <c r="AO416" s="880">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208.13601900173637</v>
      </c>
      <c r="E417" s="886">
        <v>216660.75</v>
      </c>
      <c r="F417" s="889"/>
      <c r="G417" s="888">
        <v>345.5433013921533</v>
      </c>
      <c r="H417" s="886">
        <v>19112</v>
      </c>
      <c r="I417" s="889"/>
      <c r="J417" s="888">
        <v>339.13217801933445</v>
      </c>
      <c r="K417" s="886">
        <v>19031.25</v>
      </c>
      <c r="L417" s="889"/>
      <c r="M417" s="888">
        <v>257.77415083299968</v>
      </c>
      <c r="N417" s="886">
        <v>20926.75</v>
      </c>
      <c r="O417" s="889"/>
      <c r="P417" s="888">
        <v>177.11640846083745</v>
      </c>
      <c r="Q417" s="886">
        <v>18463.5</v>
      </c>
      <c r="R417" s="889"/>
      <c r="S417" s="888">
        <v>113.27926348092943</v>
      </c>
      <c r="T417" s="886">
        <v>12919.5</v>
      </c>
      <c r="U417" s="889"/>
      <c r="V417" s="888">
        <v>206.2283462484462</v>
      </c>
      <c r="W417" s="886">
        <v>19494.25</v>
      </c>
      <c r="X417" s="889"/>
      <c r="Y417" s="888">
        <v>237.90933457638968</v>
      </c>
      <c r="Z417" s="886">
        <v>20415</v>
      </c>
      <c r="AA417" s="889"/>
      <c r="AB417" s="888">
        <v>158.45226768157309</v>
      </c>
      <c r="AC417" s="886">
        <v>14988</v>
      </c>
      <c r="AD417" s="889"/>
      <c r="AE417" s="888">
        <v>179.15301091510162</v>
      </c>
      <c r="AF417" s="886">
        <v>15715.75</v>
      </c>
      <c r="AG417" s="889"/>
      <c r="AH417" s="888">
        <v>158.12233923369934</v>
      </c>
      <c r="AI417" s="886">
        <v>17642.5</v>
      </c>
      <c r="AJ417" s="889"/>
      <c r="AK417" s="888">
        <v>193.38681424690915</v>
      </c>
      <c r="AL417" s="886">
        <v>19044.25</v>
      </c>
      <c r="AM417" s="889"/>
      <c r="AN417" s="888">
        <v>329.69485614646902</v>
      </c>
      <c r="AO417" s="886">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284.13795776004224</v>
      </c>
      <c r="E418" s="886">
        <v>295775.53816499916</v>
      </c>
      <c r="F418" s="889"/>
      <c r="G418" s="888">
        <v>341.28766690924488</v>
      </c>
      <c r="H418" s="886">
        <v>18876.620856750334</v>
      </c>
      <c r="I418" s="889"/>
      <c r="J418" s="888">
        <v>414.65181557209047</v>
      </c>
      <c r="K418" s="886">
        <v>23269.223260366787</v>
      </c>
      <c r="L418" s="889"/>
      <c r="M418" s="888">
        <v>344.08729154802961</v>
      </c>
      <c r="N418" s="886">
        <v>27933.866546097917</v>
      </c>
      <c r="O418" s="889"/>
      <c r="P418" s="888">
        <v>287.71319915393713</v>
      </c>
      <c r="Q418" s="886">
        <v>29992.662445802176</v>
      </c>
      <c r="R418" s="889"/>
      <c r="S418" s="888">
        <v>228.72546741387214</v>
      </c>
      <c r="T418" s="886">
        <v>26086.139558552113</v>
      </c>
      <c r="U418" s="889"/>
      <c r="V418" s="888">
        <v>258.21814822848836</v>
      </c>
      <c r="W418" s="886">
        <v>24408.716006668434</v>
      </c>
      <c r="X418" s="889"/>
      <c r="Y418" s="888">
        <v>304.32840240034227</v>
      </c>
      <c r="Z418" s="886">
        <v>26114.42020997337</v>
      </c>
      <c r="AA418" s="889"/>
      <c r="AB418" s="888">
        <v>260.910438348772</v>
      </c>
      <c r="AC418" s="886">
        <v>24679.518363410345</v>
      </c>
      <c r="AD418" s="889"/>
      <c r="AE418" s="888">
        <v>340.96190867362793</v>
      </c>
      <c r="AF418" s="886">
        <v>29910.031033622323</v>
      </c>
      <c r="AG418" s="889"/>
      <c r="AH418" s="888">
        <v>243.28197660256748</v>
      </c>
      <c r="AI418" s="886">
        <v>27144.186539431463</v>
      </c>
      <c r="AJ418" s="889"/>
      <c r="AK418" s="888">
        <v>193.35779307511993</v>
      </c>
      <c r="AL418" s="886">
        <v>19041.392067555127</v>
      </c>
      <c r="AM418" s="889"/>
      <c r="AN418" s="888">
        <v>319.42042330895822</v>
      </c>
      <c r="AO418" s="886">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0.23411765114846569</v>
      </c>
      <c r="D422" s="894">
        <v>1976.6500351454838</v>
      </c>
      <c r="E422" s="895">
        <v>2129155.836733073</v>
      </c>
      <c r="F422" s="893">
        <v>0.24964928327276703</v>
      </c>
      <c r="G422" s="896"/>
      <c r="H422" s="895">
        <v>123485.49729233196</v>
      </c>
      <c r="I422" s="893">
        <v>0.26749031965661957</v>
      </c>
      <c r="J422" s="896"/>
      <c r="K422" s="895">
        <v>128954.49719594841</v>
      </c>
      <c r="L422" s="893">
        <v>0.25496260090773454</v>
      </c>
      <c r="M422" s="896"/>
      <c r="N422" s="895">
        <v>173927.84405591217</v>
      </c>
      <c r="O422" s="893">
        <v>0.22014345899034424</v>
      </c>
      <c r="P422" s="896"/>
      <c r="Q422" s="895">
        <v>210373.84531696542</v>
      </c>
      <c r="R422" s="893">
        <v>0.20861826768233091</v>
      </c>
      <c r="S422" s="896"/>
      <c r="T422" s="895">
        <v>217004.2633603898</v>
      </c>
      <c r="U422" s="893">
        <v>0.24720319403740224</v>
      </c>
      <c r="V422" s="896"/>
      <c r="W422" s="895">
        <v>190723.02909071528</v>
      </c>
      <c r="X422" s="893">
        <v>0.2461845884139521</v>
      </c>
      <c r="Y422" s="896"/>
      <c r="Z422" s="895">
        <v>179475.38450690394</v>
      </c>
      <c r="AA422" s="893">
        <v>0.24953700618112215</v>
      </c>
      <c r="AB422" s="896"/>
      <c r="AC422" s="895">
        <v>186274.76194745721</v>
      </c>
      <c r="AD422" s="893">
        <v>0.26787852320123701</v>
      </c>
      <c r="AE422" s="896"/>
      <c r="AF422" s="895">
        <v>181359.8018305529</v>
      </c>
      <c r="AG422" s="893">
        <v>0.22002604403070125</v>
      </c>
      <c r="AH422" s="896"/>
      <c r="AI422" s="895">
        <v>220047.18898482725</v>
      </c>
      <c r="AJ422" s="893">
        <v>0.19464443780591578</v>
      </c>
      <c r="AK422" s="896"/>
      <c r="AL422" s="895">
        <v>191882.76543871834</v>
      </c>
      <c r="AM422" s="893">
        <v>0.23720153035603589</v>
      </c>
      <c r="AN422" s="896"/>
      <c r="AO422" s="895">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172026.39999999997</v>
      </c>
      <c r="F423" s="889"/>
      <c r="G423" s="888"/>
      <c r="H423" s="897">
        <v>13542.199999999997</v>
      </c>
      <c r="I423" s="889"/>
      <c r="J423" s="888"/>
      <c r="K423" s="897">
        <v>13542.199999999997</v>
      </c>
      <c r="L423" s="889"/>
      <c r="M423" s="888"/>
      <c r="N423" s="897">
        <v>15922.199999999997</v>
      </c>
      <c r="O423" s="889"/>
      <c r="P423" s="888"/>
      <c r="Q423" s="897">
        <v>13542.199999999997</v>
      </c>
      <c r="R423" s="889"/>
      <c r="S423" s="888"/>
      <c r="T423" s="897">
        <v>15922.199999999997</v>
      </c>
      <c r="U423" s="889"/>
      <c r="V423" s="888"/>
      <c r="W423" s="897">
        <v>13542.199999999997</v>
      </c>
      <c r="X423" s="889"/>
      <c r="Y423" s="888"/>
      <c r="Z423" s="897">
        <v>13542.199999999997</v>
      </c>
      <c r="AA423" s="889"/>
      <c r="AB423" s="888"/>
      <c r="AC423" s="897">
        <v>15922.199999999997</v>
      </c>
      <c r="AD423" s="889"/>
      <c r="AE423" s="888"/>
      <c r="AF423" s="897">
        <v>13542.199999999997</v>
      </c>
      <c r="AG423" s="889"/>
      <c r="AH423" s="888"/>
      <c r="AI423" s="897">
        <v>13542.199999999997</v>
      </c>
      <c r="AJ423" s="889"/>
      <c r="AK423" s="888"/>
      <c r="AL423" s="897">
        <v>15922.199999999997</v>
      </c>
      <c r="AM423" s="889"/>
      <c r="AN423" s="888"/>
      <c r="AO423" s="897">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675636</v>
      </c>
      <c r="F424" s="889"/>
      <c r="G424" s="888"/>
      <c r="H424" s="886">
        <v>53378.839743589742</v>
      </c>
      <c r="I424" s="889"/>
      <c r="J424" s="888"/>
      <c r="K424" s="886">
        <v>53378.839743589742</v>
      </c>
      <c r="L424" s="889"/>
      <c r="M424" s="888"/>
      <c r="N424" s="886">
        <v>62151.320512820515</v>
      </c>
      <c r="O424" s="889"/>
      <c r="P424" s="888"/>
      <c r="Q424" s="886">
        <v>53378.839743589742</v>
      </c>
      <c r="R424" s="889"/>
      <c r="S424" s="888"/>
      <c r="T424" s="886">
        <v>62151.320512820515</v>
      </c>
      <c r="U424" s="889"/>
      <c r="V424" s="888"/>
      <c r="W424" s="886">
        <v>53378.839743589742</v>
      </c>
      <c r="X424" s="889"/>
      <c r="Y424" s="888"/>
      <c r="Z424" s="886">
        <v>53378.839743589742</v>
      </c>
      <c r="AA424" s="889"/>
      <c r="AB424" s="888"/>
      <c r="AC424" s="886">
        <v>62151.320512820515</v>
      </c>
      <c r="AD424" s="889"/>
      <c r="AE424" s="888"/>
      <c r="AF424" s="886">
        <v>53378.839743589742</v>
      </c>
      <c r="AG424" s="889"/>
      <c r="AH424" s="888"/>
      <c r="AI424" s="886">
        <v>53378.839743589742</v>
      </c>
      <c r="AJ424" s="889"/>
      <c r="AK424" s="888"/>
      <c r="AL424" s="886">
        <v>62151.320512820515</v>
      </c>
      <c r="AM424" s="889"/>
      <c r="AN424" s="888"/>
      <c r="AO424" s="886">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715492.96000000008</v>
      </c>
      <c r="F425" s="892"/>
      <c r="G425" s="891"/>
      <c r="H425" s="880">
        <v>55333.304615384615</v>
      </c>
      <c r="I425" s="892"/>
      <c r="J425" s="891"/>
      <c r="K425" s="880">
        <v>55333.304615384615</v>
      </c>
      <c r="L425" s="892"/>
      <c r="M425" s="891"/>
      <c r="N425" s="880">
        <v>68206.630769230775</v>
      </c>
      <c r="O425" s="892"/>
      <c r="P425" s="891"/>
      <c r="Q425" s="880">
        <v>55333.304615384615</v>
      </c>
      <c r="R425" s="892"/>
      <c r="S425" s="891"/>
      <c r="T425" s="880">
        <v>68206.630769230775</v>
      </c>
      <c r="U425" s="892"/>
      <c r="V425" s="891"/>
      <c r="W425" s="880">
        <v>55333.304615384615</v>
      </c>
      <c r="X425" s="892"/>
      <c r="Y425" s="891"/>
      <c r="Z425" s="880">
        <v>55333.304615384615</v>
      </c>
      <c r="AA425" s="892"/>
      <c r="AB425" s="891"/>
      <c r="AC425" s="880">
        <v>68206.630769230775</v>
      </c>
      <c r="AD425" s="892"/>
      <c r="AE425" s="891"/>
      <c r="AF425" s="880">
        <v>55333.304615384615</v>
      </c>
      <c r="AG425" s="892"/>
      <c r="AH425" s="891"/>
      <c r="AI425" s="880">
        <v>55333.304615384615</v>
      </c>
      <c r="AJ425" s="892"/>
      <c r="AK425" s="891"/>
      <c r="AL425" s="880">
        <v>68206.630769230775</v>
      </c>
      <c r="AM425" s="892"/>
      <c r="AN425" s="891"/>
      <c r="AO425" s="880">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336231.2</v>
      </c>
      <c r="F426" s="889"/>
      <c r="G426" s="888"/>
      <c r="H426" s="886">
        <v>25902.400000000001</v>
      </c>
      <c r="I426" s="889"/>
      <c r="J426" s="888"/>
      <c r="K426" s="886">
        <v>25902.400000000001</v>
      </c>
      <c r="L426" s="889"/>
      <c r="M426" s="888"/>
      <c r="N426" s="886">
        <v>32252.999999999996</v>
      </c>
      <c r="O426" s="889"/>
      <c r="P426" s="888"/>
      <c r="Q426" s="886">
        <v>25902.400000000001</v>
      </c>
      <c r="R426" s="889"/>
      <c r="S426" s="888"/>
      <c r="T426" s="886">
        <v>32252.999999999996</v>
      </c>
      <c r="U426" s="889"/>
      <c r="V426" s="888"/>
      <c r="W426" s="886">
        <v>25902.400000000001</v>
      </c>
      <c r="X426" s="889"/>
      <c r="Y426" s="888"/>
      <c r="Z426" s="886">
        <v>25902.400000000001</v>
      </c>
      <c r="AA426" s="889"/>
      <c r="AB426" s="888"/>
      <c r="AC426" s="886">
        <v>32252.999999999996</v>
      </c>
      <c r="AD426" s="889"/>
      <c r="AE426" s="888"/>
      <c r="AF426" s="886">
        <v>25902.400000000001</v>
      </c>
      <c r="AG426" s="889"/>
      <c r="AH426" s="888"/>
      <c r="AI426" s="886">
        <v>25902.400000000001</v>
      </c>
      <c r="AJ426" s="889"/>
      <c r="AK426" s="888"/>
      <c r="AL426" s="886">
        <v>32252.999999999996</v>
      </c>
      <c r="AM426" s="889"/>
      <c r="AN426" s="888"/>
      <c r="AO426" s="886">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365799.26791981579</v>
      </c>
      <c r="F427" s="889"/>
      <c r="G427" s="888"/>
      <c r="H427" s="886">
        <v>22290.336382194619</v>
      </c>
      <c r="I427" s="889"/>
      <c r="J427" s="888"/>
      <c r="K427" s="886">
        <v>22366.944585270074</v>
      </c>
      <c r="L427" s="889"/>
      <c r="M427" s="888"/>
      <c r="N427" s="886">
        <v>29459.471030658788</v>
      </c>
      <c r="O427" s="889"/>
      <c r="P427" s="888"/>
      <c r="Q427" s="886">
        <v>37251.8431136</v>
      </c>
      <c r="R427" s="889"/>
      <c r="S427" s="888"/>
      <c r="T427" s="886">
        <v>42491.9338336</v>
      </c>
      <c r="U427" s="889"/>
      <c r="V427" s="888"/>
      <c r="W427" s="886">
        <v>26712.389950435332</v>
      </c>
      <c r="X427" s="889"/>
      <c r="Y427" s="888"/>
      <c r="Z427" s="886">
        <v>27492.507699199999</v>
      </c>
      <c r="AA427" s="889"/>
      <c r="AB427" s="888"/>
      <c r="AC427" s="886">
        <v>28714.218215727149</v>
      </c>
      <c r="AD427" s="889"/>
      <c r="AE427" s="888"/>
      <c r="AF427" s="886">
        <v>23405.232981063091</v>
      </c>
      <c r="AG427" s="889"/>
      <c r="AH427" s="888"/>
      <c r="AI427" s="886">
        <v>35443.838744000001</v>
      </c>
      <c r="AJ427" s="889"/>
      <c r="AK427" s="888"/>
      <c r="AL427" s="886">
        <v>44455.465460799998</v>
      </c>
      <c r="AM427" s="889"/>
      <c r="AN427" s="888"/>
      <c r="AO427" s="886">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0.10693290433687554</v>
      </c>
      <c r="E431" s="880">
        <v>507421.00753431476</v>
      </c>
      <c r="F431" s="892"/>
      <c r="G431" s="898">
        <v>0.11711641376646761</v>
      </c>
      <c r="H431" s="880">
        <v>34984.320724729194</v>
      </c>
      <c r="I431" s="892"/>
      <c r="J431" s="898">
        <v>0.11261216959113989</v>
      </c>
      <c r="K431" s="880">
        <v>33542.896222312993</v>
      </c>
      <c r="L431" s="892"/>
      <c r="M431" s="898">
        <v>0.11116773991338116</v>
      </c>
      <c r="N431" s="880">
        <v>43426.169981145358</v>
      </c>
      <c r="O431" s="892"/>
      <c r="P431" s="898">
        <v>0.10663128509549781</v>
      </c>
      <c r="Q431" s="880">
        <v>48113.663406611187</v>
      </c>
      <c r="R431" s="892"/>
      <c r="S431" s="898">
        <v>0.10475550256431473</v>
      </c>
      <c r="T431" s="880">
        <v>53870.769262356829</v>
      </c>
      <c r="U431" s="892"/>
      <c r="V431" s="898">
        <v>0.10327728596937698</v>
      </c>
      <c r="W431" s="880">
        <v>39545.835860183834</v>
      </c>
      <c r="X431" s="892"/>
      <c r="Y431" s="898">
        <v>0.10573735022331973</v>
      </c>
      <c r="Z431" s="880">
        <v>39396.993701035637</v>
      </c>
      <c r="AA431" s="892"/>
      <c r="AB431" s="898">
        <v>0.10523452603547778</v>
      </c>
      <c r="AC431" s="880">
        <v>43180.297610855181</v>
      </c>
      <c r="AD431" s="892"/>
      <c r="AE431" s="898">
        <v>0.10703193137940083</v>
      </c>
      <c r="AF431" s="880">
        <v>38093.290912720571</v>
      </c>
      <c r="AG431" s="892"/>
      <c r="AH431" s="898">
        <v>0.10070209621393515</v>
      </c>
      <c r="AI431" s="880">
        <v>46387.614666163012</v>
      </c>
      <c r="AJ431" s="892"/>
      <c r="AK431" s="898">
        <v>0.10583616161587948</v>
      </c>
      <c r="AL431" s="880">
        <v>52421.977623800558</v>
      </c>
      <c r="AM431" s="892"/>
      <c r="AN431" s="898">
        <v>0.10943630574862238</v>
      </c>
      <c r="AO431" s="880">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0.13001533743161964</v>
      </c>
      <c r="E432" s="886">
        <v>616952.4144470084</v>
      </c>
      <c r="F432" s="889"/>
      <c r="G432" s="899">
        <v>0.14239704933720293</v>
      </c>
      <c r="H432" s="886">
        <v>42536.002290860168</v>
      </c>
      <c r="I432" s="889"/>
      <c r="J432" s="899">
        <v>0.13692052337953572</v>
      </c>
      <c r="K432" s="886">
        <v>40783.433292327696</v>
      </c>
      <c r="L432" s="889"/>
      <c r="M432" s="899">
        <v>0.13516430051142383</v>
      </c>
      <c r="N432" s="886">
        <v>52800.100946238417</v>
      </c>
      <c r="O432" s="889"/>
      <c r="P432" s="899">
        <v>0.12964861095311628</v>
      </c>
      <c r="Q432" s="886">
        <v>58499.432159580123</v>
      </c>
      <c r="R432" s="889"/>
      <c r="S432" s="899">
        <v>0.12736792382269105</v>
      </c>
      <c r="T432" s="886">
        <v>65499.26130577307</v>
      </c>
      <c r="U432" s="889"/>
      <c r="V432" s="899">
        <v>0.12557062082620285</v>
      </c>
      <c r="W432" s="886">
        <v>48082.161662602375</v>
      </c>
      <c r="X432" s="889"/>
      <c r="Y432" s="899">
        <v>0.12856171216579845</v>
      </c>
      <c r="Z432" s="886">
        <v>47901.19057923276</v>
      </c>
      <c r="AA432" s="889"/>
      <c r="AB432" s="899">
        <v>0.12795034883608755</v>
      </c>
      <c r="AC432" s="886">
        <v>52501.154804387807</v>
      </c>
      <c r="AD432" s="889"/>
      <c r="AE432" s="899">
        <v>0.13013574035557107</v>
      </c>
      <c r="AF432" s="886">
        <v>46316.071770532508</v>
      </c>
      <c r="AG432" s="889"/>
      <c r="AH432" s="899">
        <v>0.12243955310592998</v>
      </c>
      <c r="AI432" s="886">
        <v>56400.800210841378</v>
      </c>
      <c r="AJ432" s="889"/>
      <c r="AK432" s="899">
        <v>0.12868185288979178</v>
      </c>
      <c r="AL432" s="886">
        <v>63737.734908233273</v>
      </c>
      <c r="AM432" s="889"/>
      <c r="AN432" s="899">
        <v>0.13305912064590211</v>
      </c>
      <c r="AO432" s="886">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6.6986162981073558E-2</v>
      </c>
      <c r="E433" s="886">
        <v>317864.61353030638</v>
      </c>
      <c r="F433" s="889"/>
      <c r="G433" s="899">
        <v>7.3365436288950203E-2</v>
      </c>
      <c r="H433" s="886">
        <v>21915.288136812738</v>
      </c>
      <c r="I433" s="889"/>
      <c r="J433" s="899">
        <v>7.0543834871630351E-2</v>
      </c>
      <c r="K433" s="886">
        <v>21012.334109307962</v>
      </c>
      <c r="L433" s="889"/>
      <c r="M433" s="899">
        <v>6.9638998306972691E-2</v>
      </c>
      <c r="N433" s="886">
        <v>27203.530270127179</v>
      </c>
      <c r="O433" s="889"/>
      <c r="P433" s="899">
        <v>6.6797219121496859E-2</v>
      </c>
      <c r="Q433" s="886">
        <v>30139.92483004454</v>
      </c>
      <c r="R433" s="889"/>
      <c r="S433" s="899">
        <v>6.5622169447777781E-2</v>
      </c>
      <c r="T433" s="886">
        <v>33746.35854232221</v>
      </c>
      <c r="U433" s="889"/>
      <c r="V433" s="899">
        <v>6.469616768654364E-2</v>
      </c>
      <c r="W433" s="886">
        <v>24772.765900079918</v>
      </c>
      <c r="X433" s="889"/>
      <c r="Y433" s="899">
        <v>6.6237229963683114E-2</v>
      </c>
      <c r="Z433" s="886">
        <v>24679.526450604706</v>
      </c>
      <c r="AA433" s="889"/>
      <c r="AB433" s="899">
        <v>6.5922244943810299E-2</v>
      </c>
      <c r="AC433" s="886">
        <v>27049.508018782406</v>
      </c>
      <c r="AD433" s="889"/>
      <c r="AE433" s="899">
        <v>6.7048196661457268E-2</v>
      </c>
      <c r="AF433" s="886">
        <v>23862.845673078704</v>
      </c>
      <c r="AG433" s="889"/>
      <c r="AH433" s="899">
        <v>6.30829871437074E-2</v>
      </c>
      <c r="AI433" s="886">
        <v>29058.673152107407</v>
      </c>
      <c r="AJ433" s="889"/>
      <c r="AK433" s="899">
        <v>6.6299128554088385E-2</v>
      </c>
      <c r="AL433" s="886">
        <v>32838.789507068017</v>
      </c>
      <c r="AM433" s="889"/>
      <c r="AN433" s="899">
        <v>6.8554373028432175E-2</v>
      </c>
      <c r="AO433" s="886">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2.9206343915798603E-2</v>
      </c>
      <c r="E434" s="886">
        <v>138590.75976708156</v>
      </c>
      <c r="F434" s="889"/>
      <c r="G434" s="899">
        <v>3.1987742967052833E-2</v>
      </c>
      <c r="H434" s="886">
        <v>9555.1889204106192</v>
      </c>
      <c r="I434" s="889"/>
      <c r="J434" s="899">
        <v>3.0757508875113092E-2</v>
      </c>
      <c r="K434" s="886">
        <v>9161.4958845083929</v>
      </c>
      <c r="L434" s="889"/>
      <c r="M434" s="899">
        <v>3.0362995042421289E-2</v>
      </c>
      <c r="N434" s="886">
        <v>11860.892241546309</v>
      </c>
      <c r="O434" s="889"/>
      <c r="P434" s="899">
        <v>2.912396333004786E-2</v>
      </c>
      <c r="Q434" s="886">
        <v>13141.176789470897</v>
      </c>
      <c r="R434" s="889"/>
      <c r="S434" s="899">
        <v>2.8611635061619001E-2</v>
      </c>
      <c r="T434" s="886">
        <v>14713.602177383804</v>
      </c>
      <c r="U434" s="889"/>
      <c r="V434" s="899">
        <v>2.820789308414702E-2</v>
      </c>
      <c r="W434" s="886">
        <v>10801.065301019375</v>
      </c>
      <c r="X434" s="889"/>
      <c r="Y434" s="899">
        <v>2.8879804906809792E-2</v>
      </c>
      <c r="Z434" s="886">
        <v>10760.412376494314</v>
      </c>
      <c r="AA434" s="889"/>
      <c r="AB434" s="899">
        <v>2.8742469666077627E-2</v>
      </c>
      <c r="AC434" s="886">
        <v>11793.737673449432</v>
      </c>
      <c r="AD434" s="889"/>
      <c r="AE434" s="899">
        <v>2.9233390949439879E-2</v>
      </c>
      <c r="AF434" s="886">
        <v>10404.334962945708</v>
      </c>
      <c r="AG434" s="889"/>
      <c r="AH434" s="899">
        <v>2.7504537291911806E-2</v>
      </c>
      <c r="AI434" s="886">
        <v>12669.744974899149</v>
      </c>
      <c r="AJ434" s="889"/>
      <c r="AK434" s="899">
        <v>2.8906793040460475E-2</v>
      </c>
      <c r="AL434" s="886">
        <v>14317.896972139359</v>
      </c>
      <c r="AM434" s="889"/>
      <c r="AN434" s="899">
        <v>2.9890092319006994E-2</v>
      </c>
      <c r="AO434" s="886">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0.42289995609127123</v>
      </c>
      <c r="D436" s="900"/>
      <c r="E436" s="895">
        <v>3846014.6231985269</v>
      </c>
      <c r="F436" s="893">
        <v>0.56493651638558362</v>
      </c>
      <c r="G436" s="900"/>
      <c r="H436" s="895">
        <v>279437.8808139817</v>
      </c>
      <c r="I436" s="893">
        <v>0.57048198190421995</v>
      </c>
      <c r="J436" s="900"/>
      <c r="K436" s="895">
        <v>275023.84845270147</v>
      </c>
      <c r="L436" s="893">
        <v>0.50322251452829714</v>
      </c>
      <c r="M436" s="900"/>
      <c r="N436" s="895">
        <v>343283.31575176731</v>
      </c>
      <c r="O436" s="893">
        <v>0.35087401056226164</v>
      </c>
      <c r="P436" s="900"/>
      <c r="Q436" s="895">
        <v>335302.78465828107</v>
      </c>
      <c r="R436" s="893">
        <v>0.37382801223611045</v>
      </c>
      <c r="S436" s="900"/>
      <c r="T436" s="895">
        <v>388855.07640348718</v>
      </c>
      <c r="U436" s="893">
        <v>0.3863408339461093</v>
      </c>
      <c r="V436" s="900"/>
      <c r="W436" s="895">
        <v>298070.96303329512</v>
      </c>
      <c r="X436" s="893">
        <v>0.40929497571419138</v>
      </c>
      <c r="Y436" s="900"/>
      <c r="Z436" s="895">
        <v>298387.37516554177</v>
      </c>
      <c r="AA436" s="893">
        <v>0.45784398087489375</v>
      </c>
      <c r="AB436" s="900"/>
      <c r="AC436" s="895">
        <v>341772.06760525331</v>
      </c>
      <c r="AD436" s="893">
        <v>0.42869845194786171</v>
      </c>
      <c r="AE436" s="900"/>
      <c r="AF436" s="895">
        <v>290238.52065931493</v>
      </c>
      <c r="AG436" s="893">
        <v>0.32808588638036834</v>
      </c>
      <c r="AH436" s="900"/>
      <c r="AI436" s="895">
        <v>328117.4161069853</v>
      </c>
      <c r="AJ436" s="893">
        <v>0.39186491002014928</v>
      </c>
      <c r="AK436" s="900"/>
      <c r="AL436" s="895">
        <v>386305.01575409248</v>
      </c>
      <c r="AM436" s="893">
        <v>0.53089943988840393</v>
      </c>
      <c r="AN436" s="900"/>
      <c r="AO436" s="895">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178062.72547083328</v>
      </c>
      <c r="F437" s="901"/>
      <c r="G437" s="902"/>
      <c r="H437" s="903">
        <v>14838.560455902774</v>
      </c>
      <c r="I437" s="901"/>
      <c r="J437" s="902"/>
      <c r="K437" s="903">
        <v>14838.560455902774</v>
      </c>
      <c r="L437" s="901"/>
      <c r="M437" s="902"/>
      <c r="N437" s="903">
        <v>14838.560455902774</v>
      </c>
      <c r="O437" s="901"/>
      <c r="P437" s="902"/>
      <c r="Q437" s="903">
        <v>14838.560455902774</v>
      </c>
      <c r="R437" s="901"/>
      <c r="S437" s="902"/>
      <c r="T437" s="903">
        <v>14838.560455902774</v>
      </c>
      <c r="U437" s="901"/>
      <c r="V437" s="902"/>
      <c r="W437" s="903">
        <v>14838.560455902774</v>
      </c>
      <c r="X437" s="901"/>
      <c r="Y437" s="902"/>
      <c r="Z437" s="903">
        <v>14838.560455902774</v>
      </c>
      <c r="AA437" s="901"/>
      <c r="AB437" s="902"/>
      <c r="AC437" s="903">
        <v>14838.560455902774</v>
      </c>
      <c r="AD437" s="901"/>
      <c r="AE437" s="902"/>
      <c r="AF437" s="903">
        <v>14838.560455902774</v>
      </c>
      <c r="AG437" s="901"/>
      <c r="AH437" s="902"/>
      <c r="AI437" s="903">
        <v>14838.560455902774</v>
      </c>
      <c r="AJ437" s="901"/>
      <c r="AK437" s="902"/>
      <c r="AL437" s="903">
        <v>14838.560455902774</v>
      </c>
      <c r="AM437" s="901"/>
      <c r="AN437" s="902"/>
      <c r="AO437" s="903">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71268.787510789742</v>
      </c>
      <c r="F438" s="889"/>
      <c r="G438" s="888"/>
      <c r="H438" s="886">
        <v>5939.0656258991448</v>
      </c>
      <c r="I438" s="889"/>
      <c r="J438" s="888"/>
      <c r="K438" s="886">
        <v>5939.0656258991448</v>
      </c>
      <c r="L438" s="889"/>
      <c r="M438" s="888"/>
      <c r="N438" s="886">
        <v>5939.0656258991448</v>
      </c>
      <c r="O438" s="889"/>
      <c r="P438" s="888"/>
      <c r="Q438" s="886">
        <v>5939.0656258991448</v>
      </c>
      <c r="R438" s="889"/>
      <c r="S438" s="888"/>
      <c r="T438" s="886">
        <v>5939.0656258991448</v>
      </c>
      <c r="U438" s="889"/>
      <c r="V438" s="888"/>
      <c r="W438" s="886">
        <v>5939.0656258991448</v>
      </c>
      <c r="X438" s="889"/>
      <c r="Y438" s="888"/>
      <c r="Z438" s="886">
        <v>5939.0656258991448</v>
      </c>
      <c r="AA438" s="889"/>
      <c r="AB438" s="888"/>
      <c r="AC438" s="886">
        <v>5939.0656258991448</v>
      </c>
      <c r="AD438" s="889"/>
      <c r="AE438" s="888"/>
      <c r="AF438" s="886">
        <v>5939.0656258991448</v>
      </c>
      <c r="AG438" s="889"/>
      <c r="AH438" s="888"/>
      <c r="AI438" s="886">
        <v>5939.0656258991448</v>
      </c>
      <c r="AJ438" s="889"/>
      <c r="AK438" s="888"/>
      <c r="AL438" s="886">
        <v>5939.0656258991448</v>
      </c>
      <c r="AM438" s="889"/>
      <c r="AN438" s="888"/>
      <c r="AO438" s="886">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312900</v>
      </c>
      <c r="F439" s="892"/>
      <c r="G439" s="891"/>
      <c r="H439" s="880">
        <v>26075</v>
      </c>
      <c r="I439" s="892"/>
      <c r="J439" s="891"/>
      <c r="K439" s="880">
        <v>26075</v>
      </c>
      <c r="L439" s="892"/>
      <c r="M439" s="891"/>
      <c r="N439" s="880">
        <v>26075</v>
      </c>
      <c r="O439" s="892"/>
      <c r="P439" s="891"/>
      <c r="Q439" s="880">
        <v>26075</v>
      </c>
      <c r="R439" s="892"/>
      <c r="S439" s="891"/>
      <c r="T439" s="880">
        <v>26075</v>
      </c>
      <c r="U439" s="892"/>
      <c r="V439" s="891"/>
      <c r="W439" s="880">
        <v>26075</v>
      </c>
      <c r="X439" s="892"/>
      <c r="Y439" s="891"/>
      <c r="Z439" s="880">
        <v>26075</v>
      </c>
      <c r="AA439" s="892"/>
      <c r="AB439" s="891"/>
      <c r="AC439" s="880">
        <v>26075</v>
      </c>
      <c r="AD439" s="892"/>
      <c r="AE439" s="891"/>
      <c r="AF439" s="880">
        <v>26075</v>
      </c>
      <c r="AG439" s="892"/>
      <c r="AH439" s="891"/>
      <c r="AI439" s="880">
        <v>26075</v>
      </c>
      <c r="AJ439" s="892"/>
      <c r="AK439" s="891"/>
      <c r="AL439" s="880">
        <v>26075</v>
      </c>
      <c r="AM439" s="892"/>
      <c r="AN439" s="891"/>
      <c r="AO439" s="880">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267248.26213333331</v>
      </c>
      <c r="F440" s="889"/>
      <c r="G440" s="888"/>
      <c r="H440" s="886">
        <v>22270.688511111108</v>
      </c>
      <c r="I440" s="889"/>
      <c r="J440" s="888"/>
      <c r="K440" s="886">
        <v>22270.688511111108</v>
      </c>
      <c r="L440" s="889"/>
      <c r="M440" s="888"/>
      <c r="N440" s="886">
        <v>22270.688511111108</v>
      </c>
      <c r="O440" s="889"/>
      <c r="P440" s="888"/>
      <c r="Q440" s="886">
        <v>22270.688511111108</v>
      </c>
      <c r="R440" s="889"/>
      <c r="S440" s="888"/>
      <c r="T440" s="886">
        <v>22270.688511111108</v>
      </c>
      <c r="U440" s="889"/>
      <c r="V440" s="888"/>
      <c r="W440" s="886">
        <v>22270.688511111108</v>
      </c>
      <c r="X440" s="889"/>
      <c r="Y440" s="888"/>
      <c r="Z440" s="886">
        <v>22270.688511111108</v>
      </c>
      <c r="AA440" s="889"/>
      <c r="AB440" s="888"/>
      <c r="AC440" s="886">
        <v>22270.688511111108</v>
      </c>
      <c r="AD440" s="889"/>
      <c r="AE440" s="888"/>
      <c r="AF440" s="886">
        <v>22270.688511111108</v>
      </c>
      <c r="AG440" s="889"/>
      <c r="AH440" s="888"/>
      <c r="AI440" s="886">
        <v>22270.688511111108</v>
      </c>
      <c r="AJ440" s="889"/>
      <c r="AK440" s="888"/>
      <c r="AL440" s="886">
        <v>22270.688511111108</v>
      </c>
      <c r="AM440" s="889"/>
      <c r="AN440" s="888"/>
      <c r="AO440" s="886">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43077.230558333336</v>
      </c>
      <c r="F441" s="889"/>
      <c r="G441" s="888"/>
      <c r="H441" s="886">
        <v>3589.7692131944445</v>
      </c>
      <c r="I441" s="889"/>
      <c r="J441" s="888"/>
      <c r="K441" s="886">
        <v>3589.7692131944445</v>
      </c>
      <c r="L441" s="889"/>
      <c r="M441" s="888"/>
      <c r="N441" s="886">
        <v>3589.7692131944445</v>
      </c>
      <c r="O441" s="889"/>
      <c r="P441" s="888"/>
      <c r="Q441" s="886">
        <v>3589.7692131944445</v>
      </c>
      <c r="R441" s="889"/>
      <c r="S441" s="888"/>
      <c r="T441" s="886">
        <v>3589.7692131944445</v>
      </c>
      <c r="U441" s="889"/>
      <c r="V441" s="888"/>
      <c r="W441" s="886">
        <v>3589.7692131944445</v>
      </c>
      <c r="X441" s="889"/>
      <c r="Y441" s="888"/>
      <c r="Z441" s="886">
        <v>3589.7692131944445</v>
      </c>
      <c r="AA441" s="889"/>
      <c r="AB441" s="888"/>
      <c r="AC441" s="886">
        <v>3589.7692131944445</v>
      </c>
      <c r="AD441" s="889"/>
      <c r="AE441" s="888"/>
      <c r="AF441" s="886">
        <v>3589.7692131944445</v>
      </c>
      <c r="AG441" s="889"/>
      <c r="AH441" s="888"/>
      <c r="AI441" s="886">
        <v>3589.7692131944445</v>
      </c>
      <c r="AJ441" s="889"/>
      <c r="AK441" s="888"/>
      <c r="AL441" s="886">
        <v>3589.7692131944445</v>
      </c>
      <c r="AM441" s="889"/>
      <c r="AN441" s="888"/>
      <c r="AO441" s="886">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335233.92781847215</v>
      </c>
      <c r="F442" s="904"/>
      <c r="G442" s="905"/>
      <c r="H442" s="906">
        <v>26936.160651539351</v>
      </c>
      <c r="I442" s="904"/>
      <c r="J442" s="905"/>
      <c r="K442" s="906">
        <v>26936.160651539351</v>
      </c>
      <c r="L442" s="904"/>
      <c r="M442" s="905"/>
      <c r="N442" s="906">
        <v>26436.160651539351</v>
      </c>
      <c r="O442" s="904"/>
      <c r="P442" s="905"/>
      <c r="Q442" s="906">
        <v>26436.160651539351</v>
      </c>
      <c r="R442" s="904"/>
      <c r="S442" s="905"/>
      <c r="T442" s="906">
        <v>31436.160651539354</v>
      </c>
      <c r="U442" s="904"/>
      <c r="V442" s="905"/>
      <c r="W442" s="906">
        <v>26936.160651539351</v>
      </c>
      <c r="X442" s="904"/>
      <c r="Y442" s="905"/>
      <c r="Z442" s="906">
        <v>26936.160651539351</v>
      </c>
      <c r="AA442" s="904"/>
      <c r="AB442" s="905"/>
      <c r="AC442" s="906">
        <v>24936.160651539351</v>
      </c>
      <c r="AD442" s="904"/>
      <c r="AE442" s="905"/>
      <c r="AF442" s="906">
        <v>24936.160651539351</v>
      </c>
      <c r="AG442" s="904"/>
      <c r="AH442" s="905"/>
      <c r="AI442" s="906">
        <v>31436.160651539354</v>
      </c>
      <c r="AJ442" s="904"/>
      <c r="AK442" s="905"/>
      <c r="AL442" s="906">
        <v>36436.160651539351</v>
      </c>
      <c r="AM442" s="904"/>
      <c r="AN442" s="905"/>
      <c r="AO442" s="906">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73000</v>
      </c>
      <c r="F444" s="889"/>
      <c r="G444" s="888"/>
      <c r="H444" s="886">
        <v>6083.333333333333</v>
      </c>
      <c r="I444" s="889"/>
      <c r="J444" s="888"/>
      <c r="K444" s="886">
        <v>6083.333333333333</v>
      </c>
      <c r="L444" s="889"/>
      <c r="M444" s="888"/>
      <c r="N444" s="886">
        <v>6083.333333333333</v>
      </c>
      <c r="O444" s="889"/>
      <c r="P444" s="888"/>
      <c r="Q444" s="886">
        <v>6083.333333333333</v>
      </c>
      <c r="R444" s="889"/>
      <c r="S444" s="888"/>
      <c r="T444" s="886">
        <v>6083.333333333333</v>
      </c>
      <c r="U444" s="889"/>
      <c r="V444" s="888"/>
      <c r="W444" s="886">
        <v>6083.333333333333</v>
      </c>
      <c r="X444" s="889"/>
      <c r="Y444" s="888"/>
      <c r="Z444" s="886">
        <v>6083.333333333333</v>
      </c>
      <c r="AA444" s="889"/>
      <c r="AB444" s="888"/>
      <c r="AC444" s="886">
        <v>6083.333333333333</v>
      </c>
      <c r="AD444" s="889"/>
      <c r="AE444" s="888"/>
      <c r="AF444" s="886">
        <v>6083.333333333333</v>
      </c>
      <c r="AG444" s="889"/>
      <c r="AH444" s="888"/>
      <c r="AI444" s="886">
        <v>6083.333333333333</v>
      </c>
      <c r="AJ444" s="889"/>
      <c r="AK444" s="888"/>
      <c r="AL444" s="886">
        <v>6083.333333333333</v>
      </c>
      <c r="AM444" s="889"/>
      <c r="AN444" s="888"/>
      <c r="AO444" s="886">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18663.299651285317</v>
      </c>
      <c r="F445" s="889"/>
      <c r="G445" s="888"/>
      <c r="H445" s="886">
        <v>1555.2749709404429</v>
      </c>
      <c r="I445" s="889"/>
      <c r="J445" s="888"/>
      <c r="K445" s="886">
        <v>1555.2749709404429</v>
      </c>
      <c r="L445" s="889"/>
      <c r="M445" s="888"/>
      <c r="N445" s="886">
        <v>1555.2749709404429</v>
      </c>
      <c r="O445" s="889"/>
      <c r="P445" s="888"/>
      <c r="Q445" s="886">
        <v>1555.2749709404429</v>
      </c>
      <c r="R445" s="889"/>
      <c r="S445" s="888"/>
      <c r="T445" s="886">
        <v>1555.2749709404429</v>
      </c>
      <c r="U445" s="889"/>
      <c r="V445" s="888"/>
      <c r="W445" s="886">
        <v>1555.2749709404429</v>
      </c>
      <c r="X445" s="889"/>
      <c r="Y445" s="888"/>
      <c r="Z445" s="886">
        <v>1555.2749709404429</v>
      </c>
      <c r="AA445" s="889"/>
      <c r="AB445" s="888"/>
      <c r="AC445" s="886">
        <v>1555.2749709404429</v>
      </c>
      <c r="AD445" s="889"/>
      <c r="AE445" s="888"/>
      <c r="AF445" s="886">
        <v>1555.2749709404429</v>
      </c>
      <c r="AG445" s="889"/>
      <c r="AH445" s="888"/>
      <c r="AI445" s="886">
        <v>1555.2749709404429</v>
      </c>
      <c r="AJ445" s="889"/>
      <c r="AK445" s="888"/>
      <c r="AL445" s="886">
        <v>1555.2749709404429</v>
      </c>
      <c r="AM445" s="889"/>
      <c r="AN445" s="888"/>
      <c r="AO445" s="886">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31049.358898800008</v>
      </c>
      <c r="F446" s="889"/>
      <c r="G446" s="888"/>
      <c r="H446" s="886">
        <v>2587.4465749000001</v>
      </c>
      <c r="I446" s="889"/>
      <c r="J446" s="888"/>
      <c r="K446" s="886">
        <v>2587.4465749000001</v>
      </c>
      <c r="L446" s="889"/>
      <c r="M446" s="888"/>
      <c r="N446" s="886">
        <v>2587.4465749000001</v>
      </c>
      <c r="O446" s="889"/>
      <c r="P446" s="888"/>
      <c r="Q446" s="886">
        <v>2587.4465749000001</v>
      </c>
      <c r="R446" s="889"/>
      <c r="S446" s="888"/>
      <c r="T446" s="886">
        <v>2587.4465749000001</v>
      </c>
      <c r="U446" s="889"/>
      <c r="V446" s="888"/>
      <c r="W446" s="886">
        <v>2587.4465749000001</v>
      </c>
      <c r="X446" s="889"/>
      <c r="Y446" s="888"/>
      <c r="Z446" s="886">
        <v>2587.4465749000001</v>
      </c>
      <c r="AA446" s="889"/>
      <c r="AB446" s="888"/>
      <c r="AC446" s="886">
        <v>2587.4465749000001</v>
      </c>
      <c r="AD446" s="889"/>
      <c r="AE446" s="888"/>
      <c r="AF446" s="886">
        <v>2587.4465749000001</v>
      </c>
      <c r="AG446" s="889"/>
      <c r="AH446" s="888"/>
      <c r="AI446" s="886">
        <v>2587.4465749000001</v>
      </c>
      <c r="AJ446" s="889"/>
      <c r="AK446" s="888"/>
      <c r="AL446" s="886">
        <v>2587.4465749000001</v>
      </c>
      <c r="AM446" s="889"/>
      <c r="AN446" s="888"/>
      <c r="AO446" s="886">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9337.3891894833341</v>
      </c>
      <c r="F447" s="889"/>
      <c r="G447" s="888"/>
      <c r="H447" s="886">
        <v>778.11576579027781</v>
      </c>
      <c r="I447" s="889"/>
      <c r="J447" s="888"/>
      <c r="K447" s="886">
        <v>778.11576579027781</v>
      </c>
      <c r="L447" s="889"/>
      <c r="M447" s="888"/>
      <c r="N447" s="886">
        <v>778.11576579027781</v>
      </c>
      <c r="O447" s="889"/>
      <c r="P447" s="888"/>
      <c r="Q447" s="886">
        <v>778.11576579027781</v>
      </c>
      <c r="R447" s="889"/>
      <c r="S447" s="888"/>
      <c r="T447" s="886">
        <v>778.11576579027781</v>
      </c>
      <c r="U447" s="889"/>
      <c r="V447" s="888"/>
      <c r="W447" s="886">
        <v>778.11576579027781</v>
      </c>
      <c r="X447" s="889"/>
      <c r="Y447" s="888"/>
      <c r="Z447" s="886">
        <v>778.11576579027781</v>
      </c>
      <c r="AA447" s="889"/>
      <c r="AB447" s="888"/>
      <c r="AC447" s="886">
        <v>778.11576579027781</v>
      </c>
      <c r="AD447" s="889"/>
      <c r="AE447" s="888"/>
      <c r="AF447" s="886">
        <v>778.11576579027781</v>
      </c>
      <c r="AG447" s="889"/>
      <c r="AH447" s="888"/>
      <c r="AI447" s="886">
        <v>778.11576579027781</v>
      </c>
      <c r="AJ447" s="889"/>
      <c r="AK447" s="888"/>
      <c r="AL447" s="886">
        <v>778.11576579027781</v>
      </c>
      <c r="AM447" s="889"/>
      <c r="AN447" s="888"/>
      <c r="AO447" s="886">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5547.3145465166644</v>
      </c>
      <c r="F448" s="889"/>
      <c r="G448" s="888"/>
      <c r="H448" s="886">
        <v>462.27621220972219</v>
      </c>
      <c r="I448" s="889"/>
      <c r="J448" s="888"/>
      <c r="K448" s="886">
        <v>462.27621220972219</v>
      </c>
      <c r="L448" s="889"/>
      <c r="M448" s="888"/>
      <c r="N448" s="886">
        <v>462.27621220972219</v>
      </c>
      <c r="O448" s="889"/>
      <c r="P448" s="888"/>
      <c r="Q448" s="886">
        <v>462.27621220972219</v>
      </c>
      <c r="R448" s="889"/>
      <c r="S448" s="888"/>
      <c r="T448" s="886">
        <v>462.27621220972219</v>
      </c>
      <c r="U448" s="889"/>
      <c r="V448" s="888"/>
      <c r="W448" s="886">
        <v>462.27621220972219</v>
      </c>
      <c r="X448" s="889"/>
      <c r="Y448" s="888"/>
      <c r="Z448" s="886">
        <v>462.27621220972219</v>
      </c>
      <c r="AA448" s="889"/>
      <c r="AB448" s="888"/>
      <c r="AC448" s="886">
        <v>462.27621220972219</v>
      </c>
      <c r="AD448" s="889"/>
      <c r="AE448" s="888"/>
      <c r="AF448" s="886">
        <v>462.27621220972219</v>
      </c>
      <c r="AG448" s="889"/>
      <c r="AH448" s="888"/>
      <c r="AI448" s="886">
        <v>462.27621220972219</v>
      </c>
      <c r="AJ448" s="889"/>
      <c r="AK448" s="888"/>
      <c r="AL448" s="886">
        <v>462.27621220972219</v>
      </c>
      <c r="AM448" s="889"/>
      <c r="AN448" s="888"/>
      <c r="AO448" s="886">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13829.75112881667</v>
      </c>
      <c r="F449" s="889"/>
      <c r="G449" s="888"/>
      <c r="H449" s="886">
        <v>1152.4792607347222</v>
      </c>
      <c r="I449" s="889"/>
      <c r="J449" s="888"/>
      <c r="K449" s="886">
        <v>1152.4792607347222</v>
      </c>
      <c r="L449" s="889"/>
      <c r="M449" s="888"/>
      <c r="N449" s="886">
        <v>1152.4792607347222</v>
      </c>
      <c r="O449" s="889"/>
      <c r="P449" s="888"/>
      <c r="Q449" s="886">
        <v>1152.4792607347222</v>
      </c>
      <c r="R449" s="889"/>
      <c r="S449" s="888"/>
      <c r="T449" s="886">
        <v>1152.4792607347222</v>
      </c>
      <c r="U449" s="889"/>
      <c r="V449" s="888"/>
      <c r="W449" s="886">
        <v>1152.4792607347222</v>
      </c>
      <c r="X449" s="889"/>
      <c r="Y449" s="888"/>
      <c r="Z449" s="886">
        <v>1152.4792607347222</v>
      </c>
      <c r="AA449" s="889"/>
      <c r="AB449" s="888"/>
      <c r="AC449" s="886">
        <v>1152.4792607347222</v>
      </c>
      <c r="AD449" s="889"/>
      <c r="AE449" s="888"/>
      <c r="AF449" s="886">
        <v>1152.4792607347222</v>
      </c>
      <c r="AG449" s="889"/>
      <c r="AH449" s="888"/>
      <c r="AI449" s="886">
        <v>1152.4792607347222</v>
      </c>
      <c r="AJ449" s="889"/>
      <c r="AK449" s="888"/>
      <c r="AL449" s="886">
        <v>1152.4792607347222</v>
      </c>
      <c r="AM449" s="889"/>
      <c r="AN449" s="888"/>
      <c r="AO449" s="886">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91732.542125321212</v>
      </c>
      <c r="F450" s="889"/>
      <c r="G450" s="888"/>
      <c r="H450" s="886">
        <v>7644.3785104434319</v>
      </c>
      <c r="I450" s="889"/>
      <c r="J450" s="888"/>
      <c r="K450" s="886">
        <v>7644.3785104434319</v>
      </c>
      <c r="L450" s="889"/>
      <c r="M450" s="888"/>
      <c r="N450" s="886">
        <v>7644.3785104434319</v>
      </c>
      <c r="O450" s="889"/>
      <c r="P450" s="888"/>
      <c r="Q450" s="886">
        <v>7644.3785104434319</v>
      </c>
      <c r="R450" s="889"/>
      <c r="S450" s="888"/>
      <c r="T450" s="886">
        <v>7644.3785104434319</v>
      </c>
      <c r="U450" s="889"/>
      <c r="V450" s="888"/>
      <c r="W450" s="886">
        <v>7644.3785104434319</v>
      </c>
      <c r="X450" s="889"/>
      <c r="Y450" s="888"/>
      <c r="Z450" s="886">
        <v>7644.3785104434319</v>
      </c>
      <c r="AA450" s="889"/>
      <c r="AB450" s="888"/>
      <c r="AC450" s="886">
        <v>7644.3785104434319</v>
      </c>
      <c r="AD450" s="889"/>
      <c r="AE450" s="888"/>
      <c r="AF450" s="886">
        <v>7644.3785104434319</v>
      </c>
      <c r="AG450" s="889"/>
      <c r="AH450" s="888"/>
      <c r="AI450" s="886">
        <v>7644.3785104434319</v>
      </c>
      <c r="AJ450" s="889"/>
      <c r="AK450" s="888"/>
      <c r="AL450" s="886">
        <v>7644.3785104434319</v>
      </c>
      <c r="AM450" s="889"/>
      <c r="AN450" s="888"/>
      <c r="AO450" s="886">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93363.315428984744</v>
      </c>
      <c r="F451" s="889"/>
      <c r="G451" s="888"/>
      <c r="H451" s="886">
        <v>7780.2762857487296</v>
      </c>
      <c r="I451" s="889"/>
      <c r="J451" s="888"/>
      <c r="K451" s="886">
        <v>7780.2762857487296</v>
      </c>
      <c r="L451" s="889"/>
      <c r="M451" s="888"/>
      <c r="N451" s="886">
        <v>7780.2762857487296</v>
      </c>
      <c r="O451" s="889"/>
      <c r="P451" s="888"/>
      <c r="Q451" s="886">
        <v>7780.2762857487296</v>
      </c>
      <c r="R451" s="889"/>
      <c r="S451" s="888"/>
      <c r="T451" s="886">
        <v>7780.2762857487296</v>
      </c>
      <c r="U451" s="889"/>
      <c r="V451" s="888"/>
      <c r="W451" s="886">
        <v>7780.2762857487296</v>
      </c>
      <c r="X451" s="889"/>
      <c r="Y451" s="888"/>
      <c r="Z451" s="886">
        <v>7780.2762857487296</v>
      </c>
      <c r="AA451" s="889"/>
      <c r="AB451" s="888"/>
      <c r="AC451" s="886">
        <v>7780.2762857487296</v>
      </c>
      <c r="AD451" s="889"/>
      <c r="AE451" s="888"/>
      <c r="AF451" s="886">
        <v>7780.2762857487296</v>
      </c>
      <c r="AG451" s="889"/>
      <c r="AH451" s="888"/>
      <c r="AI451" s="886">
        <v>7780.2762857487296</v>
      </c>
      <c r="AJ451" s="889"/>
      <c r="AK451" s="888"/>
      <c r="AL451" s="886">
        <v>7780.2762857487296</v>
      </c>
      <c r="AM451" s="889"/>
      <c r="AN451" s="888"/>
      <c r="AO451" s="886">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0.16980962018406037</v>
      </c>
      <c r="D455" s="896"/>
      <c r="E455" s="895">
        <v>1544313.9044609701</v>
      </c>
      <c r="F455" s="893">
        <v>0.25815519257022018</v>
      </c>
      <c r="G455" s="896"/>
      <c r="H455" s="895">
        <v>127692.82537174747</v>
      </c>
      <c r="I455" s="893">
        <v>0.26487323373177241</v>
      </c>
      <c r="J455" s="896"/>
      <c r="K455" s="895">
        <v>127692.82537174747</v>
      </c>
      <c r="L455" s="893">
        <v>0.18645326025635675</v>
      </c>
      <c r="M455" s="896"/>
      <c r="N455" s="895">
        <v>127192.82537174747</v>
      </c>
      <c r="O455" s="893">
        <v>0.13309957088013172</v>
      </c>
      <c r="P455" s="896"/>
      <c r="Q455" s="895">
        <v>127192.82537174747</v>
      </c>
      <c r="R455" s="893">
        <v>0.12708431531267639</v>
      </c>
      <c r="S455" s="896"/>
      <c r="T455" s="895">
        <v>132192.82537174749</v>
      </c>
      <c r="U455" s="893">
        <v>0.16550740850776946</v>
      </c>
      <c r="V455" s="896"/>
      <c r="W455" s="895">
        <v>127692.82537174747</v>
      </c>
      <c r="X455" s="893">
        <v>0.17515497038174085</v>
      </c>
      <c r="Y455" s="896"/>
      <c r="Z455" s="895">
        <v>127692.82537174747</v>
      </c>
      <c r="AA455" s="893">
        <v>0.16838035928109052</v>
      </c>
      <c r="AB455" s="896"/>
      <c r="AC455" s="895">
        <v>125692.82537174747</v>
      </c>
      <c r="AD455" s="893">
        <v>0.18565530011459452</v>
      </c>
      <c r="AE455" s="896"/>
      <c r="AF455" s="895">
        <v>125692.82537174747</v>
      </c>
      <c r="AG455" s="893">
        <v>0.13218012259085232</v>
      </c>
      <c r="AH455" s="896"/>
      <c r="AI455" s="895">
        <v>132192.82537174749</v>
      </c>
      <c r="AJ455" s="893">
        <v>0.139167372871835</v>
      </c>
      <c r="AK455" s="896"/>
      <c r="AL455" s="895">
        <v>137192.82537174749</v>
      </c>
      <c r="AM455" s="893">
        <v>0.23823204193019826</v>
      </c>
      <c r="AN455" s="896"/>
      <c r="AO455" s="895">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62123.039999999986</v>
      </c>
      <c r="F457" s="889"/>
      <c r="G457" s="888"/>
      <c r="H457" s="897">
        <v>5176.92</v>
      </c>
      <c r="I457" s="889"/>
      <c r="J457" s="888"/>
      <c r="K457" s="897">
        <v>5176.92</v>
      </c>
      <c r="L457" s="889"/>
      <c r="M457" s="888"/>
      <c r="N457" s="897">
        <v>5176.92</v>
      </c>
      <c r="O457" s="889"/>
      <c r="P457" s="888"/>
      <c r="Q457" s="897">
        <v>5176.92</v>
      </c>
      <c r="R457" s="889"/>
      <c r="S457" s="888"/>
      <c r="T457" s="897">
        <v>5176.92</v>
      </c>
      <c r="U457" s="889"/>
      <c r="V457" s="888"/>
      <c r="W457" s="897">
        <v>5176.92</v>
      </c>
      <c r="X457" s="889"/>
      <c r="Y457" s="888"/>
      <c r="Z457" s="897">
        <v>5176.92</v>
      </c>
      <c r="AA457" s="889"/>
      <c r="AB457" s="888"/>
      <c r="AC457" s="897">
        <v>5176.92</v>
      </c>
      <c r="AD457" s="889"/>
      <c r="AE457" s="888"/>
      <c r="AF457" s="897">
        <v>5176.92</v>
      </c>
      <c r="AG457" s="889"/>
      <c r="AH457" s="888"/>
      <c r="AI457" s="897">
        <v>5176.92</v>
      </c>
      <c r="AJ457" s="889"/>
      <c r="AK457" s="888"/>
      <c r="AL457" s="897">
        <v>5176.92</v>
      </c>
      <c r="AM457" s="889"/>
      <c r="AN457" s="888"/>
      <c r="AO457" s="897">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41338.080000000016</v>
      </c>
      <c r="F458" s="892"/>
      <c r="G458" s="891"/>
      <c r="H458" s="909">
        <v>3444.8400000000006</v>
      </c>
      <c r="I458" s="892"/>
      <c r="J458" s="891"/>
      <c r="K458" s="909">
        <v>3444.8400000000006</v>
      </c>
      <c r="L458" s="892"/>
      <c r="M458" s="891"/>
      <c r="N458" s="909">
        <v>3444.8400000000006</v>
      </c>
      <c r="O458" s="892"/>
      <c r="P458" s="891"/>
      <c r="Q458" s="909">
        <v>3444.8400000000006</v>
      </c>
      <c r="R458" s="892"/>
      <c r="S458" s="891"/>
      <c r="T458" s="909">
        <v>3444.8400000000006</v>
      </c>
      <c r="U458" s="892"/>
      <c r="V458" s="891"/>
      <c r="W458" s="909">
        <v>3444.8400000000006</v>
      </c>
      <c r="X458" s="892"/>
      <c r="Y458" s="891"/>
      <c r="Z458" s="909">
        <v>3444.8400000000006</v>
      </c>
      <c r="AA458" s="892"/>
      <c r="AB458" s="891"/>
      <c r="AC458" s="909">
        <v>3444.8400000000006</v>
      </c>
      <c r="AD458" s="892"/>
      <c r="AE458" s="891"/>
      <c r="AF458" s="909">
        <v>3444.8400000000006</v>
      </c>
      <c r="AG458" s="892"/>
      <c r="AH458" s="891"/>
      <c r="AI458" s="909">
        <v>3444.8400000000006</v>
      </c>
      <c r="AJ458" s="892"/>
      <c r="AK458" s="891"/>
      <c r="AL458" s="909">
        <v>3444.8400000000006</v>
      </c>
      <c r="AM458" s="892"/>
      <c r="AN458" s="891"/>
      <c r="AO458" s="909">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46717</v>
      </c>
      <c r="F460" s="892"/>
      <c r="G460" s="891"/>
      <c r="H460" s="909">
        <v>3893.083333333333</v>
      </c>
      <c r="I460" s="892"/>
      <c r="J460" s="891"/>
      <c r="K460" s="909">
        <v>3893.083333333333</v>
      </c>
      <c r="L460" s="892"/>
      <c r="M460" s="891"/>
      <c r="N460" s="909">
        <v>3893.083333333333</v>
      </c>
      <c r="O460" s="892"/>
      <c r="P460" s="891"/>
      <c r="Q460" s="909">
        <v>3893.083333333333</v>
      </c>
      <c r="R460" s="892"/>
      <c r="S460" s="891"/>
      <c r="T460" s="909">
        <v>3893.083333333333</v>
      </c>
      <c r="U460" s="892"/>
      <c r="V460" s="891"/>
      <c r="W460" s="909">
        <v>3893.083333333333</v>
      </c>
      <c r="X460" s="892"/>
      <c r="Y460" s="891"/>
      <c r="Z460" s="909">
        <v>3893.083333333333</v>
      </c>
      <c r="AA460" s="892"/>
      <c r="AB460" s="891"/>
      <c r="AC460" s="909">
        <v>3893.083333333333</v>
      </c>
      <c r="AD460" s="892"/>
      <c r="AE460" s="891"/>
      <c r="AF460" s="909">
        <v>3893.083333333333</v>
      </c>
      <c r="AG460" s="892"/>
      <c r="AH460" s="891"/>
      <c r="AI460" s="909">
        <v>3893.083333333333</v>
      </c>
      <c r="AJ460" s="892"/>
      <c r="AK460" s="891"/>
      <c r="AL460" s="909">
        <v>3893.083333333333</v>
      </c>
      <c r="AM460" s="892"/>
      <c r="AN460" s="891"/>
      <c r="AO460" s="909">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41415.000000000007</v>
      </c>
      <c r="F461" s="889"/>
      <c r="G461" s="888"/>
      <c r="H461" s="897">
        <v>3451.2500000000005</v>
      </c>
      <c r="I461" s="889"/>
      <c r="J461" s="888"/>
      <c r="K461" s="897">
        <v>3451.2500000000005</v>
      </c>
      <c r="L461" s="889"/>
      <c r="M461" s="888"/>
      <c r="N461" s="897">
        <v>3451.2500000000005</v>
      </c>
      <c r="O461" s="889"/>
      <c r="P461" s="888"/>
      <c r="Q461" s="897">
        <v>3451.2500000000005</v>
      </c>
      <c r="R461" s="889"/>
      <c r="S461" s="888"/>
      <c r="T461" s="897">
        <v>3451.2500000000005</v>
      </c>
      <c r="U461" s="889"/>
      <c r="V461" s="888"/>
      <c r="W461" s="897">
        <v>3451.2500000000005</v>
      </c>
      <c r="X461" s="889"/>
      <c r="Y461" s="888"/>
      <c r="Z461" s="897">
        <v>3451.2500000000005</v>
      </c>
      <c r="AA461" s="889"/>
      <c r="AB461" s="888"/>
      <c r="AC461" s="897">
        <v>3451.2500000000005</v>
      </c>
      <c r="AD461" s="889"/>
      <c r="AE461" s="888"/>
      <c r="AF461" s="897">
        <v>3451.2500000000005</v>
      </c>
      <c r="AG461" s="889"/>
      <c r="AH461" s="888"/>
      <c r="AI461" s="897">
        <v>3451.2500000000005</v>
      </c>
      <c r="AJ461" s="889"/>
      <c r="AK461" s="888"/>
      <c r="AL461" s="897">
        <v>3451.2500000000005</v>
      </c>
      <c r="AM461" s="889"/>
      <c r="AN461" s="888"/>
      <c r="AO461" s="897">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23363.053879566665</v>
      </c>
      <c r="F463" s="892"/>
      <c r="G463" s="891"/>
      <c r="H463" s="909">
        <v>1946.9211566305551</v>
      </c>
      <c r="I463" s="892"/>
      <c r="J463" s="891"/>
      <c r="K463" s="909">
        <v>1946.9211566305551</v>
      </c>
      <c r="L463" s="892"/>
      <c r="M463" s="891"/>
      <c r="N463" s="909">
        <v>1946.9211566305551</v>
      </c>
      <c r="O463" s="892"/>
      <c r="P463" s="891"/>
      <c r="Q463" s="909">
        <v>1946.9211566305551</v>
      </c>
      <c r="R463" s="892"/>
      <c r="S463" s="891"/>
      <c r="T463" s="909">
        <v>1946.9211566305551</v>
      </c>
      <c r="U463" s="892"/>
      <c r="V463" s="891"/>
      <c r="W463" s="909">
        <v>1946.9211566305551</v>
      </c>
      <c r="X463" s="892"/>
      <c r="Y463" s="891"/>
      <c r="Z463" s="909">
        <v>1946.9211566305551</v>
      </c>
      <c r="AA463" s="892"/>
      <c r="AB463" s="891"/>
      <c r="AC463" s="909">
        <v>1946.9211566305551</v>
      </c>
      <c r="AD463" s="892"/>
      <c r="AE463" s="891"/>
      <c r="AF463" s="909">
        <v>1946.9211566305551</v>
      </c>
      <c r="AG463" s="892"/>
      <c r="AH463" s="891"/>
      <c r="AI463" s="909">
        <v>1946.9211566305551</v>
      </c>
      <c r="AJ463" s="892"/>
      <c r="AK463" s="891"/>
      <c r="AL463" s="909">
        <v>1946.9211566305551</v>
      </c>
      <c r="AM463" s="892"/>
      <c r="AN463" s="891"/>
      <c r="AO463" s="909">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8.1409006735602016E-2</v>
      </c>
      <c r="D469" s="896"/>
      <c r="E469" s="895">
        <v>740364.7738795667</v>
      </c>
      <c r="F469" s="893">
        <v>0.12473228247597319</v>
      </c>
      <c r="G469" s="896"/>
      <c r="H469" s="895">
        <v>61697.064489963894</v>
      </c>
      <c r="I469" s="893">
        <v>0.12797822380105431</v>
      </c>
      <c r="J469" s="896"/>
      <c r="K469" s="895">
        <v>61697.064489963894</v>
      </c>
      <c r="L469" s="893">
        <v>9.0442356231798027E-2</v>
      </c>
      <c r="M469" s="896"/>
      <c r="N469" s="895">
        <v>61697.064489963894</v>
      </c>
      <c r="O469" s="893">
        <v>6.4562232847467302E-2</v>
      </c>
      <c r="P469" s="896"/>
      <c r="Q469" s="895">
        <v>61697.064489963894</v>
      </c>
      <c r="R469" s="893">
        <v>5.9312819553252676E-2</v>
      </c>
      <c r="S469" s="896"/>
      <c r="T469" s="895">
        <v>61697.064489963894</v>
      </c>
      <c r="U469" s="893">
        <v>7.9967854313997694E-2</v>
      </c>
      <c r="V469" s="896"/>
      <c r="W469" s="895">
        <v>61697.064489963894</v>
      </c>
      <c r="X469" s="893">
        <v>8.4629245785104001E-2</v>
      </c>
      <c r="Y469" s="896"/>
      <c r="Z469" s="895">
        <v>61697.064489963894</v>
      </c>
      <c r="AA469" s="893">
        <v>8.2650492219294311E-2</v>
      </c>
      <c r="AB469" s="896"/>
      <c r="AC469" s="895">
        <v>61697.064489963894</v>
      </c>
      <c r="AD469" s="893">
        <v>9.1129998790276154E-2</v>
      </c>
      <c r="AE469" s="896"/>
      <c r="AF469" s="895">
        <v>61697.064489963894</v>
      </c>
      <c r="AG469" s="893">
        <v>6.1691135845274692E-2</v>
      </c>
      <c r="AH469" s="896"/>
      <c r="AI469" s="895">
        <v>61697.064489963894</v>
      </c>
      <c r="AJ469" s="893">
        <v>6.2585039383120974E-2</v>
      </c>
      <c r="AK469" s="896"/>
      <c r="AL469" s="895">
        <v>61697.064489963894</v>
      </c>
      <c r="AM469" s="893">
        <v>0.11647427348776927</v>
      </c>
      <c r="AN469" s="896"/>
      <c r="AO469" s="895">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379600.20152754127</v>
      </c>
      <c r="F470" s="910"/>
      <c r="G470" s="911"/>
      <c r="H470" s="912">
        <v>31633.350127295103</v>
      </c>
      <c r="I470" s="910"/>
      <c r="J470" s="911"/>
      <c r="K470" s="912">
        <v>31633.350127295103</v>
      </c>
      <c r="L470" s="910"/>
      <c r="M470" s="911"/>
      <c r="N470" s="912">
        <v>31633.350127295103</v>
      </c>
      <c r="O470" s="910"/>
      <c r="P470" s="911"/>
      <c r="Q470" s="912">
        <v>31633.350127295103</v>
      </c>
      <c r="R470" s="910"/>
      <c r="S470" s="911"/>
      <c r="T470" s="912">
        <v>31633.350127295103</v>
      </c>
      <c r="U470" s="910"/>
      <c r="V470" s="911"/>
      <c r="W470" s="912">
        <v>31633.350127295103</v>
      </c>
      <c r="X470" s="910"/>
      <c r="Y470" s="911"/>
      <c r="Z470" s="912">
        <v>31633.350127295103</v>
      </c>
      <c r="AA470" s="910"/>
      <c r="AB470" s="911"/>
      <c r="AC470" s="912">
        <v>31633.350127295103</v>
      </c>
      <c r="AD470" s="910"/>
      <c r="AE470" s="911"/>
      <c r="AF470" s="912">
        <v>31633.350127295103</v>
      </c>
      <c r="AG470" s="910"/>
      <c r="AH470" s="911"/>
      <c r="AI470" s="912">
        <v>31633.350127295103</v>
      </c>
      <c r="AJ470" s="910"/>
      <c r="AK470" s="911"/>
      <c r="AL470" s="912">
        <v>31633.350127295103</v>
      </c>
      <c r="AM470" s="910"/>
      <c r="AN470" s="911"/>
      <c r="AO470" s="912">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0.90823623415939925</v>
      </c>
      <c r="D471" s="896"/>
      <c r="E471" s="895">
        <v>8259849.1382721364</v>
      </c>
      <c r="F471" s="893">
        <v>1.197473274704544</v>
      </c>
      <c r="G471" s="896"/>
      <c r="H471" s="895">
        <v>592313.26796802506</v>
      </c>
      <c r="I471" s="893">
        <v>1.2308237590936664</v>
      </c>
      <c r="J471" s="896"/>
      <c r="K471" s="895">
        <v>593368.23551036126</v>
      </c>
      <c r="L471" s="893">
        <v>1.0350807319241866</v>
      </c>
      <c r="M471" s="896"/>
      <c r="N471" s="895">
        <v>706101.04966939089</v>
      </c>
      <c r="O471" s="893">
        <v>0.76867927328020491</v>
      </c>
      <c r="P471" s="896"/>
      <c r="Q471" s="895">
        <v>734566.51983695792</v>
      </c>
      <c r="R471" s="893">
        <v>0.76884341478437046</v>
      </c>
      <c r="S471" s="896"/>
      <c r="T471" s="895">
        <v>799749.2296255884</v>
      </c>
      <c r="U471" s="893">
        <v>0.87901929080527874</v>
      </c>
      <c r="V471" s="896"/>
      <c r="W471" s="895">
        <v>678183.88198572176</v>
      </c>
      <c r="X471" s="893">
        <v>0.91526378029498845</v>
      </c>
      <c r="Y471" s="896"/>
      <c r="Z471" s="895">
        <v>667252.64953415713</v>
      </c>
      <c r="AA471" s="893">
        <v>0.95841183855640089</v>
      </c>
      <c r="AB471" s="896"/>
      <c r="AC471" s="895">
        <v>715436.71941442194</v>
      </c>
      <c r="AD471" s="893">
        <v>0.97336227405396947</v>
      </c>
      <c r="AE471" s="896"/>
      <c r="AF471" s="895">
        <v>658988.21235157922</v>
      </c>
      <c r="AG471" s="893">
        <v>0.74198318884719661</v>
      </c>
      <c r="AH471" s="896"/>
      <c r="AI471" s="895">
        <v>742054.49495352397</v>
      </c>
      <c r="AJ471" s="893">
        <v>0.78826176008102111</v>
      </c>
      <c r="AK471" s="896"/>
      <c r="AL471" s="895">
        <v>777077.67105452227</v>
      </c>
      <c r="AM471" s="893">
        <v>1.1228072856624074</v>
      </c>
      <c r="AN471" s="896"/>
      <c r="AO471" s="895">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88391.43</v>
      </c>
      <c r="F472" s="913"/>
      <c r="G472" s="914"/>
      <c r="H472" s="915">
        <v>0</v>
      </c>
      <c r="I472" s="913"/>
      <c r="J472" s="914"/>
      <c r="K472" s="915">
        <v>0</v>
      </c>
      <c r="L472" s="913"/>
      <c r="M472" s="914"/>
      <c r="N472" s="915">
        <v>22097.857499999998</v>
      </c>
      <c r="O472" s="913"/>
      <c r="P472" s="914"/>
      <c r="Q472" s="915">
        <v>0</v>
      </c>
      <c r="R472" s="913"/>
      <c r="S472" s="914"/>
      <c r="T472" s="915">
        <v>0</v>
      </c>
      <c r="U472" s="913"/>
      <c r="V472" s="914"/>
      <c r="W472" s="915">
        <v>22097.857499999998</v>
      </c>
      <c r="X472" s="913"/>
      <c r="Y472" s="914"/>
      <c r="Z472" s="915">
        <v>0</v>
      </c>
      <c r="AA472" s="913"/>
      <c r="AB472" s="914"/>
      <c r="AC472" s="915">
        <v>0</v>
      </c>
      <c r="AD472" s="913"/>
      <c r="AE472" s="914"/>
      <c r="AF472" s="915">
        <v>22097.857499999998</v>
      </c>
      <c r="AG472" s="913"/>
      <c r="AH472" s="914"/>
      <c r="AI472" s="915">
        <v>0</v>
      </c>
      <c r="AJ472" s="913"/>
      <c r="AK472" s="914"/>
      <c r="AL472" s="915">
        <v>0</v>
      </c>
      <c r="AM472" s="913"/>
      <c r="AN472" s="914"/>
      <c r="AO472" s="915">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911504.31324615923</v>
      </c>
      <c r="F473" s="916"/>
      <c r="G473" s="917"/>
      <c r="H473" s="886">
        <v>43066.288712401452</v>
      </c>
      <c r="I473" s="916"/>
      <c r="J473" s="917"/>
      <c r="K473" s="886">
        <v>43066.288712401452</v>
      </c>
      <c r="L473" s="916"/>
      <c r="M473" s="917"/>
      <c r="N473" s="886">
        <v>63098.425611850726</v>
      </c>
      <c r="O473" s="916"/>
      <c r="P473" s="917"/>
      <c r="Q473" s="886">
        <v>93286.91203174906</v>
      </c>
      <c r="R473" s="916"/>
      <c r="S473" s="917"/>
      <c r="T473" s="886">
        <v>107806.00285172804</v>
      </c>
      <c r="U473" s="916"/>
      <c r="V473" s="917"/>
      <c r="W473" s="886">
        <v>82906.112798140894</v>
      </c>
      <c r="X473" s="916"/>
      <c r="Y473" s="917"/>
      <c r="Z473" s="886">
        <v>73114.494061575373</v>
      </c>
      <c r="AA473" s="916"/>
      <c r="AB473" s="917"/>
      <c r="AC473" s="886">
        <v>83411.12465274884</v>
      </c>
      <c r="AD473" s="916"/>
      <c r="AE473" s="917"/>
      <c r="AF473" s="886">
        <v>73226.718918154904</v>
      </c>
      <c r="AG473" s="916"/>
      <c r="AH473" s="917"/>
      <c r="AI473" s="886">
        <v>112505.4187209966</v>
      </c>
      <c r="AJ473" s="916"/>
      <c r="AK473" s="917"/>
      <c r="AL473" s="886">
        <v>92950.237462010438</v>
      </c>
      <c r="AM473" s="916"/>
      <c r="AN473" s="917"/>
      <c r="AO473" s="886">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3860</v>
      </c>
      <c r="C474" s="916"/>
      <c r="D474" s="917"/>
      <c r="E474" s="886">
        <v>80000</v>
      </c>
      <c r="F474" s="916"/>
      <c r="G474" s="917"/>
      <c r="H474" s="886">
        <v>0</v>
      </c>
      <c r="I474" s="916"/>
      <c r="J474" s="917"/>
      <c r="K474" s="886">
        <v>0</v>
      </c>
      <c r="L474" s="916"/>
      <c r="M474" s="917"/>
      <c r="N474" s="886">
        <v>20000</v>
      </c>
      <c r="O474" s="916"/>
      <c r="P474" s="917"/>
      <c r="Q474" s="886">
        <v>0</v>
      </c>
      <c r="R474" s="916"/>
      <c r="S474" s="917"/>
      <c r="T474" s="886">
        <v>0</v>
      </c>
      <c r="U474" s="916"/>
      <c r="V474" s="917"/>
      <c r="W474" s="886">
        <v>20000</v>
      </c>
      <c r="X474" s="916"/>
      <c r="Y474" s="917"/>
      <c r="Z474" s="886">
        <v>0</v>
      </c>
      <c r="AA474" s="916"/>
      <c r="AB474" s="917"/>
      <c r="AC474" s="886">
        <v>0</v>
      </c>
      <c r="AD474" s="916"/>
      <c r="AE474" s="917"/>
      <c r="AF474" s="886">
        <v>20000</v>
      </c>
      <c r="AG474" s="916"/>
      <c r="AH474" s="917"/>
      <c r="AI474" s="886">
        <v>0</v>
      </c>
      <c r="AJ474" s="916"/>
      <c r="AK474" s="917"/>
      <c r="AL474" s="886">
        <v>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516691.982625</v>
      </c>
      <c r="F483" s="918"/>
      <c r="G483" s="917"/>
      <c r="H483" s="886">
        <v>27381.128000000001</v>
      </c>
      <c r="I483" s="918"/>
      <c r="J483" s="917"/>
      <c r="K483" s="886">
        <v>27763.923374999998</v>
      </c>
      <c r="L483" s="918"/>
      <c r="M483" s="917"/>
      <c r="N483" s="886">
        <v>40110.555625000001</v>
      </c>
      <c r="O483" s="918"/>
      <c r="P483" s="917"/>
      <c r="Q483" s="886">
        <v>51787.592249999994</v>
      </c>
      <c r="R483" s="918"/>
      <c r="S483" s="917"/>
      <c r="T483" s="886">
        <v>56736.674249999989</v>
      </c>
      <c r="U483" s="918"/>
      <c r="V483" s="917"/>
      <c r="W483" s="886">
        <v>46901.321874999994</v>
      </c>
      <c r="X483" s="918"/>
      <c r="Y483" s="917"/>
      <c r="Z483" s="886">
        <v>42536.506500000003</v>
      </c>
      <c r="AA483" s="918"/>
      <c r="AB483" s="917"/>
      <c r="AC483" s="886">
        <v>46930.95</v>
      </c>
      <c r="AD483" s="918"/>
      <c r="AE483" s="917"/>
      <c r="AF483" s="886">
        <v>43481.051124999998</v>
      </c>
      <c r="AG483" s="918"/>
      <c r="AH483" s="917"/>
      <c r="AI483" s="886">
        <v>55679.542749999993</v>
      </c>
      <c r="AJ483" s="918"/>
      <c r="AK483" s="917"/>
      <c r="AL483" s="886">
        <v>49034.546875</v>
      </c>
      <c r="AM483" s="918"/>
      <c r="AN483" s="917"/>
      <c r="AO483" s="886">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0.17555754340976745</v>
      </c>
      <c r="D484" s="919"/>
      <c r="E484" s="895">
        <v>1596587.7258711592</v>
      </c>
      <c r="F484" s="893">
        <v>0.14242277414192409</v>
      </c>
      <c r="G484" s="919"/>
      <c r="H484" s="895">
        <v>70447.416712401449</v>
      </c>
      <c r="I484" s="893">
        <v>0.14692311229608243</v>
      </c>
      <c r="J484" s="919"/>
      <c r="K484" s="895">
        <v>70830.212087401451</v>
      </c>
      <c r="L484" s="893">
        <v>0.21300677723641848</v>
      </c>
      <c r="M484" s="919"/>
      <c r="N484" s="895">
        <v>145306.83873685074</v>
      </c>
      <c r="O484" s="893">
        <v>0.15181166240401553</v>
      </c>
      <c r="P484" s="919"/>
      <c r="Q484" s="895">
        <v>145074.50428174905</v>
      </c>
      <c r="R484" s="893">
        <v>0.15818402701041745</v>
      </c>
      <c r="S484" s="919"/>
      <c r="T484" s="895">
        <v>164542.67710172804</v>
      </c>
      <c r="U484" s="893">
        <v>0.22281282705991809</v>
      </c>
      <c r="V484" s="919"/>
      <c r="W484" s="895">
        <v>171905.29217314089</v>
      </c>
      <c r="X484" s="893">
        <v>0.158637319825984</v>
      </c>
      <c r="Y484" s="919"/>
      <c r="Z484" s="895">
        <v>115651.00056157538</v>
      </c>
      <c r="AA484" s="893">
        <v>0.17460857685840281</v>
      </c>
      <c r="AB484" s="919"/>
      <c r="AC484" s="895">
        <v>130342.07465274884</v>
      </c>
      <c r="AD484" s="893">
        <v>0.23456475223794268</v>
      </c>
      <c r="AE484" s="919"/>
      <c r="AF484" s="895">
        <v>158805.6275431549</v>
      </c>
      <c r="AG484" s="893">
        <v>0.16816880010437615</v>
      </c>
      <c r="AH484" s="919"/>
      <c r="AI484" s="895">
        <v>168184.96147099661</v>
      </c>
      <c r="AJ484" s="893">
        <v>0.14402830009815493</v>
      </c>
      <c r="AK484" s="919"/>
      <c r="AL484" s="895">
        <v>141984.78433701044</v>
      </c>
      <c r="AM484" s="893">
        <v>0.21429328934101122</v>
      </c>
      <c r="AN484" s="919"/>
      <c r="AO484" s="895">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226956.17387956666</v>
      </c>
      <c r="F485" s="920"/>
      <c r="G485" s="921"/>
      <c r="H485" s="922">
        <v>18913.014489963891</v>
      </c>
      <c r="I485" s="920"/>
      <c r="J485" s="921"/>
      <c r="K485" s="922">
        <v>18913.014489963891</v>
      </c>
      <c r="L485" s="920"/>
      <c r="M485" s="921"/>
      <c r="N485" s="922">
        <v>18913.014489963891</v>
      </c>
      <c r="O485" s="920"/>
      <c r="P485" s="921"/>
      <c r="Q485" s="922">
        <v>18913.014489963891</v>
      </c>
      <c r="R485" s="920"/>
      <c r="S485" s="921"/>
      <c r="T485" s="922">
        <v>18913.014489963891</v>
      </c>
      <c r="U485" s="920"/>
      <c r="V485" s="921"/>
      <c r="W485" s="922">
        <v>18913.014489963891</v>
      </c>
      <c r="X485" s="920"/>
      <c r="Y485" s="921"/>
      <c r="Z485" s="922">
        <v>18913.014489963891</v>
      </c>
      <c r="AA485" s="920"/>
      <c r="AB485" s="921"/>
      <c r="AC485" s="922">
        <v>18913.014489963891</v>
      </c>
      <c r="AD485" s="920"/>
      <c r="AE485" s="921"/>
      <c r="AF485" s="922">
        <v>18913.014489963891</v>
      </c>
      <c r="AG485" s="920"/>
      <c r="AH485" s="921"/>
      <c r="AI485" s="922">
        <v>18913.014489963891</v>
      </c>
      <c r="AJ485" s="920"/>
      <c r="AK485" s="921"/>
      <c r="AL485" s="922">
        <v>18913.014489963891</v>
      </c>
      <c r="AM485" s="920"/>
      <c r="AN485" s="921"/>
      <c r="AO485" s="922">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3.7839878939818813E-2</v>
      </c>
      <c r="E486" s="925">
        <v>2431122.6559872241</v>
      </c>
      <c r="F486" s="926" t="s">
        <v>219</v>
      </c>
      <c r="G486" s="927">
        <v>-7.7517324450352004E-3</v>
      </c>
      <c r="H486" s="928">
        <v>-27229.953753720547</v>
      </c>
      <c r="I486" s="926" t="s">
        <v>219</v>
      </c>
      <c r="J486" s="927">
        <v>-1.1628299094678841E-2</v>
      </c>
      <c r="K486" s="928">
        <v>-40447.690727971873</v>
      </c>
      <c r="L486" s="926" t="s">
        <v>219</v>
      </c>
      <c r="M486" s="927">
        <v>2.4386100364430209E-2</v>
      </c>
      <c r="N486" s="928">
        <v>121375.81493275493</v>
      </c>
      <c r="O486" s="926" t="s">
        <v>219</v>
      </c>
      <c r="P486" s="927">
        <v>5.6535903320137151E-2</v>
      </c>
      <c r="Q486" s="928">
        <v>366129.58811093809</v>
      </c>
      <c r="R486" s="926" t="s">
        <v>219</v>
      </c>
      <c r="S486" s="927">
        <v>5.7402282311642572E-2</v>
      </c>
      <c r="T486" s="928">
        <v>404991.24880592769</v>
      </c>
      <c r="U486" s="926" t="s">
        <v>219</v>
      </c>
      <c r="V486" s="927">
        <v>4.626714380992282E-2</v>
      </c>
      <c r="W486" s="928">
        <v>265244.73064200266</v>
      </c>
      <c r="X486" s="926" t="s">
        <v>219</v>
      </c>
      <c r="Y486" s="927">
        <v>3.3710203268551064E-2</v>
      </c>
      <c r="Z486" s="928">
        <v>177426.05200243377</v>
      </c>
      <c r="AA486" s="926" t="s">
        <v>219</v>
      </c>
      <c r="AB486" s="927">
        <v>2.8560334279228036E-2</v>
      </c>
      <c r="AC486" s="928">
        <v>161386.86833403533</v>
      </c>
      <c r="AD486" s="926" t="s">
        <v>219</v>
      </c>
      <c r="AE486" s="927">
        <v>3.3949198082982739E-2</v>
      </c>
      <c r="AF486" s="928">
        <v>176839.9687850599</v>
      </c>
      <c r="AG486" s="926" t="s">
        <v>219</v>
      </c>
      <c r="AH486" s="927">
        <v>6.1482228605501461E-2</v>
      </c>
      <c r="AI486" s="928">
        <v>426226.56856856914</v>
      </c>
      <c r="AJ486" s="926" t="s">
        <v>219</v>
      </c>
      <c r="AK486" s="927">
        <v>5.5414191716182302E-2</v>
      </c>
      <c r="AL486" s="928">
        <v>350718.820011292</v>
      </c>
      <c r="AM486" s="926" t="s">
        <v>219</v>
      </c>
      <c r="AN486" s="927">
        <v>1.3348407892527062E-2</v>
      </c>
      <c r="AO486" s="928">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3.7839878939818813E-2</v>
      </c>
      <c r="E492" s="932">
        <v>2431122.6559872241</v>
      </c>
      <c r="F492" s="933" t="s">
        <v>219</v>
      </c>
      <c r="G492" s="931">
        <v>-7.7517324450352004E-3</v>
      </c>
      <c r="H492" s="934">
        <v>-27229.953753720547</v>
      </c>
      <c r="I492" s="933" t="s">
        <v>219</v>
      </c>
      <c r="J492" s="931">
        <v>-1.1628299094678841E-2</v>
      </c>
      <c r="K492" s="934">
        <v>-40447.690727971873</v>
      </c>
      <c r="L492" s="933" t="s">
        <v>219</v>
      </c>
      <c r="M492" s="931">
        <v>2.4386100364430209E-2</v>
      </c>
      <c r="N492" s="934">
        <v>121375.81493275493</v>
      </c>
      <c r="O492" s="933" t="s">
        <v>219</v>
      </c>
      <c r="P492" s="931">
        <v>5.6535903320137151E-2</v>
      </c>
      <c r="Q492" s="934">
        <v>366129.58811093809</v>
      </c>
      <c r="R492" s="933" t="s">
        <v>219</v>
      </c>
      <c r="S492" s="931">
        <v>5.7402282311642572E-2</v>
      </c>
      <c r="T492" s="934">
        <v>404991.24880592769</v>
      </c>
      <c r="U492" s="933" t="s">
        <v>219</v>
      </c>
      <c r="V492" s="931">
        <v>4.626714380992282E-2</v>
      </c>
      <c r="W492" s="934">
        <v>265244.73064200266</v>
      </c>
      <c r="X492" s="933" t="s">
        <v>219</v>
      </c>
      <c r="Y492" s="931">
        <v>3.3710203268551064E-2</v>
      </c>
      <c r="Z492" s="934">
        <v>177426.05200243377</v>
      </c>
      <c r="AA492" s="933" t="s">
        <v>219</v>
      </c>
      <c r="AB492" s="931">
        <v>2.8560334279228036E-2</v>
      </c>
      <c r="AC492" s="934">
        <v>161386.86833403533</v>
      </c>
      <c r="AD492" s="933" t="s">
        <v>219</v>
      </c>
      <c r="AE492" s="931">
        <v>3.3949198082982739E-2</v>
      </c>
      <c r="AF492" s="934">
        <v>176839.9687850599</v>
      </c>
      <c r="AG492" s="933" t="s">
        <v>219</v>
      </c>
      <c r="AH492" s="931">
        <v>6.1482228605501461E-2</v>
      </c>
      <c r="AI492" s="934">
        <v>426226.56856856914</v>
      </c>
      <c r="AJ492" s="933" t="s">
        <v>219</v>
      </c>
      <c r="AK492" s="931">
        <v>5.5414191716182302E-2</v>
      </c>
      <c r="AL492" s="934">
        <v>350718.820011292</v>
      </c>
      <c r="AM492" s="933" t="s">
        <v>219</v>
      </c>
      <c r="AN492" s="931">
        <v>1.3348407892527062E-2</v>
      </c>
      <c r="AO492" s="934">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245779.99999999994</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34648.333333333328</v>
      </c>
      <c r="AA494" s="889"/>
      <c r="AB494" s="888"/>
      <c r="AC494" s="897">
        <v>34648.333333333328</v>
      </c>
      <c r="AD494" s="889"/>
      <c r="AE494" s="888"/>
      <c r="AF494" s="897">
        <v>34648.333333333328</v>
      </c>
      <c r="AG494" s="889"/>
      <c r="AH494" s="888"/>
      <c r="AI494" s="897">
        <v>34648.333333333328</v>
      </c>
      <c r="AJ494" s="889"/>
      <c r="AK494" s="888"/>
      <c r="AL494" s="897">
        <v>34648.333333333328</v>
      </c>
      <c r="AM494" s="889"/>
      <c r="AN494" s="888"/>
      <c r="AO494" s="897">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3866</v>
      </c>
      <c r="C499" s="810"/>
      <c r="D499" s="810"/>
      <c r="E499" s="938">
        <v>-55999.999999999993</v>
      </c>
      <c r="F499" s="941"/>
      <c r="G499" s="810"/>
      <c r="H499" s="886">
        <v>-4666.666666666667</v>
      </c>
      <c r="I499" s="941"/>
      <c r="J499" s="810"/>
      <c r="K499" s="886">
        <v>-4666.666666666667</v>
      </c>
      <c r="L499" s="941"/>
      <c r="M499" s="810"/>
      <c r="N499" s="886">
        <v>-4666.666666666667</v>
      </c>
      <c r="O499" s="941"/>
      <c r="P499" s="810"/>
      <c r="Q499" s="886">
        <v>-4666.666666666667</v>
      </c>
      <c r="R499" s="941"/>
      <c r="S499" s="810"/>
      <c r="T499" s="886">
        <v>-4666.666666666667</v>
      </c>
      <c r="U499" s="941"/>
      <c r="V499" s="810"/>
      <c r="W499" s="886">
        <v>-4666.666666666667</v>
      </c>
      <c r="X499" s="941"/>
      <c r="Y499" s="810"/>
      <c r="Z499" s="886">
        <v>-4666.666666666667</v>
      </c>
      <c r="AA499" s="941"/>
      <c r="AB499" s="810"/>
      <c r="AC499" s="886">
        <v>-4666.666666666667</v>
      </c>
      <c r="AD499" s="941"/>
      <c r="AE499" s="810"/>
      <c r="AF499" s="886">
        <v>-4666.666666666667</v>
      </c>
      <c r="AG499" s="941"/>
      <c r="AH499" s="810"/>
      <c r="AI499" s="886">
        <v>-4666.666666666667</v>
      </c>
      <c r="AJ499" s="941"/>
      <c r="AK499" s="810"/>
      <c r="AL499" s="886">
        <v>-4666.666666666667</v>
      </c>
      <c r="AM499" s="941"/>
      <c r="AN499" s="810"/>
      <c r="AO499" s="886">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3.4885995799651758E-2</v>
      </c>
      <c r="E501" s="944">
        <v>2241342.6559872241</v>
      </c>
      <c r="F501" s="945" t="s">
        <v>219</v>
      </c>
      <c r="G501" s="943">
        <v>-8.2209744825280911E-3</v>
      </c>
      <c r="H501" s="946">
        <v>-28878.287087053879</v>
      </c>
      <c r="I501" s="945" t="s">
        <v>219</v>
      </c>
      <c r="J501" s="943">
        <v>-1.2102178138519375E-2</v>
      </c>
      <c r="K501" s="946">
        <v>-42096.024061305208</v>
      </c>
      <c r="L501" s="945" t="s">
        <v>219</v>
      </c>
      <c r="M501" s="943">
        <v>2.4054927122685369E-2</v>
      </c>
      <c r="N501" s="946">
        <v>119727.4815994216</v>
      </c>
      <c r="O501" s="945" t="s">
        <v>219</v>
      </c>
      <c r="P501" s="943">
        <v>5.6281375915090456E-2</v>
      </c>
      <c r="Q501" s="946">
        <v>364481.25477760477</v>
      </c>
      <c r="R501" s="945" t="s">
        <v>219</v>
      </c>
      <c r="S501" s="943">
        <v>5.7168652336618025E-2</v>
      </c>
      <c r="T501" s="946">
        <v>403342.91547259438</v>
      </c>
      <c r="U501" s="945" t="s">
        <v>219</v>
      </c>
      <c r="V501" s="943">
        <v>4.5979621885564766E-2</v>
      </c>
      <c r="W501" s="946">
        <v>263596.39730866934</v>
      </c>
      <c r="X501" s="945" t="s">
        <v>219</v>
      </c>
      <c r="Y501" s="943">
        <v>2.8013812765258956E-2</v>
      </c>
      <c r="Z501" s="946">
        <v>147444.38533576709</v>
      </c>
      <c r="AA501" s="945" t="s">
        <v>219</v>
      </c>
      <c r="AB501" s="943">
        <v>2.3254534426441605E-2</v>
      </c>
      <c r="AC501" s="946">
        <v>131405.20166736867</v>
      </c>
      <c r="AD501" s="945" t="s">
        <v>219</v>
      </c>
      <c r="AE501" s="943">
        <v>2.8193409120127976E-2</v>
      </c>
      <c r="AF501" s="946">
        <v>146858.30211839321</v>
      </c>
      <c r="AG501" s="945" t="s">
        <v>219</v>
      </c>
      <c r="AH501" s="943">
        <v>5.7157440288891879E-2</v>
      </c>
      <c r="AI501" s="946">
        <v>396244.90190190251</v>
      </c>
      <c r="AJ501" s="945" t="s">
        <v>219</v>
      </c>
      <c r="AK501" s="943">
        <v>5.0677035539094785E-2</v>
      </c>
      <c r="AL501" s="946">
        <v>320737.15334462537</v>
      </c>
      <c r="AM501" s="945" t="s">
        <v>219</v>
      </c>
      <c r="AN501" s="943">
        <v>5.0900045019417646E-3</v>
      </c>
      <c r="AO501" s="946">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3870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2023</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46883613.60999997</v>
      </c>
      <c r="F8" s="735"/>
      <c r="G8" s="736"/>
      <c r="H8" s="738">
        <v>2000310.4399999899</v>
      </c>
      <c r="I8" s="735"/>
      <c r="J8" s="736"/>
      <c r="K8" s="738">
        <v>1303139.55999999</v>
      </c>
      <c r="L8" s="735"/>
      <c r="M8" s="736"/>
      <c r="N8" s="738">
        <v>2316528.27999999</v>
      </c>
      <c r="O8" s="735"/>
      <c r="P8" s="736"/>
      <c r="Q8" s="738">
        <v>1765866.96</v>
      </c>
      <c r="R8" s="735"/>
      <c r="S8" s="736"/>
      <c r="T8" s="738">
        <v>2808157.66</v>
      </c>
      <c r="U8" s="735"/>
      <c r="V8" s="736"/>
      <c r="W8" s="738">
        <v>2851329.31</v>
      </c>
      <c r="X8" s="735"/>
      <c r="Y8" s="736"/>
      <c r="Z8" s="738">
        <v>2122186.91</v>
      </c>
      <c r="AA8" s="735"/>
      <c r="AB8" s="736"/>
      <c r="AC8" s="738">
        <v>2567524.5099999998</v>
      </c>
      <c r="AD8" s="735"/>
      <c r="AE8" s="736"/>
      <c r="AF8" s="738">
        <v>2612584.64</v>
      </c>
      <c r="AG8" s="735"/>
      <c r="AH8" s="736"/>
      <c r="AI8" s="738">
        <v>8285274.8799999999</v>
      </c>
      <c r="AJ8" s="735"/>
      <c r="AK8" s="736"/>
      <c r="AL8" s="738">
        <v>10151414.289999999</v>
      </c>
      <c r="AM8" s="735"/>
      <c r="AN8" s="736"/>
      <c r="AO8" s="738">
        <v>8099296.1699999999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160</v>
      </c>
      <c r="D9" s="740">
        <v>2077.4208749999957</v>
      </c>
      <c r="E9" s="741">
        <v>332387.33999999933</v>
      </c>
      <c r="F9" s="742">
        <v>14</v>
      </c>
      <c r="G9" s="740">
        <v>1585.0142857142785</v>
      </c>
      <c r="H9" s="743">
        <v>22190.199999999899</v>
      </c>
      <c r="I9" s="742">
        <v>3</v>
      </c>
      <c r="J9" s="740">
        <v>908.03333333333001</v>
      </c>
      <c r="K9" s="743">
        <v>2724.0999999999899</v>
      </c>
      <c r="L9" s="742">
        <v>9</v>
      </c>
      <c r="M9" s="740">
        <v>2223.0811111111002</v>
      </c>
      <c r="N9" s="743">
        <v>20007.729999999901</v>
      </c>
      <c r="O9" s="742">
        <v>12</v>
      </c>
      <c r="P9" s="740">
        <v>2975.6024999999918</v>
      </c>
      <c r="Q9" s="743">
        <v>35707.229999999901</v>
      </c>
      <c r="R9" s="742">
        <v>12</v>
      </c>
      <c r="S9" s="740">
        <v>2048.0299999999916</v>
      </c>
      <c r="T9" s="743">
        <v>24576.359999999899</v>
      </c>
      <c r="U9" s="742">
        <v>16</v>
      </c>
      <c r="V9" s="740">
        <v>2103.44875</v>
      </c>
      <c r="W9" s="743">
        <v>33655.18</v>
      </c>
      <c r="X9" s="742">
        <v>12</v>
      </c>
      <c r="Y9" s="740">
        <v>1882.1941666666669</v>
      </c>
      <c r="Z9" s="743">
        <v>22586.33</v>
      </c>
      <c r="AA9" s="742">
        <v>21</v>
      </c>
      <c r="AB9" s="740">
        <v>2336.3823809523715</v>
      </c>
      <c r="AC9" s="743">
        <v>49064.029999999802</v>
      </c>
      <c r="AD9" s="742">
        <v>17</v>
      </c>
      <c r="AE9" s="740">
        <v>1804.1035294117589</v>
      </c>
      <c r="AF9" s="743">
        <v>30669.7599999999</v>
      </c>
      <c r="AG9" s="742">
        <v>14</v>
      </c>
      <c r="AH9" s="740">
        <v>2125.1657142857143</v>
      </c>
      <c r="AI9" s="743">
        <v>29752.32</v>
      </c>
      <c r="AJ9" s="742">
        <v>18</v>
      </c>
      <c r="AK9" s="740">
        <v>2139.7994444444444</v>
      </c>
      <c r="AL9" s="743">
        <v>38516.39</v>
      </c>
      <c r="AM9" s="742">
        <v>12</v>
      </c>
      <c r="AN9" s="740">
        <v>1911.4758333333332</v>
      </c>
      <c r="AO9" s="743">
        <v>22937.71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402</v>
      </c>
      <c r="D10" s="740">
        <v>2485.1099751243746</v>
      </c>
      <c r="E10" s="741">
        <v>999014.20999999857</v>
      </c>
      <c r="F10" s="742">
        <v>28</v>
      </c>
      <c r="G10" s="740">
        <v>2112.1560714285747</v>
      </c>
      <c r="H10" s="743">
        <v>59140.370000000097</v>
      </c>
      <c r="I10" s="742">
        <v>19</v>
      </c>
      <c r="J10" s="740">
        <v>2501.8715789473681</v>
      </c>
      <c r="K10" s="743">
        <v>47535.56</v>
      </c>
      <c r="L10" s="742">
        <v>29</v>
      </c>
      <c r="M10" s="740">
        <v>2831.0634482758551</v>
      </c>
      <c r="N10" s="743">
        <v>82100.839999999793</v>
      </c>
      <c r="O10" s="742">
        <v>16</v>
      </c>
      <c r="P10" s="740">
        <v>2481.2724999999937</v>
      </c>
      <c r="Q10" s="743">
        <v>39700.359999999899</v>
      </c>
      <c r="R10" s="742">
        <v>34</v>
      </c>
      <c r="S10" s="740">
        <v>2504.176764705885</v>
      </c>
      <c r="T10" s="743">
        <v>85142.010000000097</v>
      </c>
      <c r="U10" s="742">
        <v>39</v>
      </c>
      <c r="V10" s="740">
        <v>2445.2556410256461</v>
      </c>
      <c r="W10" s="743">
        <v>95364.970000000205</v>
      </c>
      <c r="X10" s="742">
        <v>24</v>
      </c>
      <c r="Y10" s="740">
        <v>2577.0195833333291</v>
      </c>
      <c r="Z10" s="743">
        <v>61848.469999999899</v>
      </c>
      <c r="AA10" s="742">
        <v>22</v>
      </c>
      <c r="AB10" s="740">
        <v>2712.29</v>
      </c>
      <c r="AC10" s="743">
        <v>59670.38</v>
      </c>
      <c r="AD10" s="742">
        <v>36</v>
      </c>
      <c r="AE10" s="740">
        <v>2493.9233333333304</v>
      </c>
      <c r="AF10" s="743">
        <v>89781.239999999903</v>
      </c>
      <c r="AG10" s="742">
        <v>45</v>
      </c>
      <c r="AH10" s="740">
        <v>2647.1666666666442</v>
      </c>
      <c r="AI10" s="743">
        <v>119122.499999999</v>
      </c>
      <c r="AJ10" s="742">
        <v>71</v>
      </c>
      <c r="AK10" s="740">
        <v>2320.1190140845074</v>
      </c>
      <c r="AL10" s="743">
        <v>164728.45000000001</v>
      </c>
      <c r="AM10" s="742">
        <v>39</v>
      </c>
      <c r="AN10" s="740">
        <v>2432.7964102564051</v>
      </c>
      <c r="AO10" s="743">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562</v>
      </c>
      <c r="D16" s="745">
        <v>2369.0419039145872</v>
      </c>
      <c r="E16" s="746">
        <v>1331401.549999998</v>
      </c>
      <c r="F16" s="744">
        <v>42</v>
      </c>
      <c r="G16" s="745">
        <v>1936.4421428571427</v>
      </c>
      <c r="H16" s="746">
        <v>81330.569999999992</v>
      </c>
      <c r="I16" s="744">
        <v>22</v>
      </c>
      <c r="J16" s="745">
        <v>2284.5299999999993</v>
      </c>
      <c r="K16" s="746">
        <v>50259.659999999989</v>
      </c>
      <c r="L16" s="744">
        <v>38</v>
      </c>
      <c r="M16" s="745">
        <v>2687.0676315789392</v>
      </c>
      <c r="N16" s="746">
        <v>102108.56999999969</v>
      </c>
      <c r="O16" s="744">
        <v>28</v>
      </c>
      <c r="P16" s="745">
        <v>2693.1282142857067</v>
      </c>
      <c r="Q16" s="746">
        <v>75407.589999999793</v>
      </c>
      <c r="R16" s="744">
        <v>46</v>
      </c>
      <c r="S16" s="745">
        <v>2385.1819565217388</v>
      </c>
      <c r="T16" s="746">
        <v>109718.37</v>
      </c>
      <c r="U16" s="744">
        <v>55</v>
      </c>
      <c r="V16" s="745">
        <v>2345.8209090909127</v>
      </c>
      <c r="W16" s="746">
        <v>129020.1500000002</v>
      </c>
      <c r="X16" s="744">
        <v>36</v>
      </c>
      <c r="Y16" s="745">
        <v>2345.4111111111083</v>
      </c>
      <c r="Z16" s="746">
        <v>84434.799999999901</v>
      </c>
      <c r="AA16" s="744">
        <v>43</v>
      </c>
      <c r="AB16" s="745">
        <v>2528.7072093023207</v>
      </c>
      <c r="AC16" s="746">
        <v>108734.4099999998</v>
      </c>
      <c r="AD16" s="744">
        <v>53</v>
      </c>
      <c r="AE16" s="745">
        <v>2272.6603773584866</v>
      </c>
      <c r="AF16" s="746">
        <v>120450.9999999998</v>
      </c>
      <c r="AG16" s="744">
        <v>59</v>
      </c>
      <c r="AH16" s="745">
        <v>2523.3020338982878</v>
      </c>
      <c r="AI16" s="746">
        <v>148874.81999999899</v>
      </c>
      <c r="AJ16" s="744">
        <v>89</v>
      </c>
      <c r="AK16" s="745">
        <v>2283.6498876404498</v>
      </c>
      <c r="AL16" s="746">
        <v>203244.84000000003</v>
      </c>
      <c r="AM16" s="744">
        <v>51</v>
      </c>
      <c r="AN16" s="745">
        <v>2310.1327450980352</v>
      </c>
      <c r="AO16" s="746">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42</v>
      </c>
      <c r="D18" s="750">
        <v>2481.1169047619005</v>
      </c>
      <c r="E18" s="751">
        <v>104206.90999999983</v>
      </c>
      <c r="F18" s="752">
        <v>3</v>
      </c>
      <c r="G18" s="750">
        <v>6274.7466666666669</v>
      </c>
      <c r="H18" s="753">
        <v>18824.240000000002</v>
      </c>
      <c r="I18" s="752">
        <v>2</v>
      </c>
      <c r="J18" s="750">
        <v>5044.2700000000004</v>
      </c>
      <c r="K18" s="753">
        <v>10088.540000000001</v>
      </c>
      <c r="L18" s="752">
        <v>8</v>
      </c>
      <c r="M18" s="750">
        <v>3142.5462499999876</v>
      </c>
      <c r="N18" s="753">
        <v>25140.369999999901</v>
      </c>
      <c r="O18" s="752">
        <v>6</v>
      </c>
      <c r="P18" s="750">
        <v>1717.8083333333334</v>
      </c>
      <c r="Q18" s="753">
        <v>10306.85</v>
      </c>
      <c r="R18" s="752">
        <v>7</v>
      </c>
      <c r="S18" s="750">
        <v>2567.5442857142712</v>
      </c>
      <c r="T18" s="753">
        <v>17972.809999999899</v>
      </c>
      <c r="U18" s="752">
        <v>2</v>
      </c>
      <c r="V18" s="750">
        <v>1486.73</v>
      </c>
      <c r="W18" s="753">
        <v>2973.46</v>
      </c>
      <c r="X18" s="752">
        <v>3</v>
      </c>
      <c r="Y18" s="750">
        <v>851.18</v>
      </c>
      <c r="Z18" s="753">
        <v>2553.54</v>
      </c>
      <c r="AA18" s="752">
        <v>8</v>
      </c>
      <c r="AB18" s="750">
        <v>1186.9175000000025</v>
      </c>
      <c r="AC18" s="753">
        <v>9495.3400000000202</v>
      </c>
      <c r="AD18" s="752">
        <v>1</v>
      </c>
      <c r="AE18" s="750">
        <v>975.83000000000095</v>
      </c>
      <c r="AF18" s="753">
        <v>975.83000000000095</v>
      </c>
      <c r="AG18" s="752">
        <v>0</v>
      </c>
      <c r="AH18" s="750">
        <v>0</v>
      </c>
      <c r="AI18" s="753">
        <v>3550</v>
      </c>
      <c r="AJ18" s="752">
        <v>1</v>
      </c>
      <c r="AK18" s="750">
        <v>1154.9399999999901</v>
      </c>
      <c r="AL18" s="753">
        <v>1154.9399999999901</v>
      </c>
      <c r="AM18" s="752">
        <v>1</v>
      </c>
      <c r="AN18" s="750">
        <v>1170.99</v>
      </c>
      <c r="AO18" s="753">
        <v>1170.99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26</v>
      </c>
      <c r="D20" s="740">
        <v>2968.8999999999965</v>
      </c>
      <c r="E20" s="741">
        <v>77191.399999999907</v>
      </c>
      <c r="F20" s="742">
        <v>1</v>
      </c>
      <c r="G20" s="740">
        <v>2144.83</v>
      </c>
      <c r="H20" s="743">
        <v>2144.83</v>
      </c>
      <c r="I20" s="742">
        <v>1</v>
      </c>
      <c r="J20" s="740">
        <v>2919.37</v>
      </c>
      <c r="K20" s="743">
        <v>2919.37</v>
      </c>
      <c r="L20" s="742">
        <v>0</v>
      </c>
      <c r="M20" s="740">
        <v>0</v>
      </c>
      <c r="N20" s="743">
        <v>0</v>
      </c>
      <c r="O20" s="742">
        <v>3</v>
      </c>
      <c r="P20" s="740">
        <v>3228.9066666666663</v>
      </c>
      <c r="Q20" s="743">
        <v>9686.7199999999993</v>
      </c>
      <c r="R20" s="742">
        <v>3</v>
      </c>
      <c r="S20" s="740">
        <v>1222.9133333333332</v>
      </c>
      <c r="T20" s="743">
        <v>3668.74</v>
      </c>
      <c r="U20" s="742">
        <v>2</v>
      </c>
      <c r="V20" s="740">
        <v>2962.9449999999952</v>
      </c>
      <c r="W20" s="743">
        <v>5925.8899999999903</v>
      </c>
      <c r="X20" s="742">
        <v>1</v>
      </c>
      <c r="Y20" s="740">
        <v>4279.05</v>
      </c>
      <c r="Z20" s="743">
        <v>4279.05</v>
      </c>
      <c r="AA20" s="742">
        <v>4</v>
      </c>
      <c r="AB20" s="740">
        <v>3473.772499999975</v>
      </c>
      <c r="AC20" s="743">
        <v>13895.0899999999</v>
      </c>
      <c r="AD20" s="742">
        <v>1</v>
      </c>
      <c r="AE20" s="740">
        <v>3198</v>
      </c>
      <c r="AF20" s="743">
        <v>3198</v>
      </c>
      <c r="AG20" s="742">
        <v>8</v>
      </c>
      <c r="AH20" s="740">
        <v>3193.38</v>
      </c>
      <c r="AI20" s="743">
        <v>25547.040000000001</v>
      </c>
      <c r="AJ20" s="742">
        <v>2</v>
      </c>
      <c r="AK20" s="740">
        <v>3324.41</v>
      </c>
      <c r="AL20" s="743">
        <v>6648.82</v>
      </c>
      <c r="AM20" s="742">
        <v>0</v>
      </c>
      <c r="AN20" s="740">
        <v>0</v>
      </c>
      <c r="AO20" s="743">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99141.099999999802</v>
      </c>
      <c r="F22" s="739"/>
      <c r="G22" s="740"/>
      <c r="H22" s="743">
        <v>5000.3999999999896</v>
      </c>
      <c r="I22" s="739"/>
      <c r="J22" s="740"/>
      <c r="K22" s="743">
        <v>6807.1699999999801</v>
      </c>
      <c r="L22" s="739"/>
      <c r="M22" s="740"/>
      <c r="N22" s="743">
        <v>11489.369999999901</v>
      </c>
      <c r="O22" s="739"/>
      <c r="P22" s="740"/>
      <c r="Q22" s="743">
        <v>7229.2700000000104</v>
      </c>
      <c r="R22" s="739"/>
      <c r="S22" s="740"/>
      <c r="T22" s="743">
        <v>12671.609999999901</v>
      </c>
      <c r="U22" s="739"/>
      <c r="V22" s="740"/>
      <c r="W22" s="743">
        <v>12900.75</v>
      </c>
      <c r="X22" s="739"/>
      <c r="Y22" s="740"/>
      <c r="Z22" s="743">
        <v>9971</v>
      </c>
      <c r="AA22" s="739"/>
      <c r="AB22" s="740"/>
      <c r="AC22" s="743">
        <v>7757.94</v>
      </c>
      <c r="AD22" s="739"/>
      <c r="AE22" s="740"/>
      <c r="AF22" s="743">
        <v>7932.0800000000099</v>
      </c>
      <c r="AG22" s="739"/>
      <c r="AH22" s="740"/>
      <c r="AI22" s="743">
        <v>8229.7100000000191</v>
      </c>
      <c r="AJ22" s="739"/>
      <c r="AK22" s="740"/>
      <c r="AL22" s="743">
        <v>3732.16</v>
      </c>
      <c r="AM22" s="739"/>
      <c r="AN22" s="740"/>
      <c r="AO22" s="743">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138.28978476821189</v>
      </c>
      <c r="E24" s="741">
        <v>83527.029999999984</v>
      </c>
      <c r="F24" s="742"/>
      <c r="G24" s="740">
        <v>214.11533333333335</v>
      </c>
      <c r="H24" s="743">
        <v>9635.19</v>
      </c>
      <c r="I24" s="742"/>
      <c r="J24" s="740">
        <v>516.52875000000006</v>
      </c>
      <c r="K24" s="743">
        <v>12396.69</v>
      </c>
      <c r="L24" s="742"/>
      <c r="M24" s="740">
        <v>256.81543478260869</v>
      </c>
      <c r="N24" s="743">
        <v>11813.51</v>
      </c>
      <c r="O24" s="742"/>
      <c r="P24" s="740">
        <v>71.606764705882355</v>
      </c>
      <c r="Q24" s="743">
        <v>2434.63</v>
      </c>
      <c r="R24" s="742"/>
      <c r="S24" s="740">
        <v>136.53245283018867</v>
      </c>
      <c r="T24" s="743">
        <v>7236.22</v>
      </c>
      <c r="U24" s="742"/>
      <c r="V24" s="740">
        <v>89.401578947368421</v>
      </c>
      <c r="W24" s="743">
        <v>5095.8900000000003</v>
      </c>
      <c r="X24" s="742"/>
      <c r="Y24" s="740">
        <v>247.88589743589742</v>
      </c>
      <c r="Z24" s="743">
        <v>9667.5499999999993</v>
      </c>
      <c r="AA24" s="742"/>
      <c r="AB24" s="740">
        <v>175.29411764705881</v>
      </c>
      <c r="AC24" s="743">
        <v>8940</v>
      </c>
      <c r="AD24" s="742"/>
      <c r="AE24" s="740">
        <v>92.308148148148149</v>
      </c>
      <c r="AF24" s="743">
        <v>4984.6400000000003</v>
      </c>
      <c r="AG24" s="742"/>
      <c r="AH24" s="740">
        <v>59.01033898305085</v>
      </c>
      <c r="AI24" s="743">
        <v>3481.61</v>
      </c>
      <c r="AJ24" s="742"/>
      <c r="AK24" s="740">
        <v>48.026888888888891</v>
      </c>
      <c r="AL24" s="743">
        <v>4322.42</v>
      </c>
      <c r="AM24" s="742"/>
      <c r="AN24" s="740">
        <v>67.666923076923069</v>
      </c>
      <c r="AO24" s="743">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972.14963576158937</v>
      </c>
      <c r="E25" s="741">
        <v>587178.38</v>
      </c>
      <c r="F25" s="742"/>
      <c r="G25" s="740">
        <v>653.30888888888887</v>
      </c>
      <c r="H25" s="743">
        <v>29398.9</v>
      </c>
      <c r="I25" s="742"/>
      <c r="J25" s="740">
        <v>943.50874999999996</v>
      </c>
      <c r="K25" s="743">
        <v>22644.21</v>
      </c>
      <c r="L25" s="742"/>
      <c r="M25" s="740">
        <v>1021.8823913043477</v>
      </c>
      <c r="N25" s="743">
        <v>47006.59</v>
      </c>
      <c r="O25" s="742"/>
      <c r="P25" s="740">
        <v>913.24941176470588</v>
      </c>
      <c r="Q25" s="743">
        <v>31050.48</v>
      </c>
      <c r="R25" s="742"/>
      <c r="S25" s="740">
        <v>1002.9296226415094</v>
      </c>
      <c r="T25" s="743">
        <v>53155.27</v>
      </c>
      <c r="U25" s="742"/>
      <c r="V25" s="740">
        <v>868.40771929824552</v>
      </c>
      <c r="W25" s="743">
        <v>49499.24</v>
      </c>
      <c r="X25" s="742"/>
      <c r="Y25" s="740">
        <v>1110.4235897435897</v>
      </c>
      <c r="Z25" s="743">
        <v>43306.52</v>
      </c>
      <c r="AA25" s="742"/>
      <c r="AB25" s="740">
        <v>1030.0339215686274</v>
      </c>
      <c r="AC25" s="743">
        <v>52531.73</v>
      </c>
      <c r="AD25" s="742"/>
      <c r="AE25" s="740">
        <v>1111.5049999999999</v>
      </c>
      <c r="AF25" s="743">
        <v>60021.27</v>
      </c>
      <c r="AG25" s="742"/>
      <c r="AH25" s="740">
        <v>942.08305084745768</v>
      </c>
      <c r="AI25" s="743">
        <v>55582.9</v>
      </c>
      <c r="AJ25" s="742"/>
      <c r="AK25" s="740">
        <v>993.18355555555559</v>
      </c>
      <c r="AL25" s="743">
        <v>89386.52</v>
      </c>
      <c r="AM25" s="742"/>
      <c r="AN25" s="740">
        <v>1030.6682692307693</v>
      </c>
      <c r="AO25" s="743">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12.821324503311258</v>
      </c>
      <c r="E26" s="741">
        <v>7744.08</v>
      </c>
      <c r="F26" s="742"/>
      <c r="G26" s="740">
        <v>0</v>
      </c>
      <c r="H26" s="743">
        <v>0</v>
      </c>
      <c r="I26" s="742"/>
      <c r="J26" s="740">
        <v>0</v>
      </c>
      <c r="K26" s="743">
        <v>0</v>
      </c>
      <c r="L26" s="742"/>
      <c r="M26" s="740">
        <v>13.392826086956523</v>
      </c>
      <c r="N26" s="743">
        <v>616.07000000000005</v>
      </c>
      <c r="O26" s="742"/>
      <c r="P26" s="740">
        <v>0</v>
      </c>
      <c r="Q26" s="743">
        <v>0</v>
      </c>
      <c r="R26" s="742"/>
      <c r="S26" s="740">
        <v>32.927735849056603</v>
      </c>
      <c r="T26" s="743">
        <v>1745.17</v>
      </c>
      <c r="U26" s="742"/>
      <c r="V26" s="740">
        <v>0</v>
      </c>
      <c r="W26" s="743">
        <v>0</v>
      </c>
      <c r="X26" s="742"/>
      <c r="Y26" s="740">
        <v>0</v>
      </c>
      <c r="Z26" s="743">
        <v>0</v>
      </c>
      <c r="AA26" s="742"/>
      <c r="AB26" s="740">
        <v>12.943529411764706</v>
      </c>
      <c r="AC26" s="743">
        <v>660.12</v>
      </c>
      <c r="AD26" s="742"/>
      <c r="AE26" s="740">
        <v>9.5077777777777772</v>
      </c>
      <c r="AF26" s="743">
        <v>513.41999999999996</v>
      </c>
      <c r="AG26" s="742"/>
      <c r="AH26" s="740">
        <v>6.7493220338983049</v>
      </c>
      <c r="AI26" s="743">
        <v>398.21</v>
      </c>
      <c r="AJ26" s="742"/>
      <c r="AK26" s="740">
        <v>15.009333333333332</v>
      </c>
      <c r="AL26" s="743">
        <v>1350.84</v>
      </c>
      <c r="AM26" s="742"/>
      <c r="AN26" s="740">
        <v>47.3125</v>
      </c>
      <c r="AO26" s="743">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604</v>
      </c>
      <c r="D27" s="745">
        <v>1123.2607450331125</v>
      </c>
      <c r="E27" s="746">
        <v>678449.49</v>
      </c>
      <c r="F27" s="744">
        <v>45</v>
      </c>
      <c r="G27" s="745">
        <v>867.42422222222228</v>
      </c>
      <c r="H27" s="746">
        <v>39034.090000000004</v>
      </c>
      <c r="I27" s="744">
        <v>24</v>
      </c>
      <c r="J27" s="745">
        <v>1460.0375000000001</v>
      </c>
      <c r="K27" s="746">
        <v>35040.9</v>
      </c>
      <c r="L27" s="744">
        <v>46</v>
      </c>
      <c r="M27" s="745">
        <v>1292.090652173913</v>
      </c>
      <c r="N27" s="746">
        <v>59436.17</v>
      </c>
      <c r="O27" s="744">
        <v>34</v>
      </c>
      <c r="P27" s="745">
        <v>984.85617647058825</v>
      </c>
      <c r="Q27" s="746">
        <v>33485.11</v>
      </c>
      <c r="R27" s="744">
        <v>53</v>
      </c>
      <c r="S27" s="745">
        <v>1172.3898113207547</v>
      </c>
      <c r="T27" s="746">
        <v>62136.659999999996</v>
      </c>
      <c r="U27" s="744">
        <v>57</v>
      </c>
      <c r="V27" s="745">
        <v>957.80929824561395</v>
      </c>
      <c r="W27" s="746">
        <v>54595.13</v>
      </c>
      <c r="X27" s="744">
        <v>39</v>
      </c>
      <c r="Y27" s="745">
        <v>1358.309487179487</v>
      </c>
      <c r="Z27" s="746">
        <v>52974.069999999992</v>
      </c>
      <c r="AA27" s="744">
        <v>51</v>
      </c>
      <c r="AB27" s="745">
        <v>1218.2715686274512</v>
      </c>
      <c r="AC27" s="746">
        <v>62131.850000000006</v>
      </c>
      <c r="AD27" s="744">
        <v>54</v>
      </c>
      <c r="AE27" s="745">
        <v>1213.3209259259258</v>
      </c>
      <c r="AF27" s="746">
        <v>65519.329999999994</v>
      </c>
      <c r="AG27" s="744">
        <v>59</v>
      </c>
      <c r="AH27" s="745">
        <v>1007.8427118644069</v>
      </c>
      <c r="AI27" s="746">
        <v>59462.720000000001</v>
      </c>
      <c r="AJ27" s="744">
        <v>90</v>
      </c>
      <c r="AK27" s="745">
        <v>1056.2197777777778</v>
      </c>
      <c r="AL27" s="746">
        <v>95059.78</v>
      </c>
      <c r="AM27" s="744">
        <v>52</v>
      </c>
      <c r="AN27" s="745">
        <v>1145.6476923076923</v>
      </c>
      <c r="AO27" s="746">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630</v>
      </c>
      <c r="D30" s="760">
        <v>3635.5403968253927</v>
      </c>
      <c r="E30" s="761">
        <v>2290390.4499999974</v>
      </c>
      <c r="F30" s="759">
        <v>46</v>
      </c>
      <c r="G30" s="760">
        <v>3181.1767391304343</v>
      </c>
      <c r="H30" s="761">
        <v>146334.12999999998</v>
      </c>
      <c r="I30" s="759">
        <v>25</v>
      </c>
      <c r="J30" s="760">
        <v>4204.6255999999994</v>
      </c>
      <c r="K30" s="761">
        <v>105115.63999999998</v>
      </c>
      <c r="L30" s="759">
        <v>46</v>
      </c>
      <c r="M30" s="760">
        <v>4308.1408695652071</v>
      </c>
      <c r="N30" s="761">
        <v>198174.47999999952</v>
      </c>
      <c r="O30" s="759">
        <v>37</v>
      </c>
      <c r="P30" s="760">
        <v>3678.7983783783729</v>
      </c>
      <c r="Q30" s="761">
        <v>136115.5399999998</v>
      </c>
      <c r="R30" s="759">
        <v>56</v>
      </c>
      <c r="S30" s="760">
        <v>3681.5748214285677</v>
      </c>
      <c r="T30" s="761">
        <v>206168.1899999998</v>
      </c>
      <c r="U30" s="759">
        <v>59</v>
      </c>
      <c r="V30" s="760">
        <v>3481.6166101694944</v>
      </c>
      <c r="W30" s="761">
        <v>205415.38000000018</v>
      </c>
      <c r="X30" s="759">
        <v>40</v>
      </c>
      <c r="Y30" s="760">
        <v>3855.3114999999975</v>
      </c>
      <c r="Z30" s="761">
        <v>154212.4599999999</v>
      </c>
      <c r="AA30" s="759">
        <v>55</v>
      </c>
      <c r="AB30" s="760">
        <v>3672.9932727272676</v>
      </c>
      <c r="AC30" s="761">
        <v>202014.62999999971</v>
      </c>
      <c r="AD30" s="759">
        <v>55</v>
      </c>
      <c r="AE30" s="760">
        <v>3601.3861818181781</v>
      </c>
      <c r="AF30" s="761">
        <v>198076.23999999979</v>
      </c>
      <c r="AG30" s="759">
        <v>67</v>
      </c>
      <c r="AH30" s="760">
        <v>3666.631194029836</v>
      </c>
      <c r="AI30" s="761">
        <v>245664.28999999902</v>
      </c>
      <c r="AJ30" s="759">
        <v>92</v>
      </c>
      <c r="AK30" s="760">
        <v>3367.8319565217394</v>
      </c>
      <c r="AL30" s="761">
        <v>309840.54000000004</v>
      </c>
      <c r="AM30" s="759">
        <v>52</v>
      </c>
      <c r="AN30" s="760">
        <v>3524.2101923076875</v>
      </c>
      <c r="AO30" s="761">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0.29849571936905456</v>
      </c>
      <c r="D34" s="770">
        <v>709.4751324503311</v>
      </c>
      <c r="E34" s="758">
        <v>428522.98</v>
      </c>
      <c r="F34" s="769">
        <v>0.20080094006468588</v>
      </c>
      <c r="G34" s="770">
        <v>446.91511111111112</v>
      </c>
      <c r="H34" s="771">
        <v>20111.18</v>
      </c>
      <c r="I34" s="769">
        <v>0.3748038881027107</v>
      </c>
      <c r="J34" s="770">
        <v>942.4475000000001</v>
      </c>
      <c r="K34" s="771">
        <v>22618.74</v>
      </c>
      <c r="L34" s="769">
        <v>0.34224819475903012</v>
      </c>
      <c r="M34" s="770">
        <v>946.75478260869568</v>
      </c>
      <c r="N34" s="771">
        <v>43550.720000000001</v>
      </c>
      <c r="O34" s="769">
        <v>0.4327795876634099</v>
      </c>
      <c r="P34" s="770">
        <v>1091.0429411764705</v>
      </c>
      <c r="Q34" s="771">
        <v>37095.46</v>
      </c>
      <c r="R34" s="769">
        <v>0.32730600500363483</v>
      </c>
      <c r="S34" s="770">
        <v>788.56773584905659</v>
      </c>
      <c r="T34" s="771">
        <v>41794.089999999997</v>
      </c>
      <c r="U34" s="769">
        <v>0.33310604960346141</v>
      </c>
      <c r="V34" s="770">
        <v>771.36614035087723</v>
      </c>
      <c r="W34" s="771">
        <v>43967.87</v>
      </c>
      <c r="X34" s="769">
        <v>0.37701685076413732</v>
      </c>
      <c r="Y34" s="770">
        <v>840.92487179487182</v>
      </c>
      <c r="Z34" s="771">
        <v>32796.07</v>
      </c>
      <c r="AA34" s="769">
        <v>0.35356676301861473</v>
      </c>
      <c r="AB34" s="770">
        <v>819.64921568627449</v>
      </c>
      <c r="AC34" s="771">
        <v>41802.11</v>
      </c>
      <c r="AD34" s="769">
        <v>0.19647832361266485</v>
      </c>
      <c r="AE34" s="770">
        <v>441.81</v>
      </c>
      <c r="AF34" s="771">
        <v>23857.74</v>
      </c>
      <c r="AG34" s="769">
        <v>0.2749352106828814</v>
      </c>
      <c r="AH34" s="770">
        <v>710.28728813559314</v>
      </c>
      <c r="AI34" s="771">
        <v>41906.949999999997</v>
      </c>
      <c r="AJ34" s="769">
        <v>0.22021936618522778</v>
      </c>
      <c r="AK34" s="770">
        <v>500.14211111111115</v>
      </c>
      <c r="AL34" s="771">
        <v>45012.79</v>
      </c>
      <c r="AM34" s="769">
        <v>0.28582149962315506</v>
      </c>
      <c r="AN34" s="770">
        <v>654.02423076923083</v>
      </c>
      <c r="AO34" s="771">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0.30598638964265418</v>
      </c>
      <c r="D35" s="773">
        <v>343.70249999999999</v>
      </c>
      <c r="E35" s="774">
        <v>207596.31</v>
      </c>
      <c r="F35" s="772">
        <v>0.42056545957648811</v>
      </c>
      <c r="G35" s="773">
        <v>364.80866666666668</v>
      </c>
      <c r="H35" s="775">
        <v>16416.39</v>
      </c>
      <c r="I35" s="772">
        <v>0.2864355652965534</v>
      </c>
      <c r="J35" s="773">
        <v>418.20666666666665</v>
      </c>
      <c r="K35" s="775">
        <v>10036.959999999999</v>
      </c>
      <c r="L35" s="772">
        <v>0.29836781205787655</v>
      </c>
      <c r="M35" s="773">
        <v>385.51826086956521</v>
      </c>
      <c r="N35" s="775">
        <v>17733.84</v>
      </c>
      <c r="O35" s="772">
        <v>0.29978160442059171</v>
      </c>
      <c r="P35" s="773">
        <v>295.24176470588236</v>
      </c>
      <c r="Q35" s="775">
        <v>10038.219999999999</v>
      </c>
      <c r="R35" s="772">
        <v>0.29997186845897417</v>
      </c>
      <c r="S35" s="773">
        <v>351.68396226415092</v>
      </c>
      <c r="T35" s="775">
        <v>18639.25</v>
      </c>
      <c r="U35" s="772">
        <v>0.30010863606332655</v>
      </c>
      <c r="V35" s="773">
        <v>287.44684210526316</v>
      </c>
      <c r="W35" s="775">
        <v>16384.47</v>
      </c>
      <c r="X35" s="772">
        <v>0.30073845562555424</v>
      </c>
      <c r="Y35" s="773">
        <v>408.49589743589746</v>
      </c>
      <c r="Z35" s="775">
        <v>15931.34</v>
      </c>
      <c r="AA35" s="772">
        <v>0.29989739561915507</v>
      </c>
      <c r="AB35" s="773">
        <v>365.35647058823531</v>
      </c>
      <c r="AC35" s="775">
        <v>18633.18</v>
      </c>
      <c r="AD35" s="772">
        <v>0.30030542131612159</v>
      </c>
      <c r="AE35" s="773">
        <v>364.36685185185189</v>
      </c>
      <c r="AF35" s="775">
        <v>19675.810000000001</v>
      </c>
      <c r="AG35" s="772">
        <v>0.29873305492920604</v>
      </c>
      <c r="AH35" s="773">
        <v>301.07593220338981</v>
      </c>
      <c r="AI35" s="775">
        <v>17763.48</v>
      </c>
      <c r="AJ35" s="772">
        <v>0.29960999278559242</v>
      </c>
      <c r="AK35" s="773">
        <v>316.45400000000001</v>
      </c>
      <c r="AL35" s="775">
        <v>28480.86</v>
      </c>
      <c r="AM35" s="772">
        <v>0.29983895572675717</v>
      </c>
      <c r="AN35" s="773">
        <v>343.50980769230767</v>
      </c>
      <c r="AO35" s="775">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122.55435430463577</v>
      </c>
      <c r="E36" s="758">
        <v>74022.83</v>
      </c>
      <c r="F36" s="747"/>
      <c r="G36" s="770">
        <v>58.516222222222225</v>
      </c>
      <c r="H36" s="771">
        <v>2633.23</v>
      </c>
      <c r="I36" s="747"/>
      <c r="J36" s="770">
        <v>245.49916666666664</v>
      </c>
      <c r="K36" s="771">
        <v>5891.98</v>
      </c>
      <c r="L36" s="747"/>
      <c r="M36" s="770">
        <v>64.906086956521733</v>
      </c>
      <c r="N36" s="771">
        <v>2985.68</v>
      </c>
      <c r="O36" s="747"/>
      <c r="P36" s="770">
        <v>99.448823529411769</v>
      </c>
      <c r="Q36" s="771">
        <v>3381.26</v>
      </c>
      <c r="R36" s="747"/>
      <c r="S36" s="770">
        <v>112.82150943396226</v>
      </c>
      <c r="T36" s="771">
        <v>5979.54</v>
      </c>
      <c r="U36" s="747"/>
      <c r="V36" s="770">
        <v>98.259649122807019</v>
      </c>
      <c r="W36" s="771">
        <v>5600.8</v>
      </c>
      <c r="X36" s="747"/>
      <c r="Y36" s="770">
        <v>168.41974358974358</v>
      </c>
      <c r="Z36" s="771">
        <v>6568.37</v>
      </c>
      <c r="AA36" s="747"/>
      <c r="AB36" s="770">
        <v>121.67235294117647</v>
      </c>
      <c r="AC36" s="771">
        <v>6205.29</v>
      </c>
      <c r="AD36" s="747"/>
      <c r="AE36" s="770">
        <v>85.562222222222218</v>
      </c>
      <c r="AF36" s="771">
        <v>4620.3599999999997</v>
      </c>
      <c r="AG36" s="747"/>
      <c r="AH36" s="770">
        <v>131.92101694915254</v>
      </c>
      <c r="AI36" s="771">
        <v>7783.34</v>
      </c>
      <c r="AJ36" s="747"/>
      <c r="AK36" s="770">
        <v>138.78766666666667</v>
      </c>
      <c r="AL36" s="771">
        <v>12490.89</v>
      </c>
      <c r="AM36" s="747"/>
      <c r="AN36" s="770">
        <v>190.04019230769231</v>
      </c>
      <c r="AO36" s="771">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13.843327814569538</v>
      </c>
      <c r="E37" s="758">
        <v>8361.3700000000008</v>
      </c>
      <c r="F37" s="747"/>
      <c r="G37" s="770">
        <v>0</v>
      </c>
      <c r="H37" s="771">
        <v>0</v>
      </c>
      <c r="I37" s="747"/>
      <c r="J37" s="770">
        <v>0</v>
      </c>
      <c r="K37" s="771">
        <v>0</v>
      </c>
      <c r="L37" s="747"/>
      <c r="M37" s="770">
        <v>4.5619565217391305</v>
      </c>
      <c r="N37" s="771">
        <v>209.85</v>
      </c>
      <c r="O37" s="747"/>
      <c r="P37" s="770">
        <v>2.3529411764705883</v>
      </c>
      <c r="Q37" s="771">
        <v>80</v>
      </c>
      <c r="R37" s="747"/>
      <c r="S37" s="770">
        <v>0</v>
      </c>
      <c r="T37" s="771">
        <v>0</v>
      </c>
      <c r="U37" s="747"/>
      <c r="V37" s="770">
        <v>0</v>
      </c>
      <c r="W37" s="771">
        <v>0</v>
      </c>
      <c r="X37" s="747"/>
      <c r="Y37" s="770">
        <v>1.0256410256410255</v>
      </c>
      <c r="Z37" s="771">
        <v>40</v>
      </c>
      <c r="AA37" s="747"/>
      <c r="AB37" s="770">
        <v>1.803921568627451</v>
      </c>
      <c r="AC37" s="771">
        <v>92</v>
      </c>
      <c r="AD37" s="747"/>
      <c r="AE37" s="770">
        <v>3.9803703703703701</v>
      </c>
      <c r="AF37" s="771">
        <v>214.94</v>
      </c>
      <c r="AG37" s="747"/>
      <c r="AH37" s="770">
        <v>9.4247457627118632</v>
      </c>
      <c r="AI37" s="771">
        <v>556.05999999999995</v>
      </c>
      <c r="AJ37" s="747"/>
      <c r="AK37" s="770">
        <v>63.11022222222222</v>
      </c>
      <c r="AL37" s="771">
        <v>5679.92</v>
      </c>
      <c r="AM37" s="747"/>
      <c r="AN37" s="770">
        <v>28.626923076923074</v>
      </c>
      <c r="AO37" s="771">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79.811440397350992</v>
      </c>
      <c r="E38" s="774">
        <v>48206.11</v>
      </c>
      <c r="F38" s="776"/>
      <c r="G38" s="773">
        <v>59.264222222222216</v>
      </c>
      <c r="H38" s="775">
        <v>2666.89</v>
      </c>
      <c r="I38" s="776"/>
      <c r="J38" s="773">
        <v>125.22541666666666</v>
      </c>
      <c r="K38" s="775">
        <v>3005.41</v>
      </c>
      <c r="L38" s="776"/>
      <c r="M38" s="773">
        <v>48.714347826086957</v>
      </c>
      <c r="N38" s="775">
        <v>2240.86</v>
      </c>
      <c r="O38" s="776"/>
      <c r="P38" s="773">
        <v>88.820000000000007</v>
      </c>
      <c r="Q38" s="775">
        <v>3019.88</v>
      </c>
      <c r="R38" s="776"/>
      <c r="S38" s="773">
        <v>66.649056603773587</v>
      </c>
      <c r="T38" s="775">
        <v>3532.4</v>
      </c>
      <c r="U38" s="776"/>
      <c r="V38" s="773">
        <v>70.21052631578948</v>
      </c>
      <c r="W38" s="775">
        <v>4002</v>
      </c>
      <c r="X38" s="776"/>
      <c r="Y38" s="773">
        <v>118.0776923076923</v>
      </c>
      <c r="Z38" s="775">
        <v>4605.03</v>
      </c>
      <c r="AA38" s="776"/>
      <c r="AB38" s="773">
        <v>78.708235294117642</v>
      </c>
      <c r="AC38" s="775">
        <v>4014.12</v>
      </c>
      <c r="AD38" s="776"/>
      <c r="AE38" s="773">
        <v>80.21648148148148</v>
      </c>
      <c r="AF38" s="775">
        <v>4331.6899999999996</v>
      </c>
      <c r="AG38" s="776"/>
      <c r="AH38" s="773">
        <v>92.110169491525426</v>
      </c>
      <c r="AI38" s="775">
        <v>5434.5</v>
      </c>
      <c r="AJ38" s="776"/>
      <c r="AK38" s="773">
        <v>83.834222222222223</v>
      </c>
      <c r="AL38" s="775">
        <v>7545.08</v>
      </c>
      <c r="AM38" s="776"/>
      <c r="AN38" s="773">
        <v>73.23557692307692</v>
      </c>
      <c r="AO38" s="775">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100.76802980132439</v>
      </c>
      <c r="E39" s="758">
        <v>60863.889999999927</v>
      </c>
      <c r="F39" s="747"/>
      <c r="G39" s="770">
        <v>7.4604444444444447</v>
      </c>
      <c r="H39" s="771">
        <v>335.72</v>
      </c>
      <c r="I39" s="747"/>
      <c r="J39" s="770">
        <v>300.07</v>
      </c>
      <c r="K39" s="771">
        <v>7201.68</v>
      </c>
      <c r="L39" s="747"/>
      <c r="M39" s="770">
        <v>87.100652173912835</v>
      </c>
      <c r="N39" s="771">
        <v>4006.6299999999901</v>
      </c>
      <c r="O39" s="747"/>
      <c r="P39" s="770">
        <v>159.71529411764706</v>
      </c>
      <c r="Q39" s="771">
        <v>5430.32</v>
      </c>
      <c r="R39" s="747"/>
      <c r="S39" s="770">
        <v>56.458679245282831</v>
      </c>
      <c r="T39" s="771">
        <v>2992.3099999999899</v>
      </c>
      <c r="U39" s="747"/>
      <c r="V39" s="770">
        <v>122.48649122807016</v>
      </c>
      <c r="W39" s="771">
        <v>6981.73</v>
      </c>
      <c r="X39" s="747"/>
      <c r="Y39" s="770">
        <v>154.58692307692283</v>
      </c>
      <c r="Z39" s="771">
        <v>6028.8899999999903</v>
      </c>
      <c r="AA39" s="747"/>
      <c r="AB39" s="770">
        <v>40.121960784313529</v>
      </c>
      <c r="AC39" s="771">
        <v>2046.21999999999</v>
      </c>
      <c r="AD39" s="747"/>
      <c r="AE39" s="770">
        <v>102.55351851851835</v>
      </c>
      <c r="AF39" s="771">
        <v>5537.8899999999903</v>
      </c>
      <c r="AG39" s="747"/>
      <c r="AH39" s="770">
        <v>155.86983050847456</v>
      </c>
      <c r="AI39" s="771">
        <v>9196.32</v>
      </c>
      <c r="AJ39" s="747"/>
      <c r="AK39" s="770">
        <v>38.481888888888776</v>
      </c>
      <c r="AL39" s="771">
        <v>3463.3699999999899</v>
      </c>
      <c r="AM39" s="747"/>
      <c r="AN39" s="770">
        <v>146.97711538461519</v>
      </c>
      <c r="AO39" s="771">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121.38026490066224</v>
      </c>
      <c r="E40" s="758">
        <v>73313.679999999993</v>
      </c>
      <c r="F40" s="747"/>
      <c r="G40" s="770">
        <v>153.29866666666666</v>
      </c>
      <c r="H40" s="771">
        <v>6898.44</v>
      </c>
      <c r="I40" s="747"/>
      <c r="J40" s="770">
        <v>187.08333333333334</v>
      </c>
      <c r="K40" s="771">
        <v>4490</v>
      </c>
      <c r="L40" s="747"/>
      <c r="M40" s="770">
        <v>86.143043478260864</v>
      </c>
      <c r="N40" s="771">
        <v>3962.58</v>
      </c>
      <c r="O40" s="747"/>
      <c r="P40" s="770">
        <v>54.914411764705882</v>
      </c>
      <c r="Q40" s="771">
        <v>1867.09</v>
      </c>
      <c r="R40" s="747"/>
      <c r="S40" s="770">
        <v>110.78396226415094</v>
      </c>
      <c r="T40" s="771">
        <v>5871.55</v>
      </c>
      <c r="U40" s="747"/>
      <c r="V40" s="770">
        <v>83.07263157894738</v>
      </c>
      <c r="W40" s="771">
        <v>4735.1400000000003</v>
      </c>
      <c r="X40" s="747"/>
      <c r="Y40" s="770">
        <v>90.482564102564112</v>
      </c>
      <c r="Z40" s="771">
        <v>3528.82</v>
      </c>
      <c r="AA40" s="747"/>
      <c r="AB40" s="770">
        <v>0</v>
      </c>
      <c r="AC40" s="771">
        <v>0</v>
      </c>
      <c r="AD40" s="747"/>
      <c r="AE40" s="770">
        <v>95.057592592592584</v>
      </c>
      <c r="AF40" s="771">
        <v>5133.1099999999997</v>
      </c>
      <c r="AG40" s="747"/>
      <c r="AH40" s="770">
        <v>0</v>
      </c>
      <c r="AI40" s="771">
        <v>0</v>
      </c>
      <c r="AJ40" s="747"/>
      <c r="AK40" s="770">
        <v>217.76155555555556</v>
      </c>
      <c r="AL40" s="771">
        <v>19598.54</v>
      </c>
      <c r="AM40" s="747"/>
      <c r="AN40" s="770">
        <v>331.31557692307695</v>
      </c>
      <c r="AO40" s="771">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0.39333344670556103</v>
      </c>
      <c r="E44" s="779">
        <v>900887.16999999993</v>
      </c>
      <c r="F44" s="777" t="s">
        <v>119</v>
      </c>
      <c r="G44" s="778">
        <v>0.33527277607759731</v>
      </c>
      <c r="H44" s="779">
        <v>49061.850000000006</v>
      </c>
      <c r="I44" s="777" t="s">
        <v>119</v>
      </c>
      <c r="J44" s="778">
        <v>0.50653518353691229</v>
      </c>
      <c r="K44" s="779">
        <v>53244.77</v>
      </c>
      <c r="L44" s="777" t="s">
        <v>119</v>
      </c>
      <c r="M44" s="778">
        <v>0.37689090946523573</v>
      </c>
      <c r="N44" s="779">
        <v>74690.159999999989</v>
      </c>
      <c r="O44" s="777" t="s">
        <v>119</v>
      </c>
      <c r="P44" s="778">
        <v>0.44750386326204988</v>
      </c>
      <c r="Q44" s="779">
        <v>60912.229999999996</v>
      </c>
      <c r="R44" s="777" t="s">
        <v>119</v>
      </c>
      <c r="S44" s="778">
        <v>0.3822565450082287</v>
      </c>
      <c r="T44" s="779">
        <v>78809.13999999997</v>
      </c>
      <c r="U44" s="777" t="s">
        <v>119</v>
      </c>
      <c r="V44" s="778">
        <v>0.39759442550017393</v>
      </c>
      <c r="W44" s="779">
        <v>81672.009999999995</v>
      </c>
      <c r="X44" s="777" t="s">
        <v>119</v>
      </c>
      <c r="Y44" s="778">
        <v>0.4506673455569028</v>
      </c>
      <c r="Z44" s="779">
        <v>69498.52</v>
      </c>
      <c r="AA44" s="777" t="s">
        <v>119</v>
      </c>
      <c r="AB44" s="778">
        <v>0.36033489257684004</v>
      </c>
      <c r="AC44" s="779">
        <v>72792.919999999984</v>
      </c>
      <c r="AD44" s="777" t="s">
        <v>119</v>
      </c>
      <c r="AE44" s="778">
        <v>0.31993509165965622</v>
      </c>
      <c r="AF44" s="779">
        <v>63371.54</v>
      </c>
      <c r="AG44" s="777" t="s">
        <v>119</v>
      </c>
      <c r="AH44" s="778">
        <v>0.33639667368830989</v>
      </c>
      <c r="AI44" s="779">
        <v>82640.649999999994</v>
      </c>
      <c r="AJ44" s="777" t="s">
        <v>119</v>
      </c>
      <c r="AK44" s="778">
        <v>0.39462702330689187</v>
      </c>
      <c r="AL44" s="779">
        <v>122271.44999999998</v>
      </c>
      <c r="AM44" s="777" t="s">
        <v>119</v>
      </c>
      <c r="AN44" s="778">
        <v>0.50159591131520909</v>
      </c>
      <c r="AO44" s="779">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161101.4</v>
      </c>
      <c r="F45" s="747"/>
      <c r="G45" s="757"/>
      <c r="H45" s="771">
        <v>13320.96</v>
      </c>
      <c r="I45" s="747"/>
      <c r="J45" s="757"/>
      <c r="K45" s="771">
        <v>9312.9599999999991</v>
      </c>
      <c r="L45" s="747"/>
      <c r="M45" s="757"/>
      <c r="N45" s="771">
        <v>13684.73</v>
      </c>
      <c r="O45" s="747"/>
      <c r="P45" s="757"/>
      <c r="Q45" s="771">
        <v>13295.96</v>
      </c>
      <c r="R45" s="747"/>
      <c r="S45" s="757"/>
      <c r="T45" s="771">
        <v>13546.32</v>
      </c>
      <c r="U45" s="747"/>
      <c r="V45" s="757"/>
      <c r="W45" s="771">
        <v>13776.33</v>
      </c>
      <c r="X45" s="747"/>
      <c r="Y45" s="757"/>
      <c r="Z45" s="771">
        <v>17842.099999999999</v>
      </c>
      <c r="AA45" s="747"/>
      <c r="AB45" s="757"/>
      <c r="AC45" s="771">
        <v>14353.64</v>
      </c>
      <c r="AD45" s="747"/>
      <c r="AE45" s="757"/>
      <c r="AF45" s="771">
        <v>14161.33</v>
      </c>
      <c r="AG45" s="747"/>
      <c r="AH45" s="757"/>
      <c r="AI45" s="771">
        <v>11603.64</v>
      </c>
      <c r="AJ45" s="747"/>
      <c r="AK45" s="757"/>
      <c r="AL45" s="771">
        <v>14903.64</v>
      </c>
      <c r="AM45" s="747"/>
      <c r="AN45" s="757"/>
      <c r="AO45" s="771">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144740.67000000001</v>
      </c>
      <c r="F46" s="747"/>
      <c r="G46" s="757"/>
      <c r="H46" s="771">
        <v>11974.81</v>
      </c>
      <c r="I46" s="747"/>
      <c r="J46" s="757"/>
      <c r="K46" s="771">
        <v>12588.32</v>
      </c>
      <c r="L46" s="747"/>
      <c r="M46" s="757"/>
      <c r="N46" s="771">
        <v>13439.44</v>
      </c>
      <c r="O46" s="747"/>
      <c r="P46" s="757"/>
      <c r="Q46" s="771">
        <v>10544.06</v>
      </c>
      <c r="R46" s="747"/>
      <c r="S46" s="757"/>
      <c r="T46" s="771">
        <v>12202.83</v>
      </c>
      <c r="U46" s="747"/>
      <c r="V46" s="757"/>
      <c r="W46" s="771">
        <v>14509.06</v>
      </c>
      <c r="X46" s="747"/>
      <c r="Y46" s="757"/>
      <c r="Z46" s="771">
        <v>9643.58</v>
      </c>
      <c r="AA46" s="747"/>
      <c r="AB46" s="757"/>
      <c r="AC46" s="771">
        <v>12006.55</v>
      </c>
      <c r="AD46" s="747"/>
      <c r="AE46" s="757"/>
      <c r="AF46" s="771">
        <v>16026.9</v>
      </c>
      <c r="AG46" s="747"/>
      <c r="AH46" s="757"/>
      <c r="AI46" s="771">
        <v>11332.89</v>
      </c>
      <c r="AJ46" s="747"/>
      <c r="AK46" s="757"/>
      <c r="AL46" s="771">
        <v>8776.4699999999993</v>
      </c>
      <c r="AM46" s="747"/>
      <c r="AN46" s="757"/>
      <c r="AO46" s="771">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115434.12000000002</v>
      </c>
      <c r="F47" s="780"/>
      <c r="G47" s="781"/>
      <c r="H47" s="783">
        <v>11519.26</v>
      </c>
      <c r="I47" s="780"/>
      <c r="J47" s="781"/>
      <c r="K47" s="783">
        <v>10464.68</v>
      </c>
      <c r="L47" s="780"/>
      <c r="M47" s="781"/>
      <c r="N47" s="783">
        <v>11841.01</v>
      </c>
      <c r="O47" s="780"/>
      <c r="P47" s="781"/>
      <c r="Q47" s="783">
        <v>12250.19</v>
      </c>
      <c r="R47" s="780"/>
      <c r="S47" s="781"/>
      <c r="T47" s="783">
        <v>14212.21</v>
      </c>
      <c r="U47" s="780"/>
      <c r="V47" s="781"/>
      <c r="W47" s="783">
        <v>13387.76</v>
      </c>
      <c r="X47" s="780"/>
      <c r="Y47" s="781"/>
      <c r="Z47" s="783">
        <v>12343.13</v>
      </c>
      <c r="AA47" s="780"/>
      <c r="AB47" s="781"/>
      <c r="AC47" s="783">
        <v>11151.24</v>
      </c>
      <c r="AD47" s="780"/>
      <c r="AE47" s="781"/>
      <c r="AF47" s="783">
        <v>6488.86</v>
      </c>
      <c r="AG47" s="780"/>
      <c r="AH47" s="781"/>
      <c r="AI47" s="783">
        <v>3994.82</v>
      </c>
      <c r="AJ47" s="780"/>
      <c r="AK47" s="781"/>
      <c r="AL47" s="783">
        <v>2988</v>
      </c>
      <c r="AM47" s="780"/>
      <c r="AN47" s="781"/>
      <c r="AO47" s="783">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126459.04000000001</v>
      </c>
      <c r="F52" s="747"/>
      <c r="G52" s="757"/>
      <c r="H52" s="771">
        <v>18179.34</v>
      </c>
      <c r="I52" s="747"/>
      <c r="J52" s="757"/>
      <c r="K52" s="771">
        <v>9804.34</v>
      </c>
      <c r="L52" s="747"/>
      <c r="M52" s="757"/>
      <c r="N52" s="771">
        <v>6896.42</v>
      </c>
      <c r="O52" s="747"/>
      <c r="P52" s="757"/>
      <c r="Q52" s="771">
        <v>11060.27</v>
      </c>
      <c r="R52" s="747"/>
      <c r="S52" s="757"/>
      <c r="T52" s="771">
        <v>12615.57</v>
      </c>
      <c r="U52" s="747"/>
      <c r="V52" s="757"/>
      <c r="W52" s="771">
        <v>12929.12</v>
      </c>
      <c r="X52" s="747"/>
      <c r="Y52" s="757"/>
      <c r="Z52" s="771">
        <v>10139.23</v>
      </c>
      <c r="AA52" s="747"/>
      <c r="AB52" s="757"/>
      <c r="AC52" s="771">
        <v>6780.38</v>
      </c>
      <c r="AD52" s="747"/>
      <c r="AE52" s="757"/>
      <c r="AF52" s="771">
        <v>10273.68</v>
      </c>
      <c r="AG52" s="747"/>
      <c r="AH52" s="757"/>
      <c r="AI52" s="771">
        <v>9419.91</v>
      </c>
      <c r="AJ52" s="747"/>
      <c r="AK52" s="757"/>
      <c r="AL52" s="771">
        <v>8803.83</v>
      </c>
      <c r="AM52" s="747"/>
      <c r="AN52" s="757"/>
      <c r="AO52" s="771">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156049.84999999998</v>
      </c>
      <c r="F53" s="780"/>
      <c r="G53" s="781"/>
      <c r="H53" s="783">
        <v>16049.06</v>
      </c>
      <c r="I53" s="780"/>
      <c r="J53" s="781"/>
      <c r="K53" s="783">
        <v>16298.39</v>
      </c>
      <c r="L53" s="780"/>
      <c r="M53" s="781"/>
      <c r="N53" s="783">
        <v>15375.15</v>
      </c>
      <c r="O53" s="780"/>
      <c r="P53" s="781"/>
      <c r="Q53" s="783">
        <v>16153.21</v>
      </c>
      <c r="R53" s="780"/>
      <c r="S53" s="781"/>
      <c r="T53" s="783">
        <v>12626.31</v>
      </c>
      <c r="U53" s="780"/>
      <c r="V53" s="781"/>
      <c r="W53" s="783">
        <v>12404.94</v>
      </c>
      <c r="X53" s="780"/>
      <c r="Y53" s="781"/>
      <c r="Z53" s="783">
        <v>14378.55</v>
      </c>
      <c r="AA53" s="780"/>
      <c r="AB53" s="781"/>
      <c r="AC53" s="783">
        <v>10620.12</v>
      </c>
      <c r="AD53" s="780"/>
      <c r="AE53" s="781"/>
      <c r="AF53" s="783">
        <v>10461.01</v>
      </c>
      <c r="AG53" s="780"/>
      <c r="AH53" s="781"/>
      <c r="AI53" s="783">
        <v>8905.2099999999991</v>
      </c>
      <c r="AJ53" s="780"/>
      <c r="AK53" s="781"/>
      <c r="AL53" s="783">
        <v>11365.4</v>
      </c>
      <c r="AM53" s="780"/>
      <c r="AN53" s="781"/>
      <c r="AO53" s="783">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74708.680000000008</v>
      </c>
      <c r="F54" s="747"/>
      <c r="G54" s="757"/>
      <c r="H54" s="771">
        <v>6493.21</v>
      </c>
      <c r="I54" s="747"/>
      <c r="J54" s="757"/>
      <c r="K54" s="771">
        <v>5878.89</v>
      </c>
      <c r="L54" s="747"/>
      <c r="M54" s="757"/>
      <c r="N54" s="771">
        <v>5879.65</v>
      </c>
      <c r="O54" s="747"/>
      <c r="P54" s="757"/>
      <c r="Q54" s="771">
        <v>9403.86</v>
      </c>
      <c r="R54" s="747"/>
      <c r="S54" s="757"/>
      <c r="T54" s="771">
        <v>6414.78</v>
      </c>
      <c r="U54" s="747"/>
      <c r="V54" s="757"/>
      <c r="W54" s="771">
        <v>5591.61</v>
      </c>
      <c r="X54" s="747"/>
      <c r="Y54" s="757"/>
      <c r="Z54" s="771">
        <v>7088.75</v>
      </c>
      <c r="AA54" s="747"/>
      <c r="AB54" s="757"/>
      <c r="AC54" s="771">
        <v>5958.04</v>
      </c>
      <c r="AD54" s="747"/>
      <c r="AE54" s="757"/>
      <c r="AF54" s="771">
        <v>6088.21</v>
      </c>
      <c r="AG54" s="747"/>
      <c r="AH54" s="757"/>
      <c r="AI54" s="771">
        <v>5383.41</v>
      </c>
      <c r="AJ54" s="747"/>
      <c r="AK54" s="757"/>
      <c r="AL54" s="771">
        <v>6383.8099999999904</v>
      </c>
      <c r="AM54" s="747"/>
      <c r="AN54" s="757"/>
      <c r="AO54" s="771">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24570.019999999997</v>
      </c>
      <c r="F55" s="747"/>
      <c r="G55" s="757"/>
      <c r="H55" s="771">
        <v>2475.7399999999998</v>
      </c>
      <c r="I55" s="747"/>
      <c r="J55" s="757"/>
      <c r="K55" s="771">
        <v>2534.25</v>
      </c>
      <c r="L55" s="747"/>
      <c r="M55" s="757"/>
      <c r="N55" s="771">
        <v>2462.5300000000002</v>
      </c>
      <c r="O55" s="747"/>
      <c r="P55" s="757"/>
      <c r="Q55" s="771">
        <v>2775.98</v>
      </c>
      <c r="R55" s="747"/>
      <c r="S55" s="757"/>
      <c r="T55" s="771">
        <v>2337.2399999999998</v>
      </c>
      <c r="U55" s="747"/>
      <c r="V55" s="757"/>
      <c r="W55" s="771">
        <v>3273.76</v>
      </c>
      <c r="X55" s="747"/>
      <c r="Y55" s="757"/>
      <c r="Z55" s="771">
        <v>2311.3000000000002</v>
      </c>
      <c r="AA55" s="747"/>
      <c r="AB55" s="757"/>
      <c r="AC55" s="771">
        <v>1830.69</v>
      </c>
      <c r="AD55" s="747"/>
      <c r="AE55" s="757"/>
      <c r="AF55" s="771">
        <v>1526.89</v>
      </c>
      <c r="AG55" s="747"/>
      <c r="AH55" s="757"/>
      <c r="AI55" s="771">
        <v>686.07</v>
      </c>
      <c r="AJ55" s="747"/>
      <c r="AK55" s="757"/>
      <c r="AL55" s="771">
        <v>1164.96</v>
      </c>
      <c r="AM55" s="747"/>
      <c r="AN55" s="757"/>
      <c r="AO55" s="771">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0.35062309135981645</v>
      </c>
      <c r="E57" s="779">
        <v>803063.78000000014</v>
      </c>
      <c r="F57" s="777" t="s">
        <v>119</v>
      </c>
      <c r="G57" s="778">
        <v>0.54677866332345038</v>
      </c>
      <c r="H57" s="779">
        <v>80012.38</v>
      </c>
      <c r="I57" s="777" t="s">
        <v>119</v>
      </c>
      <c r="J57" s="778">
        <v>0.63626906519334336</v>
      </c>
      <c r="K57" s="779">
        <v>66881.83</v>
      </c>
      <c r="L57" s="777" t="s">
        <v>119</v>
      </c>
      <c r="M57" s="778">
        <v>0.35109934437572465</v>
      </c>
      <c r="N57" s="779">
        <v>69578.929999999993</v>
      </c>
      <c r="O57" s="777" t="s">
        <v>119</v>
      </c>
      <c r="P57" s="778">
        <v>0.55455482893430164</v>
      </c>
      <c r="Q57" s="779">
        <v>75483.529999999984</v>
      </c>
      <c r="R57" s="777" t="s">
        <v>119</v>
      </c>
      <c r="S57" s="778">
        <v>0.35871324281403488</v>
      </c>
      <c r="T57" s="779">
        <v>73955.260000000009</v>
      </c>
      <c r="U57" s="777" t="s">
        <v>119</v>
      </c>
      <c r="V57" s="778">
        <v>0.3693617293894933</v>
      </c>
      <c r="W57" s="779">
        <v>75872.58</v>
      </c>
      <c r="X57" s="777" t="s">
        <v>119</v>
      </c>
      <c r="Y57" s="778">
        <v>0.47821453597199631</v>
      </c>
      <c r="Z57" s="779">
        <v>73746.64</v>
      </c>
      <c r="AA57" s="777" t="s">
        <v>119</v>
      </c>
      <c r="AB57" s="778">
        <v>0.31037682765847252</v>
      </c>
      <c r="AC57" s="779">
        <v>62700.66</v>
      </c>
      <c r="AD57" s="777" t="s">
        <v>119</v>
      </c>
      <c r="AE57" s="778">
        <v>0.32829217679010902</v>
      </c>
      <c r="AF57" s="779">
        <v>65026.879999999997</v>
      </c>
      <c r="AG57" s="777" t="s">
        <v>119</v>
      </c>
      <c r="AH57" s="778">
        <v>0.20892719084243053</v>
      </c>
      <c r="AI57" s="779">
        <v>51325.94999999999</v>
      </c>
      <c r="AJ57" s="777" t="s">
        <v>119</v>
      </c>
      <c r="AK57" s="778">
        <v>0.17552935455121524</v>
      </c>
      <c r="AL57" s="779">
        <v>54386.109999999993</v>
      </c>
      <c r="AM57" s="777" t="s">
        <v>119</v>
      </c>
      <c r="AN57" s="778">
        <v>0.29517268271729008</v>
      </c>
      <c r="AO57" s="779">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81122.09</v>
      </c>
      <c r="F60" s="785"/>
      <c r="G60" s="786"/>
      <c r="H60" s="788">
        <v>9342.8700000000008</v>
      </c>
      <c r="I60" s="785"/>
      <c r="J60" s="786"/>
      <c r="K60" s="788">
        <v>7178.73</v>
      </c>
      <c r="L60" s="785"/>
      <c r="M60" s="786"/>
      <c r="N60" s="788">
        <v>5765.85</v>
      </c>
      <c r="O60" s="785"/>
      <c r="P60" s="786"/>
      <c r="Q60" s="788">
        <v>6050.54</v>
      </c>
      <c r="R60" s="785"/>
      <c r="S60" s="786"/>
      <c r="T60" s="788">
        <v>7607.19</v>
      </c>
      <c r="U60" s="785"/>
      <c r="V60" s="786"/>
      <c r="W60" s="788">
        <v>5916.23</v>
      </c>
      <c r="X60" s="785"/>
      <c r="Y60" s="786"/>
      <c r="Z60" s="788">
        <v>7279.84</v>
      </c>
      <c r="AA60" s="785"/>
      <c r="AB60" s="786"/>
      <c r="AC60" s="788">
        <v>2665.34</v>
      </c>
      <c r="AD60" s="785"/>
      <c r="AE60" s="786"/>
      <c r="AF60" s="788">
        <v>5210.8500000000004</v>
      </c>
      <c r="AG60" s="785"/>
      <c r="AH60" s="786"/>
      <c r="AI60" s="788">
        <v>10080.58</v>
      </c>
      <c r="AJ60" s="785"/>
      <c r="AK60" s="786"/>
      <c r="AL60" s="788">
        <v>7119.66</v>
      </c>
      <c r="AM60" s="785"/>
      <c r="AN60" s="786"/>
      <c r="AO60" s="788">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84970.739999999991</v>
      </c>
      <c r="F61" s="747"/>
      <c r="G61" s="757"/>
      <c r="H61" s="771">
        <v>5818.91</v>
      </c>
      <c r="I61" s="747"/>
      <c r="J61" s="757"/>
      <c r="K61" s="771">
        <v>8139.24</v>
      </c>
      <c r="L61" s="747"/>
      <c r="M61" s="757"/>
      <c r="N61" s="771">
        <v>7063.11</v>
      </c>
      <c r="O61" s="747"/>
      <c r="P61" s="757"/>
      <c r="Q61" s="771">
        <v>6422.17</v>
      </c>
      <c r="R61" s="747"/>
      <c r="S61" s="757"/>
      <c r="T61" s="771">
        <v>9434.75</v>
      </c>
      <c r="U61" s="747"/>
      <c r="V61" s="757"/>
      <c r="W61" s="771">
        <v>7019.75</v>
      </c>
      <c r="X61" s="747"/>
      <c r="Y61" s="757"/>
      <c r="Z61" s="771">
        <v>7196.92</v>
      </c>
      <c r="AA61" s="747"/>
      <c r="AB61" s="757"/>
      <c r="AC61" s="771">
        <v>6738.03</v>
      </c>
      <c r="AD61" s="747"/>
      <c r="AE61" s="757"/>
      <c r="AF61" s="771">
        <v>7114.48</v>
      </c>
      <c r="AG61" s="747"/>
      <c r="AH61" s="757"/>
      <c r="AI61" s="771">
        <v>6701.59</v>
      </c>
      <c r="AJ61" s="747"/>
      <c r="AK61" s="757"/>
      <c r="AL61" s="771">
        <v>6760.11</v>
      </c>
      <c r="AM61" s="747"/>
      <c r="AN61" s="757"/>
      <c r="AO61" s="771">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17989.309999999998</v>
      </c>
      <c r="F62" s="747"/>
      <c r="G62" s="757"/>
      <c r="H62" s="771">
        <v>738.56</v>
      </c>
      <c r="I62" s="747"/>
      <c r="J62" s="757"/>
      <c r="K62" s="771">
        <v>2412.6</v>
      </c>
      <c r="L62" s="747"/>
      <c r="M62" s="757"/>
      <c r="N62" s="771">
        <v>2012.95</v>
      </c>
      <c r="O62" s="747"/>
      <c r="P62" s="757"/>
      <c r="Q62" s="771">
        <v>925.52</v>
      </c>
      <c r="R62" s="747"/>
      <c r="S62" s="757"/>
      <c r="T62" s="771">
        <v>3463.39</v>
      </c>
      <c r="U62" s="747"/>
      <c r="V62" s="757"/>
      <c r="W62" s="771">
        <v>504.08</v>
      </c>
      <c r="X62" s="747"/>
      <c r="Y62" s="757"/>
      <c r="Z62" s="771">
        <v>818.1</v>
      </c>
      <c r="AA62" s="747"/>
      <c r="AB62" s="757"/>
      <c r="AC62" s="771">
        <v>1465.98</v>
      </c>
      <c r="AD62" s="747"/>
      <c r="AE62" s="757"/>
      <c r="AF62" s="771">
        <v>1420.02</v>
      </c>
      <c r="AG62" s="747"/>
      <c r="AH62" s="757"/>
      <c r="AI62" s="771">
        <v>1507.17</v>
      </c>
      <c r="AJ62" s="747"/>
      <c r="AK62" s="757"/>
      <c r="AL62" s="771">
        <v>1646.26</v>
      </c>
      <c r="AM62" s="747"/>
      <c r="AN62" s="757"/>
      <c r="AO62" s="771">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81747.97</v>
      </c>
      <c r="F63" s="785"/>
      <c r="G63" s="786"/>
      <c r="H63" s="788">
        <v>7190.38</v>
      </c>
      <c r="I63" s="785"/>
      <c r="J63" s="786"/>
      <c r="K63" s="788">
        <v>8043.06</v>
      </c>
      <c r="L63" s="785"/>
      <c r="M63" s="786"/>
      <c r="N63" s="788">
        <v>5970.74</v>
      </c>
      <c r="O63" s="785"/>
      <c r="P63" s="786"/>
      <c r="Q63" s="788">
        <v>5703.27</v>
      </c>
      <c r="R63" s="785"/>
      <c r="S63" s="786"/>
      <c r="T63" s="788">
        <v>6186.31</v>
      </c>
      <c r="U63" s="785"/>
      <c r="V63" s="786"/>
      <c r="W63" s="788">
        <v>6175.67</v>
      </c>
      <c r="X63" s="785"/>
      <c r="Y63" s="786"/>
      <c r="Z63" s="788">
        <v>5967.65</v>
      </c>
      <c r="AA63" s="785"/>
      <c r="AB63" s="786"/>
      <c r="AC63" s="788">
        <v>6269.32</v>
      </c>
      <c r="AD63" s="785"/>
      <c r="AE63" s="786"/>
      <c r="AF63" s="788">
        <v>6350.63</v>
      </c>
      <c r="AG63" s="785"/>
      <c r="AH63" s="786"/>
      <c r="AI63" s="788">
        <v>8041.2</v>
      </c>
      <c r="AJ63" s="785"/>
      <c r="AK63" s="786"/>
      <c r="AL63" s="788">
        <v>8387.93</v>
      </c>
      <c r="AM63" s="785"/>
      <c r="AN63" s="786"/>
      <c r="AO63" s="788">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471.47999999999996</v>
      </c>
      <c r="F64" s="747"/>
      <c r="G64" s="757"/>
      <c r="H64" s="771">
        <v>0</v>
      </c>
      <c r="I64" s="747"/>
      <c r="J64" s="757"/>
      <c r="K64" s="771">
        <v>0</v>
      </c>
      <c r="L64" s="747"/>
      <c r="M64" s="757"/>
      <c r="N64" s="771">
        <v>8.23</v>
      </c>
      <c r="O64" s="747"/>
      <c r="P64" s="757"/>
      <c r="Q64" s="771">
        <v>0</v>
      </c>
      <c r="R64" s="747"/>
      <c r="S64" s="757"/>
      <c r="T64" s="771">
        <v>0</v>
      </c>
      <c r="U64" s="747"/>
      <c r="V64" s="757"/>
      <c r="W64" s="771">
        <v>0</v>
      </c>
      <c r="X64" s="747"/>
      <c r="Y64" s="757"/>
      <c r="Z64" s="771">
        <v>0</v>
      </c>
      <c r="AA64" s="747"/>
      <c r="AB64" s="757"/>
      <c r="AC64" s="771">
        <v>0</v>
      </c>
      <c r="AD64" s="747"/>
      <c r="AE64" s="757"/>
      <c r="AF64" s="771">
        <v>141.18</v>
      </c>
      <c r="AG64" s="747"/>
      <c r="AH64" s="757"/>
      <c r="AI64" s="771">
        <v>0</v>
      </c>
      <c r="AJ64" s="747"/>
      <c r="AK64" s="757"/>
      <c r="AL64" s="771">
        <v>250.25</v>
      </c>
      <c r="AM64" s="747"/>
      <c r="AN64" s="757"/>
      <c r="AO64" s="771">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0</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0</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10026.720000000001</v>
      </c>
      <c r="F66" s="747"/>
      <c r="G66" s="757"/>
      <c r="H66" s="771">
        <v>387.75</v>
      </c>
      <c r="I66" s="747"/>
      <c r="J66" s="757"/>
      <c r="K66" s="771">
        <v>522.87</v>
      </c>
      <c r="L66" s="747"/>
      <c r="M66" s="757"/>
      <c r="N66" s="771">
        <v>1420.85</v>
      </c>
      <c r="O66" s="747"/>
      <c r="P66" s="757"/>
      <c r="Q66" s="771">
        <v>783.41</v>
      </c>
      <c r="R66" s="747"/>
      <c r="S66" s="757"/>
      <c r="T66" s="771">
        <v>536.74</v>
      </c>
      <c r="U66" s="747"/>
      <c r="V66" s="757"/>
      <c r="W66" s="771">
        <v>605.80999999999995</v>
      </c>
      <c r="X66" s="747"/>
      <c r="Y66" s="757"/>
      <c r="Z66" s="771">
        <v>479.83</v>
      </c>
      <c r="AA66" s="747"/>
      <c r="AB66" s="757"/>
      <c r="AC66" s="771">
        <v>1114.19</v>
      </c>
      <c r="AD66" s="747"/>
      <c r="AE66" s="757"/>
      <c r="AF66" s="771">
        <v>751.79</v>
      </c>
      <c r="AG66" s="747"/>
      <c r="AH66" s="757"/>
      <c r="AI66" s="771">
        <v>281.8</v>
      </c>
      <c r="AJ66" s="747"/>
      <c r="AK66" s="757"/>
      <c r="AL66" s="771">
        <v>2065.7600000000002</v>
      </c>
      <c r="AM66" s="747"/>
      <c r="AN66" s="757"/>
      <c r="AO66" s="771">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3799.73</v>
      </c>
      <c r="F67" s="747"/>
      <c r="G67" s="757"/>
      <c r="H67" s="771">
        <v>346.5</v>
      </c>
      <c r="I67" s="747"/>
      <c r="J67" s="757"/>
      <c r="K67" s="771">
        <v>354.25</v>
      </c>
      <c r="L67" s="747"/>
      <c r="M67" s="757"/>
      <c r="N67" s="771">
        <v>268.57</v>
      </c>
      <c r="O67" s="747"/>
      <c r="P67" s="757"/>
      <c r="Q67" s="771">
        <v>233.07</v>
      </c>
      <c r="R67" s="747"/>
      <c r="S67" s="757"/>
      <c r="T67" s="771">
        <v>338.47</v>
      </c>
      <c r="U67" s="747"/>
      <c r="V67" s="757"/>
      <c r="W67" s="771">
        <v>232.9</v>
      </c>
      <c r="X67" s="747"/>
      <c r="Y67" s="757"/>
      <c r="Z67" s="771">
        <v>233.9</v>
      </c>
      <c r="AA67" s="747"/>
      <c r="AB67" s="757"/>
      <c r="AC67" s="771">
        <v>597.5</v>
      </c>
      <c r="AD67" s="747"/>
      <c r="AE67" s="757"/>
      <c r="AF67" s="771">
        <v>294.13</v>
      </c>
      <c r="AG67" s="747"/>
      <c r="AH67" s="757"/>
      <c r="AI67" s="771">
        <v>303.89</v>
      </c>
      <c r="AJ67" s="747"/>
      <c r="AK67" s="757"/>
      <c r="AL67" s="771">
        <v>280.55</v>
      </c>
      <c r="AM67" s="747"/>
      <c r="AN67" s="757"/>
      <c r="AO67" s="771">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1622.4400000000003</v>
      </c>
      <c r="F68" s="747"/>
      <c r="G68" s="757"/>
      <c r="H68" s="771">
        <v>102.26</v>
      </c>
      <c r="I68" s="747"/>
      <c r="J68" s="757"/>
      <c r="K68" s="771">
        <v>88.51</v>
      </c>
      <c r="L68" s="747"/>
      <c r="M68" s="757"/>
      <c r="N68" s="771">
        <v>84.98</v>
      </c>
      <c r="O68" s="747"/>
      <c r="P68" s="757"/>
      <c r="Q68" s="771">
        <v>129.09</v>
      </c>
      <c r="R68" s="747"/>
      <c r="S68" s="757"/>
      <c r="T68" s="771">
        <v>115.6</v>
      </c>
      <c r="U68" s="747"/>
      <c r="V68" s="757"/>
      <c r="W68" s="771">
        <v>81.84</v>
      </c>
      <c r="X68" s="747"/>
      <c r="Y68" s="757"/>
      <c r="Z68" s="771">
        <v>130.12</v>
      </c>
      <c r="AA68" s="747"/>
      <c r="AB68" s="757"/>
      <c r="AC68" s="771">
        <v>103.55</v>
      </c>
      <c r="AD68" s="747"/>
      <c r="AE68" s="757"/>
      <c r="AF68" s="771">
        <v>133.46</v>
      </c>
      <c r="AG68" s="747"/>
      <c r="AH68" s="757"/>
      <c r="AI68" s="771">
        <v>252.96</v>
      </c>
      <c r="AJ68" s="747"/>
      <c r="AK68" s="757"/>
      <c r="AL68" s="771">
        <v>169.87</v>
      </c>
      <c r="AM68" s="747"/>
      <c r="AN68" s="757"/>
      <c r="AO68" s="771">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1959.2599999999998</v>
      </c>
      <c r="F69" s="747"/>
      <c r="G69" s="757"/>
      <c r="H69" s="771">
        <v>567.02</v>
      </c>
      <c r="I69" s="747"/>
      <c r="J69" s="757"/>
      <c r="K69" s="771">
        <v>283.39</v>
      </c>
      <c r="L69" s="747"/>
      <c r="M69" s="757"/>
      <c r="N69" s="771">
        <v>66.3</v>
      </c>
      <c r="O69" s="747"/>
      <c r="P69" s="757"/>
      <c r="Q69" s="771">
        <v>116.88</v>
      </c>
      <c r="R69" s="747"/>
      <c r="S69" s="757"/>
      <c r="T69" s="771">
        <v>78.52</v>
      </c>
      <c r="U69" s="747"/>
      <c r="V69" s="757"/>
      <c r="W69" s="771">
        <v>111.34</v>
      </c>
      <c r="X69" s="747"/>
      <c r="Y69" s="757"/>
      <c r="Z69" s="771">
        <v>106.21</v>
      </c>
      <c r="AA69" s="747"/>
      <c r="AB69" s="757"/>
      <c r="AC69" s="771">
        <v>112.7</v>
      </c>
      <c r="AD69" s="747"/>
      <c r="AE69" s="757"/>
      <c r="AF69" s="771">
        <v>199.88</v>
      </c>
      <c r="AG69" s="747"/>
      <c r="AH69" s="757"/>
      <c r="AI69" s="771">
        <v>120</v>
      </c>
      <c r="AJ69" s="747"/>
      <c r="AK69" s="757"/>
      <c r="AL69" s="771">
        <v>102.8</v>
      </c>
      <c r="AM69" s="747"/>
      <c r="AN69" s="757"/>
      <c r="AO69" s="771">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21671.25</v>
      </c>
      <c r="F70" s="747"/>
      <c r="G70" s="757"/>
      <c r="H70" s="771">
        <v>700.25</v>
      </c>
      <c r="I70" s="747"/>
      <c r="J70" s="757"/>
      <c r="K70" s="771">
        <v>2862.04</v>
      </c>
      <c r="L70" s="747"/>
      <c r="M70" s="757"/>
      <c r="N70" s="771">
        <v>6662.96</v>
      </c>
      <c r="O70" s="747"/>
      <c r="P70" s="757"/>
      <c r="Q70" s="771">
        <v>2687.5</v>
      </c>
      <c r="R70" s="747"/>
      <c r="S70" s="757"/>
      <c r="T70" s="771">
        <v>783.47</v>
      </c>
      <c r="U70" s="747"/>
      <c r="V70" s="757"/>
      <c r="W70" s="771">
        <v>487.93</v>
      </c>
      <c r="X70" s="747"/>
      <c r="Y70" s="757"/>
      <c r="Z70" s="771">
        <v>177.08</v>
      </c>
      <c r="AA70" s="747"/>
      <c r="AB70" s="757"/>
      <c r="AC70" s="771">
        <v>832.06</v>
      </c>
      <c r="AD70" s="747"/>
      <c r="AE70" s="757"/>
      <c r="AF70" s="771">
        <v>1644.02</v>
      </c>
      <c r="AG70" s="747"/>
      <c r="AH70" s="757"/>
      <c r="AI70" s="771">
        <v>2106.41</v>
      </c>
      <c r="AJ70" s="747"/>
      <c r="AK70" s="757"/>
      <c r="AL70" s="771">
        <v>2190.54</v>
      </c>
      <c r="AM70" s="747"/>
      <c r="AN70" s="757"/>
      <c r="AO70" s="771">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42299.27</v>
      </c>
      <c r="F71" s="747"/>
      <c r="G71" s="757"/>
      <c r="H71" s="771">
        <v>3141.73</v>
      </c>
      <c r="I71" s="747"/>
      <c r="J71" s="757"/>
      <c r="K71" s="771">
        <v>2483.42</v>
      </c>
      <c r="L71" s="747"/>
      <c r="M71" s="757"/>
      <c r="N71" s="771">
        <v>357.08</v>
      </c>
      <c r="O71" s="747"/>
      <c r="P71" s="757"/>
      <c r="Q71" s="771">
        <v>3025.62</v>
      </c>
      <c r="R71" s="747"/>
      <c r="S71" s="757"/>
      <c r="T71" s="771">
        <v>7746.73</v>
      </c>
      <c r="U71" s="747"/>
      <c r="V71" s="757"/>
      <c r="W71" s="771">
        <v>3537.15</v>
      </c>
      <c r="X71" s="747"/>
      <c r="Y71" s="757"/>
      <c r="Z71" s="771">
        <v>3406.43</v>
      </c>
      <c r="AA71" s="747"/>
      <c r="AB71" s="757"/>
      <c r="AC71" s="771">
        <v>2659.84</v>
      </c>
      <c r="AD71" s="747"/>
      <c r="AE71" s="757"/>
      <c r="AF71" s="771">
        <v>3603.56</v>
      </c>
      <c r="AG71" s="747"/>
      <c r="AH71" s="757"/>
      <c r="AI71" s="771">
        <v>4006.58</v>
      </c>
      <c r="AJ71" s="747"/>
      <c r="AK71" s="757"/>
      <c r="AL71" s="771">
        <v>5124.82</v>
      </c>
      <c r="AM71" s="747"/>
      <c r="AN71" s="757"/>
      <c r="AO71" s="771">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0.15179955889180394</v>
      </c>
      <c r="E75" s="779">
        <v>347680.25999999995</v>
      </c>
      <c r="F75" s="777" t="s">
        <v>119</v>
      </c>
      <c r="G75" s="778">
        <v>0.193640608653634</v>
      </c>
      <c r="H75" s="779">
        <v>28336.23</v>
      </c>
      <c r="I75" s="777" t="s">
        <v>119</v>
      </c>
      <c r="J75" s="778">
        <v>0.30792858227377018</v>
      </c>
      <c r="K75" s="779">
        <v>32368.11</v>
      </c>
      <c r="L75" s="777" t="s">
        <v>119</v>
      </c>
      <c r="M75" s="778">
        <v>0.14977518800604434</v>
      </c>
      <c r="N75" s="779">
        <v>29681.62</v>
      </c>
      <c r="O75" s="777" t="s">
        <v>119</v>
      </c>
      <c r="P75" s="778">
        <v>0.19158040294297063</v>
      </c>
      <c r="Q75" s="779">
        <v>26077.07</v>
      </c>
      <c r="R75" s="777" t="s">
        <v>119</v>
      </c>
      <c r="S75" s="778">
        <v>0.17602700979234495</v>
      </c>
      <c r="T75" s="779">
        <v>36291.17</v>
      </c>
      <c r="U75" s="777" t="s">
        <v>119</v>
      </c>
      <c r="V75" s="778">
        <v>0.12011125943928826</v>
      </c>
      <c r="W75" s="779">
        <v>24672.700000000004</v>
      </c>
      <c r="X75" s="777" t="s">
        <v>119</v>
      </c>
      <c r="Y75" s="778">
        <v>0.16727623695257843</v>
      </c>
      <c r="Z75" s="779">
        <v>25796.080000000005</v>
      </c>
      <c r="AA75" s="777" t="s">
        <v>119</v>
      </c>
      <c r="AB75" s="778">
        <v>0.11166770446279078</v>
      </c>
      <c r="AC75" s="779">
        <v>22558.51</v>
      </c>
      <c r="AD75" s="777" t="s">
        <v>119</v>
      </c>
      <c r="AE75" s="778">
        <v>0.13562454537707316</v>
      </c>
      <c r="AF75" s="779">
        <v>26864.000000000004</v>
      </c>
      <c r="AG75" s="777" t="s">
        <v>119</v>
      </c>
      <c r="AH75" s="778">
        <v>0.13596676993632298</v>
      </c>
      <c r="AI75" s="779">
        <v>33402.179999999993</v>
      </c>
      <c r="AJ75" s="777" t="s">
        <v>119</v>
      </c>
      <c r="AK75" s="778">
        <v>0.11005193187437641</v>
      </c>
      <c r="AL75" s="779">
        <v>34098.550000000003</v>
      </c>
      <c r="AM75" s="777" t="s">
        <v>119</v>
      </c>
      <c r="AN75" s="778">
        <v>0.15024664828065973</v>
      </c>
      <c r="AO75" s="779">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0.8957560969571815</v>
      </c>
      <c r="E77" s="789">
        <v>2051631.2100000002</v>
      </c>
      <c r="F77" s="777" t="s">
        <v>119</v>
      </c>
      <c r="G77" s="778">
        <v>1.0756920480546817</v>
      </c>
      <c r="H77" s="789">
        <v>157410.46000000002</v>
      </c>
      <c r="I77" s="777" t="s">
        <v>119</v>
      </c>
      <c r="J77" s="778">
        <v>1.4507328310040262</v>
      </c>
      <c r="K77" s="789">
        <v>152494.71000000002</v>
      </c>
      <c r="L77" s="777" t="s">
        <v>119</v>
      </c>
      <c r="M77" s="778">
        <v>0.87776544184700467</v>
      </c>
      <c r="N77" s="789">
        <v>173950.70999999996</v>
      </c>
      <c r="O77" s="777" t="s">
        <v>119</v>
      </c>
      <c r="P77" s="778">
        <v>1.1936390951393223</v>
      </c>
      <c r="Q77" s="789">
        <v>162472.82999999999</v>
      </c>
      <c r="R77" s="777" t="s">
        <v>119</v>
      </c>
      <c r="S77" s="778">
        <v>0.91699679761460839</v>
      </c>
      <c r="T77" s="789">
        <v>189055.56999999995</v>
      </c>
      <c r="U77" s="777" t="s">
        <v>119</v>
      </c>
      <c r="V77" s="778">
        <v>0.88706741432895553</v>
      </c>
      <c r="W77" s="789">
        <v>182217.29</v>
      </c>
      <c r="X77" s="777" t="s">
        <v>119</v>
      </c>
      <c r="Y77" s="778">
        <v>1.0961581184814777</v>
      </c>
      <c r="Z77" s="789">
        <v>169041.24000000002</v>
      </c>
      <c r="AA77" s="777" t="s">
        <v>119</v>
      </c>
      <c r="AB77" s="778">
        <v>0.7823794246981034</v>
      </c>
      <c r="AC77" s="789">
        <v>158052.09</v>
      </c>
      <c r="AD77" s="777" t="s">
        <v>119</v>
      </c>
      <c r="AE77" s="778">
        <v>0.78385181382683844</v>
      </c>
      <c r="AF77" s="789">
        <v>155262.42000000001</v>
      </c>
      <c r="AG77" s="777" t="s">
        <v>119</v>
      </c>
      <c r="AH77" s="778">
        <v>0.68129063446706328</v>
      </c>
      <c r="AI77" s="789">
        <v>167368.77999999997</v>
      </c>
      <c r="AJ77" s="777" t="s">
        <v>119</v>
      </c>
      <c r="AK77" s="778">
        <v>0.68020830973248358</v>
      </c>
      <c r="AL77" s="789">
        <v>210756.11</v>
      </c>
      <c r="AM77" s="777" t="s">
        <v>119</v>
      </c>
      <c r="AN77" s="778">
        <v>0.94701524231315892</v>
      </c>
      <c r="AO77" s="789">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31556</v>
      </c>
      <c r="F78" s="747"/>
      <c r="G78" s="757"/>
      <c r="H78" s="771">
        <v>0</v>
      </c>
      <c r="I78" s="747"/>
      <c r="J78" s="757"/>
      <c r="K78" s="771">
        <v>0</v>
      </c>
      <c r="L78" s="747"/>
      <c r="M78" s="757"/>
      <c r="N78" s="771">
        <v>0</v>
      </c>
      <c r="O78" s="747"/>
      <c r="P78" s="757"/>
      <c r="Q78" s="771">
        <v>0</v>
      </c>
      <c r="R78" s="747"/>
      <c r="S78" s="757"/>
      <c r="T78" s="771">
        <v>0</v>
      </c>
      <c r="U78" s="747"/>
      <c r="V78" s="757"/>
      <c r="W78" s="771">
        <v>0</v>
      </c>
      <c r="X78" s="747"/>
      <c r="Y78" s="757"/>
      <c r="Z78" s="771">
        <v>0</v>
      </c>
      <c r="AA78" s="747"/>
      <c r="AB78" s="757"/>
      <c r="AC78" s="771">
        <v>0</v>
      </c>
      <c r="AD78" s="747"/>
      <c r="AE78" s="757"/>
      <c r="AF78" s="771">
        <v>0</v>
      </c>
      <c r="AG78" s="747"/>
      <c r="AH78" s="757"/>
      <c r="AI78" s="771">
        <v>0</v>
      </c>
      <c r="AJ78" s="747"/>
      <c r="AK78" s="757"/>
      <c r="AL78" s="771">
        <v>0</v>
      </c>
      <c r="AM78" s="747"/>
      <c r="AN78" s="757"/>
      <c r="AO78" s="771">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679516.07</v>
      </c>
      <c r="F81" s="747"/>
      <c r="G81" s="757"/>
      <c r="H81" s="771">
        <v>49875</v>
      </c>
      <c r="I81" s="747"/>
      <c r="J81" s="757"/>
      <c r="K81" s="771">
        <v>15765</v>
      </c>
      <c r="L81" s="747"/>
      <c r="M81" s="757"/>
      <c r="N81" s="771">
        <v>49529.35</v>
      </c>
      <c r="O81" s="747"/>
      <c r="P81" s="757"/>
      <c r="Q81" s="771">
        <v>39086.080000000002</v>
      </c>
      <c r="R81" s="747"/>
      <c r="S81" s="757"/>
      <c r="T81" s="771">
        <v>67424.75</v>
      </c>
      <c r="U81" s="747"/>
      <c r="V81" s="757"/>
      <c r="W81" s="771">
        <v>63469.55</v>
      </c>
      <c r="X81" s="747"/>
      <c r="Y81" s="757"/>
      <c r="Z81" s="771">
        <v>42698.55</v>
      </c>
      <c r="AA81" s="747"/>
      <c r="AB81" s="757"/>
      <c r="AC81" s="771">
        <v>59882.85</v>
      </c>
      <c r="AD81" s="747"/>
      <c r="AE81" s="757"/>
      <c r="AF81" s="771">
        <v>58938</v>
      </c>
      <c r="AG81" s="747"/>
      <c r="AH81" s="757"/>
      <c r="AI81" s="771">
        <v>77258.09</v>
      </c>
      <c r="AJ81" s="747"/>
      <c r="AK81" s="757"/>
      <c r="AL81" s="771">
        <v>100428</v>
      </c>
      <c r="AM81" s="747"/>
      <c r="AN81" s="757"/>
      <c r="AO81" s="771">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271044.90000000002</v>
      </c>
      <c r="F85" s="747"/>
      <c r="G85" s="757"/>
      <c r="H85" s="771">
        <v>17432</v>
      </c>
      <c r="I85" s="747"/>
      <c r="J85" s="757"/>
      <c r="K85" s="771">
        <v>9307</v>
      </c>
      <c r="L85" s="747"/>
      <c r="M85" s="757"/>
      <c r="N85" s="771">
        <v>16474</v>
      </c>
      <c r="O85" s="747"/>
      <c r="P85" s="757"/>
      <c r="Q85" s="771">
        <v>12599</v>
      </c>
      <c r="R85" s="747"/>
      <c r="S85" s="757"/>
      <c r="T85" s="771">
        <v>23301</v>
      </c>
      <c r="U85" s="747"/>
      <c r="V85" s="757"/>
      <c r="W85" s="771">
        <v>26386</v>
      </c>
      <c r="X85" s="747"/>
      <c r="Y85" s="757"/>
      <c r="Z85" s="771">
        <v>19446</v>
      </c>
      <c r="AA85" s="747"/>
      <c r="AB85" s="757"/>
      <c r="AC85" s="771">
        <v>26922</v>
      </c>
      <c r="AD85" s="747"/>
      <c r="AE85" s="757"/>
      <c r="AF85" s="771">
        <v>25665</v>
      </c>
      <c r="AG85" s="747"/>
      <c r="AH85" s="757"/>
      <c r="AI85" s="771">
        <v>29179</v>
      </c>
      <c r="AJ85" s="747"/>
      <c r="AK85" s="757"/>
      <c r="AL85" s="771">
        <v>41872.9</v>
      </c>
      <c r="AM85" s="747"/>
      <c r="AN85" s="757"/>
      <c r="AO85" s="771">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982116.97</v>
      </c>
      <c r="F86" s="790"/>
      <c r="G86" s="791"/>
      <c r="H86" s="792">
        <v>67307</v>
      </c>
      <c r="I86" s="790"/>
      <c r="J86" s="791"/>
      <c r="K86" s="792">
        <v>25072</v>
      </c>
      <c r="L86" s="790"/>
      <c r="M86" s="791"/>
      <c r="N86" s="792">
        <v>66003.350000000006</v>
      </c>
      <c r="O86" s="790"/>
      <c r="P86" s="791"/>
      <c r="Q86" s="792">
        <v>51685.08</v>
      </c>
      <c r="R86" s="790"/>
      <c r="S86" s="791"/>
      <c r="T86" s="792">
        <v>90725.75</v>
      </c>
      <c r="U86" s="790"/>
      <c r="V86" s="791"/>
      <c r="W86" s="792">
        <v>89855.55</v>
      </c>
      <c r="X86" s="790"/>
      <c r="Y86" s="791"/>
      <c r="Z86" s="792">
        <v>62144.55</v>
      </c>
      <c r="AA86" s="790"/>
      <c r="AB86" s="791"/>
      <c r="AC86" s="792">
        <v>86804.85</v>
      </c>
      <c r="AD86" s="790"/>
      <c r="AE86" s="791"/>
      <c r="AF86" s="792">
        <v>84603</v>
      </c>
      <c r="AG86" s="790"/>
      <c r="AH86" s="791"/>
      <c r="AI86" s="792">
        <v>106437.09</v>
      </c>
      <c r="AJ86" s="790"/>
      <c r="AK86" s="791"/>
      <c r="AL86" s="792">
        <v>142300.9</v>
      </c>
      <c r="AM86" s="790"/>
      <c r="AN86" s="791"/>
      <c r="AO86" s="792">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1220876.2099999972</v>
      </c>
      <c r="F88" s="796"/>
      <c r="G88" s="797"/>
      <c r="H88" s="798">
        <v>56230.669999999955</v>
      </c>
      <c r="I88" s="796"/>
      <c r="J88" s="797"/>
      <c r="K88" s="798">
        <v>-22307.070000000036</v>
      </c>
      <c r="L88" s="796"/>
      <c r="M88" s="797"/>
      <c r="N88" s="798">
        <v>90227.119999999559</v>
      </c>
      <c r="O88" s="796"/>
      <c r="P88" s="797"/>
      <c r="Q88" s="798">
        <v>25327.789999999819</v>
      </c>
      <c r="R88" s="796"/>
      <c r="S88" s="797"/>
      <c r="T88" s="798">
        <v>107838.36999999985</v>
      </c>
      <c r="U88" s="796"/>
      <c r="V88" s="797"/>
      <c r="W88" s="798">
        <v>113053.64000000017</v>
      </c>
      <c r="X88" s="796"/>
      <c r="Y88" s="797"/>
      <c r="Z88" s="798">
        <v>47315.769999999888</v>
      </c>
      <c r="AA88" s="796"/>
      <c r="AB88" s="797"/>
      <c r="AC88" s="798">
        <v>130767.38999999972</v>
      </c>
      <c r="AD88" s="796"/>
      <c r="AE88" s="797"/>
      <c r="AF88" s="798">
        <v>127416.81999999977</v>
      </c>
      <c r="AG88" s="796"/>
      <c r="AH88" s="797"/>
      <c r="AI88" s="798">
        <v>184732.59999999905</v>
      </c>
      <c r="AJ88" s="796"/>
      <c r="AK88" s="797"/>
      <c r="AL88" s="798">
        <v>241385.33000000005</v>
      </c>
      <c r="AM88" s="796"/>
      <c r="AN88" s="797"/>
      <c r="AO88" s="798">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3870</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2023</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16855455.29999996</v>
      </c>
      <c r="F96" s="735"/>
      <c r="G96" s="736"/>
      <c r="H96" s="805">
        <v>1296133.08</v>
      </c>
      <c r="I96" s="735"/>
      <c r="J96" s="736"/>
      <c r="K96" s="805">
        <v>1497630.22</v>
      </c>
      <c r="L96" s="735"/>
      <c r="M96" s="736"/>
      <c r="N96" s="805">
        <v>1620696.5999999901</v>
      </c>
      <c r="O96" s="735"/>
      <c r="P96" s="736"/>
      <c r="Q96" s="805">
        <v>738971.179999999</v>
      </c>
      <c r="R96" s="735"/>
      <c r="S96" s="736"/>
      <c r="T96" s="805">
        <v>1554686.55</v>
      </c>
      <c r="U96" s="735"/>
      <c r="V96" s="736"/>
      <c r="W96" s="805">
        <v>1977586.1099999901</v>
      </c>
      <c r="X96" s="735"/>
      <c r="Y96" s="736"/>
      <c r="Z96" s="805">
        <v>1727866.74999999</v>
      </c>
      <c r="AA96" s="735"/>
      <c r="AB96" s="736"/>
      <c r="AC96" s="805">
        <v>1894182.16</v>
      </c>
      <c r="AD96" s="735"/>
      <c r="AE96" s="736"/>
      <c r="AF96" s="805">
        <v>1244144.26</v>
      </c>
      <c r="AG96" s="735"/>
      <c r="AH96" s="736"/>
      <c r="AI96" s="805">
        <v>1412113.8299999901</v>
      </c>
      <c r="AJ96" s="735"/>
      <c r="AK96" s="736"/>
      <c r="AL96" s="805">
        <v>1111062.75</v>
      </c>
      <c r="AM96" s="735"/>
      <c r="AN96" s="736"/>
      <c r="AO96" s="805">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277</v>
      </c>
      <c r="D97" s="740">
        <v>1593.4981227436801</v>
      </c>
      <c r="E97" s="741">
        <v>441398.9799999994</v>
      </c>
      <c r="F97" s="742">
        <v>24</v>
      </c>
      <c r="G97" s="740">
        <v>1385.6670833333292</v>
      </c>
      <c r="H97" s="743">
        <v>33256.0099999999</v>
      </c>
      <c r="I97" s="742">
        <v>25</v>
      </c>
      <c r="J97" s="740">
        <v>1372.090399999996</v>
      </c>
      <c r="K97" s="743">
        <v>34302.2599999999</v>
      </c>
      <c r="L97" s="742">
        <v>34</v>
      </c>
      <c r="M97" s="740">
        <v>1614.0461764705851</v>
      </c>
      <c r="N97" s="743">
        <v>54877.569999999898</v>
      </c>
      <c r="O97" s="742">
        <v>15</v>
      </c>
      <c r="P97" s="740">
        <v>1983.7439999999935</v>
      </c>
      <c r="Q97" s="743">
        <v>29756.159999999902</v>
      </c>
      <c r="R97" s="742">
        <v>15</v>
      </c>
      <c r="S97" s="740">
        <v>1755.5306666666665</v>
      </c>
      <c r="T97" s="743">
        <v>26332.959999999999</v>
      </c>
      <c r="U97" s="742">
        <v>18</v>
      </c>
      <c r="V97" s="740">
        <v>2437.2944444444447</v>
      </c>
      <c r="W97" s="743">
        <v>43871.3</v>
      </c>
      <c r="X97" s="742">
        <v>32</v>
      </c>
      <c r="Y97" s="740">
        <v>1795.72</v>
      </c>
      <c r="Z97" s="743">
        <v>57463.040000000001</v>
      </c>
      <c r="AA97" s="742">
        <v>35</v>
      </c>
      <c r="AB97" s="740">
        <v>878.82857142856858</v>
      </c>
      <c r="AC97" s="743">
        <v>30758.999999999902</v>
      </c>
      <c r="AD97" s="742">
        <v>29</v>
      </c>
      <c r="AE97" s="740">
        <v>1929.9779310344827</v>
      </c>
      <c r="AF97" s="743">
        <v>55969.36</v>
      </c>
      <c r="AG97" s="742">
        <v>21</v>
      </c>
      <c r="AH97" s="740">
        <v>1924.4195238095238</v>
      </c>
      <c r="AI97" s="743">
        <v>40412.81</v>
      </c>
      <c r="AJ97" s="742">
        <v>16</v>
      </c>
      <c r="AK97" s="740">
        <v>1359.5374999999999</v>
      </c>
      <c r="AL97" s="743">
        <v>21752.6</v>
      </c>
      <c r="AM97" s="742">
        <v>13</v>
      </c>
      <c r="AN97" s="740">
        <v>972.76230769230767</v>
      </c>
      <c r="AO97" s="743">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49</v>
      </c>
      <c r="D98" s="740">
        <v>1832.4291836734628</v>
      </c>
      <c r="E98" s="741">
        <v>89789.029999999679</v>
      </c>
      <c r="F98" s="742">
        <v>2</v>
      </c>
      <c r="G98" s="740">
        <v>-934.86499999999501</v>
      </c>
      <c r="H98" s="743">
        <v>-1869.72999999999</v>
      </c>
      <c r="I98" s="742">
        <v>1</v>
      </c>
      <c r="J98" s="740">
        <v>-2595.5</v>
      </c>
      <c r="K98" s="743">
        <v>-2595.5</v>
      </c>
      <c r="L98" s="742">
        <v>1</v>
      </c>
      <c r="M98" s="740">
        <v>951</v>
      </c>
      <c r="N98" s="743">
        <v>951</v>
      </c>
      <c r="O98" s="742">
        <v>5</v>
      </c>
      <c r="P98" s="740">
        <v>2587.1639999999798</v>
      </c>
      <c r="Q98" s="743">
        <v>12935.8199999999</v>
      </c>
      <c r="R98" s="742">
        <v>10</v>
      </c>
      <c r="S98" s="740">
        <v>2407.5810000000001</v>
      </c>
      <c r="T98" s="743">
        <v>24075.81</v>
      </c>
      <c r="U98" s="742">
        <v>7</v>
      </c>
      <c r="V98" s="740">
        <v>1925.8071428571286</v>
      </c>
      <c r="W98" s="743">
        <v>13480.6499999999</v>
      </c>
      <c r="X98" s="742">
        <v>4</v>
      </c>
      <c r="Y98" s="740">
        <v>1612.4724999999976</v>
      </c>
      <c r="Z98" s="743">
        <v>6449.8899999999903</v>
      </c>
      <c r="AA98" s="742">
        <v>1</v>
      </c>
      <c r="AB98" s="740">
        <v>3601.1</v>
      </c>
      <c r="AC98" s="743">
        <v>3601.1</v>
      </c>
      <c r="AD98" s="742">
        <v>4</v>
      </c>
      <c r="AE98" s="740">
        <v>2172.4674999999975</v>
      </c>
      <c r="AF98" s="743">
        <v>8689.8699999999899</v>
      </c>
      <c r="AG98" s="742">
        <v>5</v>
      </c>
      <c r="AH98" s="740">
        <v>2390.0219999999799</v>
      </c>
      <c r="AI98" s="743">
        <v>11950.109999999901</v>
      </c>
      <c r="AJ98" s="742">
        <v>4</v>
      </c>
      <c r="AK98" s="740">
        <v>817.01750000000004</v>
      </c>
      <c r="AL98" s="743">
        <v>3268.07</v>
      </c>
      <c r="AM98" s="742">
        <v>5</v>
      </c>
      <c r="AN98" s="740">
        <v>1770.3879999999979</v>
      </c>
      <c r="AO98" s="743">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c r="D99" s="740"/>
      <c r="E99" s="741"/>
      <c r="F99" s="742"/>
      <c r="G99" s="740"/>
      <c r="H99" s="743"/>
      <c r="I99" s="742"/>
      <c r="J99" s="740"/>
      <c r="K99" s="743"/>
      <c r="L99" s="742"/>
      <c r="M99" s="740"/>
      <c r="N99" s="743"/>
      <c r="O99" s="742"/>
      <c r="P99" s="740"/>
      <c r="Q99" s="743"/>
      <c r="R99" s="742"/>
      <c r="S99" s="740"/>
      <c r="T99" s="743"/>
      <c r="U99" s="742"/>
      <c r="V99" s="740"/>
      <c r="W99" s="743"/>
      <c r="X99" s="742"/>
      <c r="Y99" s="740"/>
      <c r="Z99" s="743"/>
      <c r="AA99" s="742"/>
      <c r="AB99" s="740"/>
      <c r="AC99" s="743"/>
      <c r="AD99" s="742"/>
      <c r="AE99" s="740"/>
      <c r="AF99" s="743"/>
      <c r="AG99" s="742"/>
      <c r="AH99" s="740"/>
      <c r="AI99" s="743"/>
      <c r="AJ99" s="742"/>
      <c r="AK99" s="740"/>
      <c r="AL99" s="743"/>
      <c r="AM99" s="742"/>
      <c r="AN99" s="740"/>
      <c r="AO99" s="743"/>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326</v>
      </c>
      <c r="D100" s="745">
        <v>1629.4110736196292</v>
      </c>
      <c r="E100" s="746">
        <v>531188.00999999908</v>
      </c>
      <c r="F100" s="744">
        <v>26</v>
      </c>
      <c r="G100" s="745">
        <v>1207.164615384612</v>
      </c>
      <c r="H100" s="746">
        <v>31386.279999999912</v>
      </c>
      <c r="I100" s="744">
        <v>26</v>
      </c>
      <c r="J100" s="745">
        <v>1219.4907692307654</v>
      </c>
      <c r="K100" s="746">
        <v>31706.7599999999</v>
      </c>
      <c r="L100" s="744">
        <v>35</v>
      </c>
      <c r="M100" s="745">
        <v>1595.1019999999971</v>
      </c>
      <c r="N100" s="746">
        <v>55828.569999999898</v>
      </c>
      <c r="O100" s="744">
        <v>20</v>
      </c>
      <c r="P100" s="745">
        <v>2134.5989999999902</v>
      </c>
      <c r="Q100" s="746">
        <v>42691.979999999799</v>
      </c>
      <c r="R100" s="744">
        <v>25</v>
      </c>
      <c r="S100" s="745">
        <v>2016.3508000000002</v>
      </c>
      <c r="T100" s="746">
        <v>50408.770000000004</v>
      </c>
      <c r="U100" s="744">
        <v>25</v>
      </c>
      <c r="V100" s="745">
        <v>2294.0779999999959</v>
      </c>
      <c r="W100" s="746">
        <v>57351.949999999903</v>
      </c>
      <c r="X100" s="744">
        <v>36</v>
      </c>
      <c r="Y100" s="745">
        <v>1775.3591666666664</v>
      </c>
      <c r="Z100" s="746">
        <v>63912.929999999993</v>
      </c>
      <c r="AA100" s="744">
        <v>36</v>
      </c>
      <c r="AB100" s="745">
        <v>954.44722222221958</v>
      </c>
      <c r="AC100" s="746">
        <v>34360.099999999904</v>
      </c>
      <c r="AD100" s="744">
        <v>33</v>
      </c>
      <c r="AE100" s="745">
        <v>1959.3706060606057</v>
      </c>
      <c r="AF100" s="746">
        <v>64659.229999999989</v>
      </c>
      <c r="AG100" s="744">
        <v>26</v>
      </c>
      <c r="AH100" s="745">
        <v>2013.9584615384576</v>
      </c>
      <c r="AI100" s="746">
        <v>52362.919999999896</v>
      </c>
      <c r="AJ100" s="744">
        <v>20</v>
      </c>
      <c r="AK100" s="745">
        <v>1251.0335</v>
      </c>
      <c r="AL100" s="746">
        <v>25020.67</v>
      </c>
      <c r="AM100" s="744">
        <v>18</v>
      </c>
      <c r="AN100" s="745">
        <v>1194.3249999999996</v>
      </c>
      <c r="AO100" s="746">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v>0</v>
      </c>
      <c r="J102" s="757"/>
      <c r="K102" s="748">
        <v>0</v>
      </c>
      <c r="L102" s="747">
        <v>0</v>
      </c>
      <c r="M102" s="757"/>
      <c r="N102" s="748">
        <v>0</v>
      </c>
      <c r="O102" s="747">
        <v>0</v>
      </c>
      <c r="P102" s="757"/>
      <c r="Q102" s="748">
        <v>0</v>
      </c>
      <c r="R102" s="747">
        <v>0</v>
      </c>
      <c r="S102" s="757"/>
      <c r="T102" s="748">
        <v>0</v>
      </c>
      <c r="U102" s="747">
        <v>0</v>
      </c>
      <c r="V102" s="757"/>
      <c r="W102" s="748">
        <v>0</v>
      </c>
      <c r="X102" s="747">
        <v>0</v>
      </c>
      <c r="Y102" s="757"/>
      <c r="Z102" s="748">
        <v>0</v>
      </c>
      <c r="AA102" s="747">
        <v>0</v>
      </c>
      <c r="AB102" s="757"/>
      <c r="AC102" s="748">
        <v>0</v>
      </c>
      <c r="AD102" s="747">
        <v>0</v>
      </c>
      <c r="AE102" s="757"/>
      <c r="AF102" s="748">
        <v>0</v>
      </c>
      <c r="AG102" s="747">
        <v>0</v>
      </c>
      <c r="AH102" s="757"/>
      <c r="AI102" s="748">
        <v>0</v>
      </c>
      <c r="AJ102" s="747">
        <v>0</v>
      </c>
      <c r="AK102" s="757"/>
      <c r="AL102" s="748">
        <v>0</v>
      </c>
      <c r="AM102" s="747">
        <v>0</v>
      </c>
      <c r="AN102" s="757"/>
      <c r="AO102" s="748">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388</v>
      </c>
      <c r="D103" s="740">
        <v>407.72474226804064</v>
      </c>
      <c r="E103" s="741">
        <v>158197.19999999978</v>
      </c>
      <c r="F103" s="742">
        <v>34</v>
      </c>
      <c r="G103" s="740">
        <v>996.86470588235295</v>
      </c>
      <c r="H103" s="743">
        <v>33893.4</v>
      </c>
      <c r="I103" s="742">
        <v>30</v>
      </c>
      <c r="J103" s="740">
        <v>494.24499999999665</v>
      </c>
      <c r="K103" s="743">
        <v>14827.3499999999</v>
      </c>
      <c r="L103" s="742">
        <v>32</v>
      </c>
      <c r="M103" s="740">
        <v>198.24874999999875</v>
      </c>
      <c r="N103" s="743">
        <v>6343.95999999996</v>
      </c>
      <c r="O103" s="742">
        <v>10</v>
      </c>
      <c r="P103" s="740">
        <v>1818</v>
      </c>
      <c r="Q103" s="743">
        <v>18180</v>
      </c>
      <c r="R103" s="742">
        <v>43</v>
      </c>
      <c r="S103" s="740">
        <v>409.93325581395351</v>
      </c>
      <c r="T103" s="743">
        <v>17627.13</v>
      </c>
      <c r="U103" s="742">
        <v>57</v>
      </c>
      <c r="V103" s="740">
        <v>568.81631578947372</v>
      </c>
      <c r="W103" s="743">
        <v>32422.53</v>
      </c>
      <c r="X103" s="742">
        <v>28</v>
      </c>
      <c r="Y103" s="740">
        <v>616.26178571428579</v>
      </c>
      <c r="Z103" s="743">
        <v>17255.330000000002</v>
      </c>
      <c r="AA103" s="742">
        <v>38</v>
      </c>
      <c r="AB103" s="740">
        <v>-4.677894736842342</v>
      </c>
      <c r="AC103" s="743">
        <v>-177.760000000009</v>
      </c>
      <c r="AD103" s="742">
        <v>26</v>
      </c>
      <c r="AE103" s="740">
        <v>442.14423076923077</v>
      </c>
      <c r="AF103" s="743">
        <v>11495.75</v>
      </c>
      <c r="AG103" s="742">
        <v>38</v>
      </c>
      <c r="AH103" s="740">
        <v>362.24263157894472</v>
      </c>
      <c r="AI103" s="743">
        <v>13765.219999999899</v>
      </c>
      <c r="AJ103" s="742">
        <v>31</v>
      </c>
      <c r="AK103" s="740">
        <v>15.867741935484613</v>
      </c>
      <c r="AL103" s="743">
        <v>491.900000000023</v>
      </c>
      <c r="AM103" s="742">
        <v>21</v>
      </c>
      <c r="AN103" s="740">
        <v>-377.50523809523713</v>
      </c>
      <c r="AO103" s="743">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652.20840490797548</v>
      </c>
      <c r="E105" s="741">
        <v>212619.94</v>
      </c>
      <c r="F105" s="742"/>
      <c r="G105" s="740">
        <v>952.25192307692305</v>
      </c>
      <c r="H105" s="743">
        <v>24758.55</v>
      </c>
      <c r="I105" s="742"/>
      <c r="J105" s="740">
        <v>654.84538461538455</v>
      </c>
      <c r="K105" s="743">
        <v>17025.98</v>
      </c>
      <c r="L105" s="742"/>
      <c r="M105" s="740">
        <v>617.24285714285713</v>
      </c>
      <c r="N105" s="743">
        <v>21603.5</v>
      </c>
      <c r="O105" s="742"/>
      <c r="P105" s="740">
        <v>948.60249999999996</v>
      </c>
      <c r="Q105" s="743">
        <v>18972.05</v>
      </c>
      <c r="R105" s="742"/>
      <c r="S105" s="740">
        <v>829.99440000000004</v>
      </c>
      <c r="T105" s="743">
        <v>20749.86</v>
      </c>
      <c r="U105" s="742"/>
      <c r="V105" s="740">
        <v>734.96679999999992</v>
      </c>
      <c r="W105" s="743">
        <v>18374.169999999998</v>
      </c>
      <c r="X105" s="742"/>
      <c r="Y105" s="740">
        <v>517.39305555555563</v>
      </c>
      <c r="Z105" s="743">
        <v>18626.150000000001</v>
      </c>
      <c r="AA105" s="742"/>
      <c r="AB105" s="740">
        <v>707.17361111111109</v>
      </c>
      <c r="AC105" s="743">
        <v>25458.25</v>
      </c>
      <c r="AD105" s="742"/>
      <c r="AE105" s="740">
        <v>444.8366666666667</v>
      </c>
      <c r="AF105" s="743">
        <v>14679.61</v>
      </c>
      <c r="AG105" s="742"/>
      <c r="AH105" s="740">
        <v>756.81269230769237</v>
      </c>
      <c r="AI105" s="743">
        <v>19677.13</v>
      </c>
      <c r="AJ105" s="742"/>
      <c r="AK105" s="740">
        <v>370.49099999999999</v>
      </c>
      <c r="AL105" s="743">
        <v>7409.82</v>
      </c>
      <c r="AM105" s="742"/>
      <c r="AN105" s="740">
        <v>293.60388888888889</v>
      </c>
      <c r="AO105" s="743">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1332.3468098159501</v>
      </c>
      <c r="E106" s="741">
        <v>434345.05999999976</v>
      </c>
      <c r="F106" s="742"/>
      <c r="G106" s="740">
        <v>1098.0211538461538</v>
      </c>
      <c r="H106" s="743">
        <v>28548.55</v>
      </c>
      <c r="I106" s="742"/>
      <c r="J106" s="740">
        <v>905.16</v>
      </c>
      <c r="K106" s="743">
        <v>23534.16</v>
      </c>
      <c r="L106" s="742"/>
      <c r="M106" s="740">
        <v>1357.6008571428572</v>
      </c>
      <c r="N106" s="743">
        <v>47516.03</v>
      </c>
      <c r="O106" s="742"/>
      <c r="P106" s="740">
        <v>2016.6610000000001</v>
      </c>
      <c r="Q106" s="743">
        <v>40333.22</v>
      </c>
      <c r="R106" s="742"/>
      <c r="S106" s="740">
        <v>1483.5695999999998</v>
      </c>
      <c r="T106" s="743">
        <v>37089.24</v>
      </c>
      <c r="U106" s="742"/>
      <c r="V106" s="740">
        <v>1754.646</v>
      </c>
      <c r="W106" s="743">
        <v>43866.15</v>
      </c>
      <c r="X106" s="742"/>
      <c r="Y106" s="740">
        <v>997.11055555555276</v>
      </c>
      <c r="Z106" s="743">
        <v>35895.979999999901</v>
      </c>
      <c r="AA106" s="742"/>
      <c r="AB106" s="740">
        <v>1507.8911111111111</v>
      </c>
      <c r="AC106" s="743">
        <v>54284.08</v>
      </c>
      <c r="AD106" s="742"/>
      <c r="AE106" s="740">
        <v>1292.9415151515152</v>
      </c>
      <c r="AF106" s="743">
        <v>42667.07</v>
      </c>
      <c r="AG106" s="742"/>
      <c r="AH106" s="740">
        <v>1666.1407692307694</v>
      </c>
      <c r="AI106" s="743">
        <v>43319.66</v>
      </c>
      <c r="AJ106" s="742"/>
      <c r="AK106" s="740">
        <v>937.14650000000006</v>
      </c>
      <c r="AL106" s="743">
        <v>18742.93</v>
      </c>
      <c r="AM106" s="742"/>
      <c r="AN106" s="740">
        <v>1030.4438888888833</v>
      </c>
      <c r="AO106" s="743">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29.861165644171784</v>
      </c>
      <c r="E107" s="741">
        <v>9734.7400000000016</v>
      </c>
      <c r="F107" s="742"/>
      <c r="G107" s="807">
        <v>0</v>
      </c>
      <c r="H107" s="743">
        <v>0</v>
      </c>
      <c r="I107" s="742"/>
      <c r="J107" s="807">
        <v>45.006538461538462</v>
      </c>
      <c r="K107" s="743">
        <v>1170.17</v>
      </c>
      <c r="L107" s="742"/>
      <c r="M107" s="807">
        <v>26.397714285714283</v>
      </c>
      <c r="N107" s="743">
        <v>923.92</v>
      </c>
      <c r="O107" s="742"/>
      <c r="P107" s="807">
        <v>0</v>
      </c>
      <c r="Q107" s="743">
        <v>0</v>
      </c>
      <c r="R107" s="742"/>
      <c r="S107" s="807">
        <v>35.728000000000002</v>
      </c>
      <c r="T107" s="743">
        <v>893.2</v>
      </c>
      <c r="U107" s="742"/>
      <c r="V107" s="807">
        <v>59.932400000000001</v>
      </c>
      <c r="W107" s="743">
        <v>1498.31</v>
      </c>
      <c r="X107" s="742"/>
      <c r="Y107" s="807">
        <v>25.253888888888888</v>
      </c>
      <c r="Z107" s="743">
        <v>909.14</v>
      </c>
      <c r="AA107" s="742"/>
      <c r="AB107" s="807">
        <v>29.091666666666665</v>
      </c>
      <c r="AC107" s="743">
        <v>1047.3</v>
      </c>
      <c r="AD107" s="742"/>
      <c r="AE107" s="807">
        <v>40.802424242424244</v>
      </c>
      <c r="AF107" s="743">
        <v>1346.48</v>
      </c>
      <c r="AG107" s="742"/>
      <c r="AH107" s="807">
        <v>59.70269230769231</v>
      </c>
      <c r="AI107" s="743">
        <v>1552.27</v>
      </c>
      <c r="AJ107" s="742"/>
      <c r="AK107" s="807">
        <v>19.697499999999998</v>
      </c>
      <c r="AL107" s="743">
        <v>393.95</v>
      </c>
      <c r="AM107" s="742"/>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326</v>
      </c>
      <c r="D108" s="745">
        <v>2014.4163803680974</v>
      </c>
      <c r="E108" s="746">
        <v>656699.73999999976</v>
      </c>
      <c r="F108" s="744">
        <v>26</v>
      </c>
      <c r="G108" s="745">
        <v>2050.273076923077</v>
      </c>
      <c r="H108" s="746">
        <v>53307.1</v>
      </c>
      <c r="I108" s="744">
        <v>26</v>
      </c>
      <c r="J108" s="745">
        <v>1605.011923076923</v>
      </c>
      <c r="K108" s="746">
        <v>41730.31</v>
      </c>
      <c r="L108" s="744">
        <v>35</v>
      </c>
      <c r="M108" s="745">
        <v>2001.2414285714285</v>
      </c>
      <c r="N108" s="746">
        <v>70043.45</v>
      </c>
      <c r="O108" s="744">
        <v>20</v>
      </c>
      <c r="P108" s="745">
        <v>2965.2635</v>
      </c>
      <c r="Q108" s="746">
        <v>59305.270000000004</v>
      </c>
      <c r="R108" s="744">
        <v>25</v>
      </c>
      <c r="S108" s="745">
        <v>2349.2919999999999</v>
      </c>
      <c r="T108" s="746">
        <v>58732.299999999996</v>
      </c>
      <c r="U108" s="744">
        <v>25</v>
      </c>
      <c r="V108" s="745">
        <v>2549.5452</v>
      </c>
      <c r="W108" s="746">
        <v>63738.63</v>
      </c>
      <c r="X108" s="744">
        <v>36</v>
      </c>
      <c r="Y108" s="745">
        <v>1539.7574999999972</v>
      </c>
      <c r="Z108" s="746">
        <v>55431.269999999902</v>
      </c>
      <c r="AA108" s="744">
        <v>36</v>
      </c>
      <c r="AB108" s="745">
        <v>2244.1563888888891</v>
      </c>
      <c r="AC108" s="746">
        <v>80789.63</v>
      </c>
      <c r="AD108" s="744">
        <v>33</v>
      </c>
      <c r="AE108" s="745">
        <v>1778.5806060606062</v>
      </c>
      <c r="AF108" s="746">
        <v>58693.16</v>
      </c>
      <c r="AG108" s="744">
        <v>26</v>
      </c>
      <c r="AH108" s="745">
        <v>2482.6561538461542</v>
      </c>
      <c r="AI108" s="746">
        <v>64549.060000000005</v>
      </c>
      <c r="AJ108" s="744">
        <v>20</v>
      </c>
      <c r="AK108" s="745">
        <v>1327.335</v>
      </c>
      <c r="AL108" s="746">
        <v>26546.7</v>
      </c>
      <c r="AM108" s="744">
        <v>18</v>
      </c>
      <c r="AN108" s="745">
        <v>1324.0477777777721</v>
      </c>
      <c r="AO108" s="746">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714</v>
      </c>
      <c r="D111" s="760">
        <v>1885.2730392156843</v>
      </c>
      <c r="E111" s="761">
        <v>1346084.9499999986</v>
      </c>
      <c r="F111" s="759">
        <v>60</v>
      </c>
      <c r="G111" s="760">
        <v>1976.4463333333319</v>
      </c>
      <c r="H111" s="761">
        <v>118586.77999999991</v>
      </c>
      <c r="I111" s="759">
        <v>56</v>
      </c>
      <c r="J111" s="760">
        <v>1576.1503571428534</v>
      </c>
      <c r="K111" s="761">
        <v>88264.419999999795</v>
      </c>
      <c r="L111" s="759">
        <v>67</v>
      </c>
      <c r="M111" s="760">
        <v>1973.3728358208934</v>
      </c>
      <c r="N111" s="761">
        <v>132215.97999999986</v>
      </c>
      <c r="O111" s="759">
        <v>30</v>
      </c>
      <c r="P111" s="760">
        <v>4005.9083333333265</v>
      </c>
      <c r="Q111" s="761">
        <v>120177.2499999998</v>
      </c>
      <c r="R111" s="759">
        <v>68</v>
      </c>
      <c r="S111" s="760">
        <v>1864.2382352941179</v>
      </c>
      <c r="T111" s="761">
        <v>126768.20000000001</v>
      </c>
      <c r="U111" s="759">
        <v>82</v>
      </c>
      <c r="V111" s="760">
        <v>1872.1110975609745</v>
      </c>
      <c r="W111" s="761">
        <v>153513.1099999999</v>
      </c>
      <c r="X111" s="759">
        <v>64</v>
      </c>
      <c r="Y111" s="760">
        <v>2134.3676562499986</v>
      </c>
      <c r="Z111" s="761">
        <v>136599.52999999991</v>
      </c>
      <c r="AA111" s="759">
        <v>74</v>
      </c>
      <c r="AB111" s="760">
        <v>1553.6752702702688</v>
      </c>
      <c r="AC111" s="761">
        <v>114971.9699999999</v>
      </c>
      <c r="AD111" s="759">
        <v>59</v>
      </c>
      <c r="AE111" s="760">
        <v>2285.5616949152541</v>
      </c>
      <c r="AF111" s="761">
        <v>134848.13999999998</v>
      </c>
      <c r="AG111" s="759">
        <v>64</v>
      </c>
      <c r="AH111" s="760">
        <v>2041.8312499999968</v>
      </c>
      <c r="AI111" s="761">
        <v>130677.19999999979</v>
      </c>
      <c r="AJ111" s="759">
        <v>51</v>
      </c>
      <c r="AK111" s="760">
        <v>1020.7700000000003</v>
      </c>
      <c r="AL111" s="761">
        <v>52059.270000000019</v>
      </c>
      <c r="AM111" s="759">
        <v>39</v>
      </c>
      <c r="AN111" s="760">
        <v>959.05384615384389</v>
      </c>
      <c r="AO111" s="761">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0.48212844638567881</v>
      </c>
      <c r="D115" s="770">
        <v>785.58542944785268</v>
      </c>
      <c r="E115" s="758">
        <v>256100.84999999998</v>
      </c>
      <c r="F115" s="769">
        <v>0.42351403224593798</v>
      </c>
      <c r="G115" s="770">
        <v>511.2511538461539</v>
      </c>
      <c r="H115" s="771">
        <v>13292.53</v>
      </c>
      <c r="I115" s="769">
        <v>0.44295916706721356</v>
      </c>
      <c r="J115" s="770">
        <v>540.18461538461531</v>
      </c>
      <c r="K115" s="771">
        <v>14044.8</v>
      </c>
      <c r="L115" s="769">
        <v>0.54418517257382837</v>
      </c>
      <c r="M115" s="770">
        <v>868.03085714285714</v>
      </c>
      <c r="N115" s="771">
        <v>30381.08</v>
      </c>
      <c r="O115" s="769">
        <v>0.43717508534390037</v>
      </c>
      <c r="P115" s="770">
        <v>933.19349999999997</v>
      </c>
      <c r="Q115" s="771">
        <v>18663.87</v>
      </c>
      <c r="R115" s="769">
        <v>0.54239014361985027</v>
      </c>
      <c r="S115" s="770">
        <v>1093.6487999999999</v>
      </c>
      <c r="T115" s="771">
        <v>27341.22</v>
      </c>
      <c r="U115" s="769">
        <v>0.42385620715599104</v>
      </c>
      <c r="V115" s="770">
        <v>972.35919999999999</v>
      </c>
      <c r="W115" s="771">
        <v>24308.98</v>
      </c>
      <c r="X115" s="769">
        <v>0.53527729052634576</v>
      </c>
      <c r="Y115" s="770">
        <v>950.30944444444447</v>
      </c>
      <c r="Z115" s="771">
        <v>34211.14</v>
      </c>
      <c r="AA115" s="769">
        <v>0.62041204769485703</v>
      </c>
      <c r="AB115" s="770">
        <v>592.15055555555546</v>
      </c>
      <c r="AC115" s="771">
        <v>21317.42</v>
      </c>
      <c r="AD115" s="769">
        <v>0.41499891044171117</v>
      </c>
      <c r="AE115" s="770">
        <v>813.13666666666666</v>
      </c>
      <c r="AF115" s="771">
        <v>26833.51</v>
      </c>
      <c r="AG115" s="769">
        <v>0.50307011144527569</v>
      </c>
      <c r="AH115" s="770">
        <v>1013.1623076923078</v>
      </c>
      <c r="AI115" s="771">
        <v>26342.22</v>
      </c>
      <c r="AJ115" s="769">
        <v>0.32932491416097176</v>
      </c>
      <c r="AK115" s="770">
        <v>411.99650000000003</v>
      </c>
      <c r="AL115" s="771">
        <v>8239.93</v>
      </c>
      <c r="AM115" s="769">
        <v>0.51745407098849439</v>
      </c>
      <c r="AN115" s="770">
        <v>618.00833333333333</v>
      </c>
      <c r="AO115" s="771">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0.29783623791293123</v>
      </c>
      <c r="D116" s="773">
        <v>599.96619631901842</v>
      </c>
      <c r="E116" s="774">
        <v>195588.98</v>
      </c>
      <c r="F116" s="772">
        <v>0.18338045025897112</v>
      </c>
      <c r="G116" s="773">
        <v>375.97999999999996</v>
      </c>
      <c r="H116" s="775">
        <v>9775.48</v>
      </c>
      <c r="I116" s="772">
        <v>0.33317868954244528</v>
      </c>
      <c r="J116" s="773">
        <v>534.75576923076926</v>
      </c>
      <c r="K116" s="775">
        <v>13903.65</v>
      </c>
      <c r="L116" s="772">
        <v>0.31930066266010598</v>
      </c>
      <c r="M116" s="773">
        <v>638.99771428571421</v>
      </c>
      <c r="N116" s="775">
        <v>22364.92</v>
      </c>
      <c r="O116" s="772">
        <v>0.29925822781010858</v>
      </c>
      <c r="P116" s="773">
        <v>887.37950000000001</v>
      </c>
      <c r="Q116" s="775">
        <v>17747.59</v>
      </c>
      <c r="R116" s="772">
        <v>0.35189852942929195</v>
      </c>
      <c r="S116" s="773">
        <v>826.7124</v>
      </c>
      <c r="T116" s="775">
        <v>20667.810000000001</v>
      </c>
      <c r="U116" s="772">
        <v>0.30015392549227998</v>
      </c>
      <c r="V116" s="773">
        <v>765.25600000000009</v>
      </c>
      <c r="W116" s="775">
        <v>19131.400000000001</v>
      </c>
      <c r="X116" s="772">
        <v>0.28294588956738725</v>
      </c>
      <c r="Y116" s="773">
        <v>435.66805555555555</v>
      </c>
      <c r="Z116" s="775">
        <v>15684.05</v>
      </c>
      <c r="AA116" s="772">
        <v>0.29984021464140881</v>
      </c>
      <c r="AB116" s="773">
        <v>672.88833333333332</v>
      </c>
      <c r="AC116" s="775">
        <v>24223.98</v>
      </c>
      <c r="AD116" s="772">
        <v>0.30044489000081098</v>
      </c>
      <c r="AE116" s="773">
        <v>534.36545454545455</v>
      </c>
      <c r="AF116" s="775">
        <v>17634.060000000001</v>
      </c>
      <c r="AG116" s="772">
        <v>0.29975959371058231</v>
      </c>
      <c r="AH116" s="773">
        <v>744.2</v>
      </c>
      <c r="AI116" s="775">
        <v>19349.2</v>
      </c>
      <c r="AJ116" s="772">
        <v>0.30119751230849784</v>
      </c>
      <c r="AK116" s="773">
        <v>399.79</v>
      </c>
      <c r="AL116" s="775">
        <v>7995.8</v>
      </c>
      <c r="AM116" s="772">
        <v>0.29837124037988016</v>
      </c>
      <c r="AN116" s="773">
        <v>395.0577777777778</v>
      </c>
      <c r="AO116" s="775">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-17.275674846625765</v>
      </c>
      <c r="E117" s="758">
        <v>-5631.87</v>
      </c>
      <c r="F117" s="747"/>
      <c r="G117" s="770">
        <v>29.692692307692308</v>
      </c>
      <c r="H117" s="771">
        <v>772.01</v>
      </c>
      <c r="I117" s="747"/>
      <c r="J117" s="770">
        <v>26.889615384615386</v>
      </c>
      <c r="K117" s="771">
        <v>699.13</v>
      </c>
      <c r="L117" s="747"/>
      <c r="M117" s="770">
        <v>1.712</v>
      </c>
      <c r="N117" s="771">
        <v>59.92</v>
      </c>
      <c r="O117" s="747"/>
      <c r="P117" s="770">
        <v>-57.813499999999998</v>
      </c>
      <c r="Q117" s="771">
        <v>-1156.27</v>
      </c>
      <c r="R117" s="747"/>
      <c r="S117" s="770">
        <v>-49.627200000000002</v>
      </c>
      <c r="T117" s="771">
        <v>-1240.68</v>
      </c>
      <c r="U117" s="747"/>
      <c r="V117" s="770">
        <v>-2.5384000000000002</v>
      </c>
      <c r="W117" s="771">
        <v>-63.46</v>
      </c>
      <c r="X117" s="747"/>
      <c r="Y117" s="770">
        <v>-47.69638888888889</v>
      </c>
      <c r="Z117" s="771">
        <v>-1717.07</v>
      </c>
      <c r="AA117" s="747"/>
      <c r="AB117" s="770">
        <v>2.4216666666666669</v>
      </c>
      <c r="AC117" s="771">
        <v>87.18</v>
      </c>
      <c r="AD117" s="747"/>
      <c r="AE117" s="770">
        <v>-31.004848484848484</v>
      </c>
      <c r="AF117" s="771">
        <v>-1023.16</v>
      </c>
      <c r="AG117" s="747"/>
      <c r="AH117" s="770">
        <v>5.3234615384615385</v>
      </c>
      <c r="AI117" s="771">
        <v>138.41</v>
      </c>
      <c r="AJ117" s="747"/>
      <c r="AK117" s="770">
        <v>-11.343500000000001</v>
      </c>
      <c r="AL117" s="771">
        <v>-226.87</v>
      </c>
      <c r="AM117" s="747"/>
      <c r="AN117" s="770">
        <v>-108.94499999999999</v>
      </c>
      <c r="AO117" s="771">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13.774478527607361</v>
      </c>
      <c r="E118" s="758">
        <v>4490.4799999999996</v>
      </c>
      <c r="F118" s="747"/>
      <c r="G118" s="770">
        <v>2.1153846153846154</v>
      </c>
      <c r="H118" s="771">
        <v>55</v>
      </c>
      <c r="I118" s="747"/>
      <c r="J118" s="770">
        <v>0</v>
      </c>
      <c r="K118" s="771">
        <v>0</v>
      </c>
      <c r="L118" s="747"/>
      <c r="M118" s="770">
        <v>-48.536000000000001</v>
      </c>
      <c r="N118" s="771">
        <v>-1698.76</v>
      </c>
      <c r="O118" s="747"/>
      <c r="P118" s="770">
        <v>6.5</v>
      </c>
      <c r="Q118" s="771">
        <v>130</v>
      </c>
      <c r="R118" s="747"/>
      <c r="S118" s="770">
        <v>18.0124</v>
      </c>
      <c r="T118" s="771">
        <v>450.31</v>
      </c>
      <c r="U118" s="747"/>
      <c r="V118" s="770">
        <v>0</v>
      </c>
      <c r="W118" s="771">
        <v>0</v>
      </c>
      <c r="X118" s="747"/>
      <c r="Y118" s="770">
        <v>17.229722222222222</v>
      </c>
      <c r="Z118" s="771">
        <v>620.27</v>
      </c>
      <c r="AA118" s="747"/>
      <c r="AB118" s="770">
        <v>4.4291666666666663</v>
      </c>
      <c r="AC118" s="771">
        <v>159.44999999999999</v>
      </c>
      <c r="AD118" s="747"/>
      <c r="AE118" s="770">
        <v>17.09212121212121</v>
      </c>
      <c r="AF118" s="771">
        <v>564.04</v>
      </c>
      <c r="AG118" s="747"/>
      <c r="AH118" s="770">
        <v>67.09346153846154</v>
      </c>
      <c r="AI118" s="771">
        <v>1744.43</v>
      </c>
      <c r="AJ118" s="747"/>
      <c r="AK118" s="770">
        <v>69.605499999999992</v>
      </c>
      <c r="AL118" s="771">
        <v>1392.11</v>
      </c>
      <c r="AM118" s="747"/>
      <c r="AN118" s="770">
        <v>59.646111111111118</v>
      </c>
      <c r="AO118" s="771">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154.21174846625766</v>
      </c>
      <c r="E119" s="774">
        <v>50273.03</v>
      </c>
      <c r="F119" s="776"/>
      <c r="G119" s="773">
        <v>147.15846153846152</v>
      </c>
      <c r="H119" s="775">
        <v>3826.12</v>
      </c>
      <c r="I119" s="776"/>
      <c r="J119" s="773">
        <v>192.49038461538461</v>
      </c>
      <c r="K119" s="775">
        <v>5004.75</v>
      </c>
      <c r="L119" s="776"/>
      <c r="M119" s="773">
        <v>97.121428571428567</v>
      </c>
      <c r="N119" s="775">
        <v>3399.25</v>
      </c>
      <c r="O119" s="776"/>
      <c r="P119" s="773">
        <v>237.09800000000001</v>
      </c>
      <c r="Q119" s="775">
        <v>4741.96</v>
      </c>
      <c r="R119" s="776"/>
      <c r="S119" s="773">
        <v>184.31759999999997</v>
      </c>
      <c r="T119" s="775">
        <v>4607.9399999999996</v>
      </c>
      <c r="U119" s="776"/>
      <c r="V119" s="773">
        <v>166.30360000000002</v>
      </c>
      <c r="W119" s="775">
        <v>4157.59</v>
      </c>
      <c r="X119" s="776"/>
      <c r="Y119" s="773">
        <v>118.6263888888889</v>
      </c>
      <c r="Z119" s="775">
        <v>4270.55</v>
      </c>
      <c r="AA119" s="776"/>
      <c r="AB119" s="773">
        <v>126.47638888888888</v>
      </c>
      <c r="AC119" s="775">
        <v>4553.1499999999996</v>
      </c>
      <c r="AD119" s="776"/>
      <c r="AE119" s="773">
        <v>127.50151515151515</v>
      </c>
      <c r="AF119" s="775">
        <v>4207.55</v>
      </c>
      <c r="AG119" s="776"/>
      <c r="AH119" s="773">
        <v>155.28461538461539</v>
      </c>
      <c r="AI119" s="775">
        <v>4037.4</v>
      </c>
      <c r="AJ119" s="776"/>
      <c r="AK119" s="773">
        <v>194.48750000000001</v>
      </c>
      <c r="AL119" s="775">
        <v>3889.75</v>
      </c>
      <c r="AM119" s="776"/>
      <c r="AN119" s="773">
        <v>198.72333333333333</v>
      </c>
      <c r="AO119" s="775">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458.57052147239273</v>
      </c>
      <c r="E120" s="758">
        <v>149493.99000000002</v>
      </c>
      <c r="F120" s="747"/>
      <c r="G120" s="770">
        <v>279.03230769230771</v>
      </c>
      <c r="H120" s="771">
        <v>7254.84</v>
      </c>
      <c r="I120" s="747"/>
      <c r="J120" s="770">
        <v>304.13230769230768</v>
      </c>
      <c r="K120" s="771">
        <v>7907.44</v>
      </c>
      <c r="L120" s="747"/>
      <c r="M120" s="770">
        <v>254.21257142857144</v>
      </c>
      <c r="N120" s="771">
        <v>8897.44</v>
      </c>
      <c r="O120" s="747"/>
      <c r="P120" s="770">
        <v>612.85599999999999</v>
      </c>
      <c r="Q120" s="771">
        <v>12257.12</v>
      </c>
      <c r="R120" s="747"/>
      <c r="S120" s="770">
        <v>703.154</v>
      </c>
      <c r="T120" s="771">
        <v>17578.849999999999</v>
      </c>
      <c r="U120" s="747"/>
      <c r="V120" s="770">
        <v>557.51400000000001</v>
      </c>
      <c r="W120" s="771">
        <v>13937.85</v>
      </c>
      <c r="X120" s="747"/>
      <c r="Y120" s="770">
        <v>356.96111111111111</v>
      </c>
      <c r="Z120" s="771">
        <v>12850.6</v>
      </c>
      <c r="AA120" s="747"/>
      <c r="AB120" s="770">
        <v>301.05361111111114</v>
      </c>
      <c r="AC120" s="771">
        <v>10837.93</v>
      </c>
      <c r="AD120" s="747"/>
      <c r="AE120" s="770">
        <v>270.76727272727271</v>
      </c>
      <c r="AF120" s="771">
        <v>8935.32</v>
      </c>
      <c r="AG120" s="747"/>
      <c r="AH120" s="770">
        <v>601.99384615384611</v>
      </c>
      <c r="AI120" s="771">
        <v>15651.84</v>
      </c>
      <c r="AJ120" s="747"/>
      <c r="AK120" s="770">
        <v>716.18000000000006</v>
      </c>
      <c r="AL120" s="771">
        <v>14323.6</v>
      </c>
      <c r="AM120" s="747"/>
      <c r="AN120" s="770">
        <v>1058.9533333333334</v>
      </c>
      <c r="AO120" s="771">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89.829355828220855</v>
      </c>
      <c r="E121" s="758">
        <v>29284.37</v>
      </c>
      <c r="F121" s="747"/>
      <c r="G121" s="770">
        <v>206.4346153846154</v>
      </c>
      <c r="H121" s="771">
        <v>5367.3</v>
      </c>
      <c r="I121" s="747"/>
      <c r="J121" s="770">
        <v>162.9046153846154</v>
      </c>
      <c r="K121" s="771">
        <v>4235.5200000000004</v>
      </c>
      <c r="L121" s="747"/>
      <c r="M121" s="770">
        <v>86.214857142857142</v>
      </c>
      <c r="N121" s="771">
        <v>3017.52</v>
      </c>
      <c r="O121" s="747"/>
      <c r="P121" s="770">
        <v>101.116</v>
      </c>
      <c r="Q121" s="771">
        <v>2022.32</v>
      </c>
      <c r="R121" s="747"/>
      <c r="S121" s="770">
        <v>86.6</v>
      </c>
      <c r="T121" s="771">
        <v>2165</v>
      </c>
      <c r="U121" s="747"/>
      <c r="V121" s="770">
        <v>62.494</v>
      </c>
      <c r="W121" s="771">
        <v>1562.35</v>
      </c>
      <c r="X121" s="747"/>
      <c r="Y121" s="770">
        <v>64.885000000000005</v>
      </c>
      <c r="Z121" s="771">
        <v>2335.86</v>
      </c>
      <c r="AA121" s="747"/>
      <c r="AB121" s="770">
        <v>201.38499999999999</v>
      </c>
      <c r="AC121" s="771">
        <v>7249.86</v>
      </c>
      <c r="AD121" s="747"/>
      <c r="AE121" s="770">
        <v>15.888181818181817</v>
      </c>
      <c r="AF121" s="771">
        <v>524.30999999999995</v>
      </c>
      <c r="AG121" s="747"/>
      <c r="AH121" s="770">
        <v>0</v>
      </c>
      <c r="AI121" s="771">
        <v>0</v>
      </c>
      <c r="AJ121" s="747"/>
      <c r="AK121" s="770">
        <v>22.137999999999998</v>
      </c>
      <c r="AL121" s="771">
        <v>442.76</v>
      </c>
      <c r="AM121" s="747"/>
      <c r="AN121" s="770">
        <v>20.087222222222223</v>
      </c>
      <c r="AO121" s="771">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0.50487142731965073</v>
      </c>
      <c r="E125" s="779">
        <v>679599.83</v>
      </c>
      <c r="F125" s="777" t="s">
        <v>119</v>
      </c>
      <c r="G125" s="778">
        <v>0.34020048440475431</v>
      </c>
      <c r="H125" s="779">
        <v>40343.279999999999</v>
      </c>
      <c r="I125" s="777" t="s">
        <v>119</v>
      </c>
      <c r="J125" s="778">
        <v>0.51884202037468907</v>
      </c>
      <c r="K125" s="779">
        <v>45795.290000000008</v>
      </c>
      <c r="L125" s="777" t="s">
        <v>119</v>
      </c>
      <c r="M125" s="778">
        <v>0.5023702127382792</v>
      </c>
      <c r="N125" s="779">
        <v>66421.37</v>
      </c>
      <c r="O125" s="777" t="s">
        <v>119</v>
      </c>
      <c r="P125" s="778">
        <v>0.45271954550466165</v>
      </c>
      <c r="Q125" s="779">
        <v>54406.590000000004</v>
      </c>
      <c r="R125" s="777" t="s">
        <v>119</v>
      </c>
      <c r="S125" s="778">
        <v>0.56457731513108167</v>
      </c>
      <c r="T125" s="779">
        <v>71570.45</v>
      </c>
      <c r="U125" s="777" t="s">
        <v>119</v>
      </c>
      <c r="V125" s="778">
        <v>0.41061450712580866</v>
      </c>
      <c r="W125" s="779">
        <v>63034.710000000006</v>
      </c>
      <c r="X125" s="777" t="s">
        <v>119</v>
      </c>
      <c r="Y125" s="778">
        <v>0.49967521850185026</v>
      </c>
      <c r="Z125" s="779">
        <v>68255.400000000009</v>
      </c>
      <c r="AA125" s="777" t="s">
        <v>119</v>
      </c>
      <c r="AB125" s="778">
        <v>0.59517959029492185</v>
      </c>
      <c r="AC125" s="779">
        <v>68428.969999999987</v>
      </c>
      <c r="AD125" s="777" t="s">
        <v>119</v>
      </c>
      <c r="AE125" s="778">
        <v>0.42770801288026666</v>
      </c>
      <c r="AF125" s="779">
        <v>57675.63</v>
      </c>
      <c r="AG125" s="777" t="s">
        <v>119</v>
      </c>
      <c r="AH125" s="778">
        <v>0.51473019011732812</v>
      </c>
      <c r="AI125" s="779">
        <v>67263.5</v>
      </c>
      <c r="AJ125" s="777" t="s">
        <v>119</v>
      </c>
      <c r="AK125" s="778">
        <v>0.69261593564412238</v>
      </c>
      <c r="AL125" s="779">
        <v>36057.08</v>
      </c>
      <c r="AM125" s="777" t="s">
        <v>119</v>
      </c>
      <c r="AN125" s="778">
        <v>1.0787223518906213</v>
      </c>
      <c r="AO125" s="779">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106199.94999999998</v>
      </c>
      <c r="F126" s="747"/>
      <c r="G126" s="757"/>
      <c r="H126" s="771">
        <v>7150.06</v>
      </c>
      <c r="I126" s="747"/>
      <c r="J126" s="757"/>
      <c r="K126" s="771">
        <v>6477</v>
      </c>
      <c r="L126" s="747"/>
      <c r="M126" s="757"/>
      <c r="N126" s="771">
        <v>7084.23</v>
      </c>
      <c r="O126" s="747"/>
      <c r="P126" s="757"/>
      <c r="Q126" s="771">
        <v>6562.1</v>
      </c>
      <c r="R126" s="747"/>
      <c r="S126" s="757"/>
      <c r="T126" s="771">
        <v>8961.51</v>
      </c>
      <c r="U126" s="747"/>
      <c r="V126" s="757"/>
      <c r="W126" s="771">
        <v>5868.57</v>
      </c>
      <c r="X126" s="747"/>
      <c r="Y126" s="757"/>
      <c r="Z126" s="771">
        <v>4280.84</v>
      </c>
      <c r="AA126" s="747"/>
      <c r="AB126" s="757"/>
      <c r="AC126" s="771">
        <v>13011.74</v>
      </c>
      <c r="AD126" s="747"/>
      <c r="AE126" s="757"/>
      <c r="AF126" s="771">
        <v>11464.55</v>
      </c>
      <c r="AG126" s="747"/>
      <c r="AH126" s="757"/>
      <c r="AI126" s="771">
        <v>9570.15</v>
      </c>
      <c r="AJ126" s="747"/>
      <c r="AK126" s="757"/>
      <c r="AL126" s="771">
        <v>15556.27</v>
      </c>
      <c r="AM126" s="747"/>
      <c r="AN126" s="757"/>
      <c r="AO126" s="771">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63216.83</v>
      </c>
      <c r="F127" s="747"/>
      <c r="G127" s="757"/>
      <c r="H127" s="771">
        <v>4042.4</v>
      </c>
      <c r="I127" s="747"/>
      <c r="J127" s="757"/>
      <c r="K127" s="771">
        <v>3902.4</v>
      </c>
      <c r="L127" s="747"/>
      <c r="M127" s="757"/>
      <c r="N127" s="771">
        <v>4222.3999999999996</v>
      </c>
      <c r="O127" s="747"/>
      <c r="P127" s="757"/>
      <c r="Q127" s="771">
        <v>3582.4</v>
      </c>
      <c r="R127" s="747"/>
      <c r="S127" s="757"/>
      <c r="T127" s="771">
        <v>5269.9</v>
      </c>
      <c r="U127" s="747"/>
      <c r="V127" s="757"/>
      <c r="W127" s="771">
        <v>7695.5</v>
      </c>
      <c r="X127" s="747"/>
      <c r="Y127" s="757"/>
      <c r="Z127" s="771">
        <v>3874.42</v>
      </c>
      <c r="AA127" s="747"/>
      <c r="AB127" s="757"/>
      <c r="AC127" s="771">
        <v>6264</v>
      </c>
      <c r="AD127" s="747"/>
      <c r="AE127" s="757"/>
      <c r="AF127" s="771">
        <v>6049.73</v>
      </c>
      <c r="AG127" s="747"/>
      <c r="AH127" s="757"/>
      <c r="AI127" s="771">
        <v>5660.15</v>
      </c>
      <c r="AJ127" s="747"/>
      <c r="AK127" s="757"/>
      <c r="AL127" s="771">
        <v>6131.09</v>
      </c>
      <c r="AM127" s="747"/>
      <c r="AN127" s="757"/>
      <c r="AO127" s="771">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120523.42</v>
      </c>
      <c r="F128" s="780"/>
      <c r="G128" s="781"/>
      <c r="H128" s="783">
        <v>11941.25</v>
      </c>
      <c r="I128" s="780"/>
      <c r="J128" s="781"/>
      <c r="K128" s="783">
        <v>11309.64</v>
      </c>
      <c r="L128" s="780"/>
      <c r="M128" s="781"/>
      <c r="N128" s="783">
        <v>12046.99</v>
      </c>
      <c r="O128" s="780"/>
      <c r="P128" s="781"/>
      <c r="Q128" s="783">
        <v>13048.16</v>
      </c>
      <c r="R128" s="780"/>
      <c r="S128" s="781"/>
      <c r="T128" s="783">
        <v>14110.2</v>
      </c>
      <c r="U128" s="780"/>
      <c r="V128" s="781"/>
      <c r="W128" s="783">
        <v>10820.29</v>
      </c>
      <c r="X128" s="780"/>
      <c r="Y128" s="781"/>
      <c r="Z128" s="783">
        <v>13291.11</v>
      </c>
      <c r="AA128" s="780"/>
      <c r="AB128" s="781"/>
      <c r="AC128" s="783">
        <v>12249.22</v>
      </c>
      <c r="AD128" s="780"/>
      <c r="AE128" s="781"/>
      <c r="AF128" s="783">
        <v>6286.83</v>
      </c>
      <c r="AG128" s="780"/>
      <c r="AH128" s="781"/>
      <c r="AI128" s="783">
        <v>5342.79</v>
      </c>
      <c r="AJ128" s="780"/>
      <c r="AK128" s="781"/>
      <c r="AL128" s="783">
        <v>4186</v>
      </c>
      <c r="AM128" s="780"/>
      <c r="AN128" s="781"/>
      <c r="AO128" s="783">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51285.100000000006</v>
      </c>
      <c r="F133" s="747"/>
      <c r="G133" s="757"/>
      <c r="H133" s="771">
        <v>4595.8</v>
      </c>
      <c r="I133" s="747"/>
      <c r="J133" s="757"/>
      <c r="K133" s="771">
        <v>1510.22</v>
      </c>
      <c r="L133" s="747"/>
      <c r="M133" s="757"/>
      <c r="N133" s="771">
        <v>3172.69</v>
      </c>
      <c r="O133" s="747"/>
      <c r="P133" s="757"/>
      <c r="Q133" s="771">
        <v>4042.86</v>
      </c>
      <c r="R133" s="747"/>
      <c r="S133" s="757"/>
      <c r="T133" s="771">
        <v>4797.91</v>
      </c>
      <c r="U133" s="747"/>
      <c r="V133" s="757"/>
      <c r="W133" s="771">
        <v>9064.58</v>
      </c>
      <c r="X133" s="747"/>
      <c r="Y133" s="757"/>
      <c r="Z133" s="771">
        <v>3725.02</v>
      </c>
      <c r="AA133" s="747"/>
      <c r="AB133" s="757"/>
      <c r="AC133" s="771">
        <v>3209.54</v>
      </c>
      <c r="AD133" s="747"/>
      <c r="AE133" s="757"/>
      <c r="AF133" s="771">
        <v>3616.31</v>
      </c>
      <c r="AG133" s="747"/>
      <c r="AH133" s="757"/>
      <c r="AI133" s="771">
        <v>4412.51</v>
      </c>
      <c r="AJ133" s="747"/>
      <c r="AK133" s="757"/>
      <c r="AL133" s="771">
        <v>2437.8000000000002</v>
      </c>
      <c r="AM133" s="747"/>
      <c r="AN133" s="757"/>
      <c r="AO133" s="771">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82978.789999999994</v>
      </c>
      <c r="F134" s="780"/>
      <c r="G134" s="781"/>
      <c r="H134" s="783">
        <v>5903.83</v>
      </c>
      <c r="I134" s="780"/>
      <c r="J134" s="781"/>
      <c r="K134" s="783">
        <v>5245.25</v>
      </c>
      <c r="L134" s="780"/>
      <c r="M134" s="781"/>
      <c r="N134" s="783">
        <v>6451</v>
      </c>
      <c r="O134" s="780"/>
      <c r="P134" s="781"/>
      <c r="Q134" s="783">
        <v>8576.25</v>
      </c>
      <c r="R134" s="780"/>
      <c r="S134" s="781"/>
      <c r="T134" s="783">
        <v>7606.16</v>
      </c>
      <c r="U134" s="780"/>
      <c r="V134" s="781"/>
      <c r="W134" s="783">
        <v>8664.81</v>
      </c>
      <c r="X134" s="780"/>
      <c r="Y134" s="781"/>
      <c r="Z134" s="783">
        <v>5997.26</v>
      </c>
      <c r="AA134" s="780"/>
      <c r="AB134" s="781"/>
      <c r="AC134" s="783">
        <v>7828.03</v>
      </c>
      <c r="AD134" s="780"/>
      <c r="AE134" s="781"/>
      <c r="AF134" s="783">
        <v>7425.03</v>
      </c>
      <c r="AG134" s="780"/>
      <c r="AH134" s="781"/>
      <c r="AI134" s="783">
        <v>6323.94</v>
      </c>
      <c r="AJ134" s="780"/>
      <c r="AK134" s="781"/>
      <c r="AL134" s="783">
        <v>5730.84</v>
      </c>
      <c r="AM134" s="780"/>
      <c r="AN134" s="781"/>
      <c r="AO134" s="783">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24794.709999999977</v>
      </c>
      <c r="F135" s="747"/>
      <c r="G135" s="757"/>
      <c r="H135" s="771">
        <v>1552.12</v>
      </c>
      <c r="I135" s="747"/>
      <c r="J135" s="757"/>
      <c r="K135" s="771">
        <v>1106.6099999999999</v>
      </c>
      <c r="L135" s="747"/>
      <c r="M135" s="757"/>
      <c r="N135" s="771">
        <v>1995.98999999999</v>
      </c>
      <c r="O135" s="747"/>
      <c r="P135" s="757"/>
      <c r="Q135" s="771">
        <v>2346.83</v>
      </c>
      <c r="R135" s="747"/>
      <c r="S135" s="757"/>
      <c r="T135" s="771">
        <v>-381.92999999999898</v>
      </c>
      <c r="U135" s="747"/>
      <c r="V135" s="757"/>
      <c r="W135" s="771">
        <v>3509.34</v>
      </c>
      <c r="X135" s="747"/>
      <c r="Y135" s="757"/>
      <c r="Z135" s="771">
        <v>2237.7599999999902</v>
      </c>
      <c r="AA135" s="747"/>
      <c r="AB135" s="757"/>
      <c r="AC135" s="771">
        <v>3804.14</v>
      </c>
      <c r="AD135" s="747"/>
      <c r="AE135" s="757"/>
      <c r="AF135" s="771">
        <v>2608.88</v>
      </c>
      <c r="AG135" s="747"/>
      <c r="AH135" s="757"/>
      <c r="AI135" s="771">
        <v>2622.87</v>
      </c>
      <c r="AJ135" s="747"/>
      <c r="AK135" s="757"/>
      <c r="AL135" s="771">
        <v>1906.19</v>
      </c>
      <c r="AM135" s="747"/>
      <c r="AN135" s="757"/>
      <c r="AO135" s="771">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15014.8</v>
      </c>
      <c r="F136" s="747"/>
      <c r="G136" s="757"/>
      <c r="H136" s="771">
        <v>914.94</v>
      </c>
      <c r="I136" s="747"/>
      <c r="J136" s="757"/>
      <c r="K136" s="771">
        <v>795.88</v>
      </c>
      <c r="L136" s="747"/>
      <c r="M136" s="757"/>
      <c r="N136" s="771">
        <v>1066.6600000000001</v>
      </c>
      <c r="O136" s="747"/>
      <c r="P136" s="757"/>
      <c r="Q136" s="771">
        <v>1442.59</v>
      </c>
      <c r="R136" s="747"/>
      <c r="S136" s="757"/>
      <c r="T136" s="771">
        <v>1262.03</v>
      </c>
      <c r="U136" s="747"/>
      <c r="V136" s="757"/>
      <c r="W136" s="771">
        <v>1964.95</v>
      </c>
      <c r="X136" s="747"/>
      <c r="Y136" s="757"/>
      <c r="Z136" s="771">
        <v>1223.1400000000001</v>
      </c>
      <c r="AA136" s="747"/>
      <c r="AB136" s="757"/>
      <c r="AC136" s="771">
        <v>1534.35</v>
      </c>
      <c r="AD136" s="747"/>
      <c r="AE136" s="757"/>
      <c r="AF136" s="771">
        <v>1265.72</v>
      </c>
      <c r="AG136" s="747"/>
      <c r="AH136" s="757"/>
      <c r="AI136" s="771">
        <v>1281.49</v>
      </c>
      <c r="AJ136" s="747"/>
      <c r="AK136" s="757"/>
      <c r="AL136" s="771">
        <v>1041.1500000000001</v>
      </c>
      <c r="AM136" s="747"/>
      <c r="AN136" s="757"/>
      <c r="AO136" s="771">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0.3447134595777186</v>
      </c>
      <c r="E138" s="779">
        <v>464013.59999999986</v>
      </c>
      <c r="F138" s="777" t="s">
        <v>119</v>
      </c>
      <c r="G138" s="778">
        <v>0.30442179136662645</v>
      </c>
      <c r="H138" s="779">
        <v>36100.400000000001</v>
      </c>
      <c r="I138" s="777" t="s">
        <v>119</v>
      </c>
      <c r="J138" s="778">
        <v>0.34381917424937564</v>
      </c>
      <c r="K138" s="779">
        <v>30347.000000000004</v>
      </c>
      <c r="L138" s="777" t="s">
        <v>119</v>
      </c>
      <c r="M138" s="778">
        <v>0.27258399476371942</v>
      </c>
      <c r="N138" s="779">
        <v>36039.959999999992</v>
      </c>
      <c r="O138" s="777" t="s">
        <v>119</v>
      </c>
      <c r="P138" s="778">
        <v>0.329523183464425</v>
      </c>
      <c r="Q138" s="779">
        <v>39601.19</v>
      </c>
      <c r="R138" s="777" t="s">
        <v>119</v>
      </c>
      <c r="S138" s="778">
        <v>0.32836137138493726</v>
      </c>
      <c r="T138" s="779">
        <v>41625.780000000006</v>
      </c>
      <c r="U138" s="777" t="s">
        <v>119</v>
      </c>
      <c r="V138" s="778">
        <v>0.30999332890852138</v>
      </c>
      <c r="W138" s="779">
        <v>47588.039999999994</v>
      </c>
      <c r="X138" s="777" t="s">
        <v>119</v>
      </c>
      <c r="Y138" s="778">
        <v>0.25351148719179351</v>
      </c>
      <c r="Z138" s="779">
        <v>34629.549999999988</v>
      </c>
      <c r="AA138" s="777" t="s">
        <v>119</v>
      </c>
      <c r="AB138" s="778">
        <v>0.41663215825561689</v>
      </c>
      <c r="AC138" s="779">
        <v>47901.02</v>
      </c>
      <c r="AD138" s="777" t="s">
        <v>119</v>
      </c>
      <c r="AE138" s="778">
        <v>0.28711593648974326</v>
      </c>
      <c r="AF138" s="779">
        <v>38717.050000000003</v>
      </c>
      <c r="AG138" s="777" t="s">
        <v>119</v>
      </c>
      <c r="AH138" s="778">
        <v>0.26947240987716337</v>
      </c>
      <c r="AI138" s="779">
        <v>35213.899999999994</v>
      </c>
      <c r="AJ138" s="777" t="s">
        <v>119</v>
      </c>
      <c r="AK138" s="778">
        <v>0.71052360127216518</v>
      </c>
      <c r="AL138" s="779">
        <v>36989.340000000004</v>
      </c>
      <c r="AM138" s="777" t="s">
        <v>119</v>
      </c>
      <c r="AN138" s="778">
        <v>1.0496555098374225</v>
      </c>
      <c r="AO138" s="779">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12205.75</v>
      </c>
      <c r="F141" s="785"/>
      <c r="G141" s="786"/>
      <c r="H141" s="788">
        <v>-176.64</v>
      </c>
      <c r="I141" s="785"/>
      <c r="J141" s="786"/>
      <c r="K141" s="788">
        <v>-108.84</v>
      </c>
      <c r="L141" s="785"/>
      <c r="M141" s="786"/>
      <c r="N141" s="788">
        <v>988.66</v>
      </c>
      <c r="O141" s="785"/>
      <c r="P141" s="786"/>
      <c r="Q141" s="788">
        <v>1353.95</v>
      </c>
      <c r="R141" s="785"/>
      <c r="S141" s="786"/>
      <c r="T141" s="788">
        <v>1878.99</v>
      </c>
      <c r="U141" s="785"/>
      <c r="V141" s="786"/>
      <c r="W141" s="788">
        <v>1622</v>
      </c>
      <c r="X141" s="785"/>
      <c r="Y141" s="786"/>
      <c r="Z141" s="788">
        <v>1692.94</v>
      </c>
      <c r="AA141" s="785"/>
      <c r="AB141" s="786"/>
      <c r="AC141" s="788">
        <v>1347.45</v>
      </c>
      <c r="AD141" s="785"/>
      <c r="AE141" s="786"/>
      <c r="AF141" s="788">
        <v>1464.28</v>
      </c>
      <c r="AG141" s="785"/>
      <c r="AH141" s="786"/>
      <c r="AI141" s="788">
        <v>1470.58</v>
      </c>
      <c r="AJ141" s="785"/>
      <c r="AK141" s="786"/>
      <c r="AL141" s="788">
        <v>561.08000000000004</v>
      </c>
      <c r="AM141" s="785"/>
      <c r="AN141" s="786"/>
      <c r="AO141" s="788">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42756.7</v>
      </c>
      <c r="F142" s="747"/>
      <c r="G142" s="757"/>
      <c r="H142" s="771">
        <v>2317.2800000000002</v>
      </c>
      <c r="I142" s="747"/>
      <c r="J142" s="757"/>
      <c r="K142" s="771">
        <v>4653.93</v>
      </c>
      <c r="L142" s="747"/>
      <c r="M142" s="757"/>
      <c r="N142" s="771">
        <v>3530.19</v>
      </c>
      <c r="O142" s="747"/>
      <c r="P142" s="757"/>
      <c r="Q142" s="771">
        <v>2787.21</v>
      </c>
      <c r="R142" s="747"/>
      <c r="S142" s="757"/>
      <c r="T142" s="771">
        <v>4765.4399999999996</v>
      </c>
      <c r="U142" s="747"/>
      <c r="V142" s="757"/>
      <c r="W142" s="771">
        <v>3390.32</v>
      </c>
      <c r="X142" s="747"/>
      <c r="Y142" s="757"/>
      <c r="Z142" s="771">
        <v>3593.59</v>
      </c>
      <c r="AA142" s="747"/>
      <c r="AB142" s="757"/>
      <c r="AC142" s="771">
        <v>3469.08</v>
      </c>
      <c r="AD142" s="747"/>
      <c r="AE142" s="757"/>
      <c r="AF142" s="771">
        <v>3651.6</v>
      </c>
      <c r="AG142" s="747"/>
      <c r="AH142" s="757"/>
      <c r="AI142" s="771">
        <v>3537.97</v>
      </c>
      <c r="AJ142" s="747"/>
      <c r="AK142" s="757"/>
      <c r="AL142" s="771">
        <v>3471.27</v>
      </c>
      <c r="AM142" s="747"/>
      <c r="AN142" s="757"/>
      <c r="AO142" s="771">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8244.9599999999991</v>
      </c>
      <c r="F143" s="747"/>
      <c r="G143" s="757"/>
      <c r="H143" s="771">
        <v>453.42</v>
      </c>
      <c r="I143" s="747"/>
      <c r="J143" s="757"/>
      <c r="K143" s="771">
        <v>882.36</v>
      </c>
      <c r="L143" s="747"/>
      <c r="M143" s="757"/>
      <c r="N143" s="771">
        <v>1166.95</v>
      </c>
      <c r="O143" s="747"/>
      <c r="P143" s="757"/>
      <c r="Q143" s="771">
        <v>347.09</v>
      </c>
      <c r="R143" s="747"/>
      <c r="S143" s="757"/>
      <c r="T143" s="771">
        <v>2206.02</v>
      </c>
      <c r="U143" s="747"/>
      <c r="V143" s="757"/>
      <c r="W143" s="771">
        <v>-6.81</v>
      </c>
      <c r="X143" s="747"/>
      <c r="Y143" s="757"/>
      <c r="Z143" s="771">
        <v>430.47</v>
      </c>
      <c r="AA143" s="747"/>
      <c r="AB143" s="757"/>
      <c r="AC143" s="771">
        <v>725.33</v>
      </c>
      <c r="AD143" s="747"/>
      <c r="AE143" s="757"/>
      <c r="AF143" s="771">
        <v>580.28</v>
      </c>
      <c r="AG143" s="747"/>
      <c r="AH143" s="757"/>
      <c r="AI143" s="771">
        <v>565.19000000000005</v>
      </c>
      <c r="AJ143" s="747"/>
      <c r="AK143" s="757"/>
      <c r="AL143" s="771">
        <v>491.66</v>
      </c>
      <c r="AM143" s="747"/>
      <c r="AN143" s="757"/>
      <c r="AO143" s="771">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17065.52</v>
      </c>
      <c r="F144" s="785"/>
      <c r="G144" s="786"/>
      <c r="H144" s="788">
        <v>1224.83</v>
      </c>
      <c r="I144" s="785"/>
      <c r="J144" s="786"/>
      <c r="K144" s="788">
        <v>1544.58</v>
      </c>
      <c r="L144" s="785"/>
      <c r="M144" s="786"/>
      <c r="N144" s="788">
        <v>767.46</v>
      </c>
      <c r="O144" s="785"/>
      <c r="P144" s="786"/>
      <c r="Q144" s="788">
        <v>2040.21</v>
      </c>
      <c r="R144" s="785"/>
      <c r="S144" s="786"/>
      <c r="T144" s="788">
        <v>2489.19</v>
      </c>
      <c r="U144" s="785"/>
      <c r="V144" s="786"/>
      <c r="W144" s="788">
        <v>1114.8</v>
      </c>
      <c r="X144" s="785"/>
      <c r="Y144" s="786"/>
      <c r="Z144" s="788">
        <v>1241.24</v>
      </c>
      <c r="AA144" s="785"/>
      <c r="AB144" s="786"/>
      <c r="AC144" s="788">
        <v>879.44</v>
      </c>
      <c r="AD144" s="785"/>
      <c r="AE144" s="786"/>
      <c r="AF144" s="788">
        <v>909.96</v>
      </c>
      <c r="AG144" s="785"/>
      <c r="AH144" s="786"/>
      <c r="AI144" s="788">
        <v>1543.92</v>
      </c>
      <c r="AJ144" s="785"/>
      <c r="AK144" s="786"/>
      <c r="AL144" s="788">
        <v>1983.25</v>
      </c>
      <c r="AM144" s="785"/>
      <c r="AN144" s="786"/>
      <c r="AO144" s="788">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243.2</v>
      </c>
      <c r="F145" s="747"/>
      <c r="G145" s="757"/>
      <c r="H145" s="771">
        <v>0</v>
      </c>
      <c r="I145" s="747"/>
      <c r="J145" s="757"/>
      <c r="K145" s="771">
        <v>0</v>
      </c>
      <c r="L145" s="747"/>
      <c r="M145" s="757"/>
      <c r="N145" s="771">
        <v>3.09</v>
      </c>
      <c r="O145" s="747"/>
      <c r="P145" s="757"/>
      <c r="Q145" s="771">
        <v>0</v>
      </c>
      <c r="R145" s="747"/>
      <c r="S145" s="757"/>
      <c r="T145" s="771">
        <v>0</v>
      </c>
      <c r="U145" s="747"/>
      <c r="V145" s="757"/>
      <c r="W145" s="771">
        <v>0</v>
      </c>
      <c r="X145" s="747"/>
      <c r="Y145" s="757"/>
      <c r="Z145" s="771">
        <v>0</v>
      </c>
      <c r="AA145" s="747"/>
      <c r="AB145" s="757"/>
      <c r="AC145" s="771">
        <v>0</v>
      </c>
      <c r="AD145" s="747"/>
      <c r="AE145" s="757"/>
      <c r="AF145" s="771">
        <v>52.94</v>
      </c>
      <c r="AG145" s="747"/>
      <c r="AH145" s="757"/>
      <c r="AI145" s="771">
        <v>0</v>
      </c>
      <c r="AJ145" s="747"/>
      <c r="AK145" s="757"/>
      <c r="AL145" s="771">
        <v>115.35</v>
      </c>
      <c r="AM145" s="747"/>
      <c r="AN145" s="757"/>
      <c r="AO145" s="771">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210</v>
      </c>
      <c r="F146" s="747"/>
      <c r="G146" s="757"/>
      <c r="H146" s="771">
        <v>210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0</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4051.17</v>
      </c>
      <c r="F147" s="747"/>
      <c r="G147" s="757"/>
      <c r="H147" s="771">
        <v>145.4</v>
      </c>
      <c r="I147" s="747"/>
      <c r="J147" s="757"/>
      <c r="K147" s="771">
        <v>196.08</v>
      </c>
      <c r="L147" s="747"/>
      <c r="M147" s="757"/>
      <c r="N147" s="771">
        <v>802.61</v>
      </c>
      <c r="O147" s="747"/>
      <c r="P147" s="757"/>
      <c r="Q147" s="771">
        <v>293.77</v>
      </c>
      <c r="R147" s="747"/>
      <c r="S147" s="757"/>
      <c r="T147" s="771">
        <v>201.28</v>
      </c>
      <c r="U147" s="747"/>
      <c r="V147" s="757"/>
      <c r="W147" s="771">
        <v>227.16</v>
      </c>
      <c r="X147" s="747"/>
      <c r="Y147" s="757"/>
      <c r="Z147" s="771">
        <v>179.94</v>
      </c>
      <c r="AA147" s="747"/>
      <c r="AB147" s="757"/>
      <c r="AC147" s="771">
        <v>417.81</v>
      </c>
      <c r="AD147" s="747"/>
      <c r="AE147" s="757"/>
      <c r="AF147" s="771">
        <v>323.17</v>
      </c>
      <c r="AG147" s="747"/>
      <c r="AH147" s="757"/>
      <c r="AI147" s="771">
        <v>85.82</v>
      </c>
      <c r="AJ147" s="747"/>
      <c r="AK147" s="757"/>
      <c r="AL147" s="771">
        <v>774.66</v>
      </c>
      <c r="AM147" s="747"/>
      <c r="AN147" s="757"/>
      <c r="AO147" s="771">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1068.07</v>
      </c>
      <c r="F148" s="747"/>
      <c r="G148" s="757"/>
      <c r="H148" s="771">
        <v>74.17</v>
      </c>
      <c r="I148" s="747"/>
      <c r="J148" s="757"/>
      <c r="K148" s="771">
        <v>77.069999999999993</v>
      </c>
      <c r="L148" s="747"/>
      <c r="M148" s="757"/>
      <c r="N148" s="771">
        <v>36.14</v>
      </c>
      <c r="O148" s="747"/>
      <c r="P148" s="757"/>
      <c r="Q148" s="771">
        <v>36.03</v>
      </c>
      <c r="R148" s="747"/>
      <c r="S148" s="757"/>
      <c r="T148" s="771">
        <v>141.53</v>
      </c>
      <c r="U148" s="747"/>
      <c r="V148" s="757"/>
      <c r="W148" s="771">
        <v>35.96</v>
      </c>
      <c r="X148" s="747"/>
      <c r="Y148" s="757"/>
      <c r="Z148" s="771">
        <v>36.340000000000003</v>
      </c>
      <c r="AA148" s="747"/>
      <c r="AB148" s="757"/>
      <c r="AC148" s="771">
        <v>168.64</v>
      </c>
      <c r="AD148" s="747"/>
      <c r="AE148" s="757"/>
      <c r="AF148" s="771">
        <v>134.41999999999999</v>
      </c>
      <c r="AG148" s="747"/>
      <c r="AH148" s="757"/>
      <c r="AI148" s="771">
        <v>122.59</v>
      </c>
      <c r="AJ148" s="747"/>
      <c r="AK148" s="757"/>
      <c r="AL148" s="771">
        <v>113.83</v>
      </c>
      <c r="AM148" s="747"/>
      <c r="AN148" s="757"/>
      <c r="AO148" s="771">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948.14999999999986</v>
      </c>
      <c r="F149" s="747"/>
      <c r="G149" s="757"/>
      <c r="H149" s="771">
        <v>92.23</v>
      </c>
      <c r="I149" s="747"/>
      <c r="J149" s="757"/>
      <c r="K149" s="771">
        <v>33.19</v>
      </c>
      <c r="L149" s="747"/>
      <c r="M149" s="757"/>
      <c r="N149" s="771">
        <v>57.93</v>
      </c>
      <c r="O149" s="747"/>
      <c r="P149" s="757"/>
      <c r="Q149" s="771">
        <v>48.41</v>
      </c>
      <c r="R149" s="747"/>
      <c r="S149" s="757"/>
      <c r="T149" s="771">
        <v>113</v>
      </c>
      <c r="U149" s="747"/>
      <c r="V149" s="757"/>
      <c r="W149" s="771">
        <v>30.69</v>
      </c>
      <c r="X149" s="747"/>
      <c r="Y149" s="757"/>
      <c r="Z149" s="771">
        <v>92.28</v>
      </c>
      <c r="AA149" s="747"/>
      <c r="AB149" s="757"/>
      <c r="AC149" s="771">
        <v>56.38</v>
      </c>
      <c r="AD149" s="747"/>
      <c r="AE149" s="757"/>
      <c r="AF149" s="771">
        <v>119.77</v>
      </c>
      <c r="AG149" s="747"/>
      <c r="AH149" s="757"/>
      <c r="AI149" s="771">
        <v>133.26</v>
      </c>
      <c r="AJ149" s="747"/>
      <c r="AK149" s="757"/>
      <c r="AL149" s="771">
        <v>84.69</v>
      </c>
      <c r="AM149" s="747"/>
      <c r="AN149" s="757"/>
      <c r="AO149" s="771">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1838.9399999999996</v>
      </c>
      <c r="F150" s="747"/>
      <c r="G150" s="757"/>
      <c r="H150" s="771">
        <v>1327.62</v>
      </c>
      <c r="I150" s="747"/>
      <c r="J150" s="757"/>
      <c r="K150" s="771">
        <v>106.27</v>
      </c>
      <c r="L150" s="747"/>
      <c r="M150" s="757"/>
      <c r="N150" s="771">
        <v>24.86</v>
      </c>
      <c r="O150" s="747"/>
      <c r="P150" s="757"/>
      <c r="Q150" s="771">
        <v>43.83</v>
      </c>
      <c r="R150" s="747"/>
      <c r="S150" s="757"/>
      <c r="T150" s="771">
        <v>29.45</v>
      </c>
      <c r="U150" s="747"/>
      <c r="V150" s="757"/>
      <c r="W150" s="771">
        <v>41.75</v>
      </c>
      <c r="X150" s="747"/>
      <c r="Y150" s="757"/>
      <c r="Z150" s="771">
        <v>29.04</v>
      </c>
      <c r="AA150" s="747"/>
      <c r="AB150" s="757"/>
      <c r="AC150" s="771">
        <v>42.26</v>
      </c>
      <c r="AD150" s="747"/>
      <c r="AE150" s="757"/>
      <c r="AF150" s="771">
        <v>74.959999999999994</v>
      </c>
      <c r="AG150" s="747"/>
      <c r="AH150" s="757"/>
      <c r="AI150" s="771">
        <v>45.01</v>
      </c>
      <c r="AJ150" s="747"/>
      <c r="AK150" s="757"/>
      <c r="AL150" s="771">
        <v>38.549999999999997</v>
      </c>
      <c r="AM150" s="747"/>
      <c r="AN150" s="757"/>
      <c r="AO150" s="771">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6730.5099999999993</v>
      </c>
      <c r="F151" s="747"/>
      <c r="G151" s="757"/>
      <c r="H151" s="771">
        <v>1012.59</v>
      </c>
      <c r="I151" s="747"/>
      <c r="J151" s="757"/>
      <c r="K151" s="771">
        <v>886.55</v>
      </c>
      <c r="L151" s="747"/>
      <c r="M151" s="757"/>
      <c r="N151" s="771">
        <v>884.54</v>
      </c>
      <c r="O151" s="747"/>
      <c r="P151" s="757"/>
      <c r="Q151" s="771">
        <v>1259.51</v>
      </c>
      <c r="R151" s="747"/>
      <c r="S151" s="757"/>
      <c r="T151" s="771">
        <v>293.8</v>
      </c>
      <c r="U151" s="747"/>
      <c r="V151" s="757"/>
      <c r="W151" s="771">
        <v>182.97</v>
      </c>
      <c r="X151" s="747"/>
      <c r="Y151" s="757"/>
      <c r="Z151" s="771">
        <v>113.28</v>
      </c>
      <c r="AA151" s="747"/>
      <c r="AB151" s="757"/>
      <c r="AC151" s="771">
        <v>151.21</v>
      </c>
      <c r="AD151" s="747"/>
      <c r="AE151" s="757"/>
      <c r="AF151" s="771">
        <v>272.86</v>
      </c>
      <c r="AG151" s="747"/>
      <c r="AH151" s="757"/>
      <c r="AI151" s="771">
        <v>1082.42</v>
      </c>
      <c r="AJ151" s="747"/>
      <c r="AK151" s="757"/>
      <c r="AL151" s="771">
        <v>558.28</v>
      </c>
      <c r="AM151" s="747"/>
      <c r="AN151" s="757"/>
      <c r="AO151" s="771">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9411.4299999999985</v>
      </c>
      <c r="F152" s="747"/>
      <c r="G152" s="757"/>
      <c r="H152" s="771">
        <v>698.17</v>
      </c>
      <c r="I152" s="747"/>
      <c r="J152" s="757"/>
      <c r="K152" s="771">
        <v>551.88</v>
      </c>
      <c r="L152" s="747"/>
      <c r="M152" s="757"/>
      <c r="N152" s="771">
        <v>79.349999999999994</v>
      </c>
      <c r="O152" s="747"/>
      <c r="P152" s="757"/>
      <c r="Q152" s="771">
        <v>672.36</v>
      </c>
      <c r="R152" s="747"/>
      <c r="S152" s="757"/>
      <c r="T152" s="771">
        <v>1718.22</v>
      </c>
      <c r="U152" s="747"/>
      <c r="V152" s="757"/>
      <c r="W152" s="771">
        <v>786.04</v>
      </c>
      <c r="X152" s="747"/>
      <c r="Y152" s="757"/>
      <c r="Z152" s="771">
        <v>756.99</v>
      </c>
      <c r="AA152" s="747"/>
      <c r="AB152" s="757"/>
      <c r="AC152" s="771">
        <v>591.07000000000005</v>
      </c>
      <c r="AD152" s="747"/>
      <c r="AE152" s="757"/>
      <c r="AF152" s="771">
        <v>800.81</v>
      </c>
      <c r="AG152" s="747"/>
      <c r="AH152" s="757"/>
      <c r="AI152" s="771">
        <v>905.16</v>
      </c>
      <c r="AJ152" s="747"/>
      <c r="AK152" s="757"/>
      <c r="AL152" s="771">
        <v>1138.8699999999999</v>
      </c>
      <c r="AM152" s="747"/>
      <c r="AN152" s="757"/>
      <c r="AO152" s="771">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7.7836395095272473E-2</v>
      </c>
      <c r="E156" s="779">
        <v>104774.39999999998</v>
      </c>
      <c r="F156" s="777" t="s">
        <v>119</v>
      </c>
      <c r="G156" s="778">
        <v>6.2225064210361433E-2</v>
      </c>
      <c r="H156" s="779">
        <v>7379.07</v>
      </c>
      <c r="I156" s="777" t="s">
        <v>119</v>
      </c>
      <c r="J156" s="778">
        <v>9.9961796610684328E-2</v>
      </c>
      <c r="K156" s="779">
        <v>8823.0699999999979</v>
      </c>
      <c r="L156" s="777" t="s">
        <v>119</v>
      </c>
      <c r="M156" s="778">
        <v>6.3092071018949522E-2</v>
      </c>
      <c r="N156" s="779">
        <v>8341.7800000000007</v>
      </c>
      <c r="O156" s="777" t="s">
        <v>119</v>
      </c>
      <c r="P156" s="778">
        <v>7.3910577917201584E-2</v>
      </c>
      <c r="Q156" s="779">
        <v>8882.369999999999</v>
      </c>
      <c r="R156" s="777" t="s">
        <v>119</v>
      </c>
      <c r="S156" s="778">
        <v>0.10915134868208272</v>
      </c>
      <c r="T156" s="779">
        <v>13836.92</v>
      </c>
      <c r="U156" s="777" t="s">
        <v>119</v>
      </c>
      <c r="V156" s="778">
        <v>4.8366422906812354E-2</v>
      </c>
      <c r="W156" s="779">
        <v>7424.8799999999992</v>
      </c>
      <c r="X156" s="777" t="s">
        <v>119</v>
      </c>
      <c r="Y156" s="778">
        <v>5.9781391634363641E-2</v>
      </c>
      <c r="Z156" s="779">
        <v>8166.11</v>
      </c>
      <c r="AA156" s="777" t="s">
        <v>119</v>
      </c>
      <c r="AB156" s="778">
        <v>6.8265943429515974E-2</v>
      </c>
      <c r="AC156" s="779">
        <v>7848.67</v>
      </c>
      <c r="AD156" s="777" t="s">
        <v>119</v>
      </c>
      <c r="AE156" s="778">
        <v>6.218142867969851E-2</v>
      </c>
      <c r="AF156" s="779">
        <v>8385.0499999999993</v>
      </c>
      <c r="AG156" s="777" t="s">
        <v>119</v>
      </c>
      <c r="AH156" s="778">
        <v>7.2636389515539163E-2</v>
      </c>
      <c r="AI156" s="779">
        <v>9491.92</v>
      </c>
      <c r="AJ156" s="777" t="s">
        <v>119</v>
      </c>
      <c r="AK156" s="778">
        <v>0.17924742317746672</v>
      </c>
      <c r="AL156" s="779">
        <v>9331.4900000000016</v>
      </c>
      <c r="AM156" s="777" t="s">
        <v>119</v>
      </c>
      <c r="AN156" s="778">
        <v>0.18348933644537532</v>
      </c>
      <c r="AO156" s="779">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0.92742128199264162</v>
      </c>
      <c r="E158" s="789">
        <v>1248387.8299999996</v>
      </c>
      <c r="F158" s="777" t="s">
        <v>119</v>
      </c>
      <c r="G158" s="778">
        <v>0.70684733998174221</v>
      </c>
      <c r="H158" s="789">
        <v>83822.75</v>
      </c>
      <c r="I158" s="777" t="s">
        <v>119</v>
      </c>
      <c r="J158" s="778">
        <v>0.96262299123474893</v>
      </c>
      <c r="K158" s="789">
        <v>84965.36</v>
      </c>
      <c r="L158" s="777" t="s">
        <v>119</v>
      </c>
      <c r="M158" s="778">
        <v>0.83804627852094804</v>
      </c>
      <c r="N158" s="789">
        <v>110803.10999999999</v>
      </c>
      <c r="O158" s="777" t="s">
        <v>119</v>
      </c>
      <c r="P158" s="778">
        <v>0.8561533068862881</v>
      </c>
      <c r="Q158" s="789">
        <v>102890.15</v>
      </c>
      <c r="R158" s="777" t="s">
        <v>119</v>
      </c>
      <c r="S158" s="778">
        <v>1.0020900351981017</v>
      </c>
      <c r="T158" s="789">
        <v>127033.15000000001</v>
      </c>
      <c r="U158" s="777" t="s">
        <v>119</v>
      </c>
      <c r="V158" s="778">
        <v>0.76897425894114246</v>
      </c>
      <c r="W158" s="789">
        <v>118047.63</v>
      </c>
      <c r="X158" s="777" t="s">
        <v>119</v>
      </c>
      <c r="Y158" s="778">
        <v>0.81296809732800746</v>
      </c>
      <c r="Z158" s="789">
        <v>111051.06</v>
      </c>
      <c r="AA158" s="777" t="s">
        <v>119</v>
      </c>
      <c r="AB158" s="778">
        <v>1.0800776919800548</v>
      </c>
      <c r="AC158" s="789">
        <v>124178.65999999999</v>
      </c>
      <c r="AD158" s="777" t="s">
        <v>119</v>
      </c>
      <c r="AE158" s="778">
        <v>0.77700537804970837</v>
      </c>
      <c r="AF158" s="789">
        <v>104777.73</v>
      </c>
      <c r="AG158" s="777" t="s">
        <v>119</v>
      </c>
      <c r="AH158" s="778">
        <v>0.85683898951003057</v>
      </c>
      <c r="AI158" s="789">
        <v>111969.31999999999</v>
      </c>
      <c r="AJ158" s="777" t="s">
        <v>119</v>
      </c>
      <c r="AK158" s="778">
        <v>1.5823869600937543</v>
      </c>
      <c r="AL158" s="789">
        <v>82377.910000000018</v>
      </c>
      <c r="AM158" s="777" t="s">
        <v>119</v>
      </c>
      <c r="AN158" s="778">
        <v>2.3118671981734189</v>
      </c>
      <c r="AO158" s="789">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c r="I164" s="747"/>
      <c r="J164" s="757"/>
      <c r="K164" s="771"/>
      <c r="L164" s="747"/>
      <c r="M164" s="757"/>
      <c r="N164" s="771"/>
      <c r="O164" s="747"/>
      <c r="P164" s="757"/>
      <c r="Q164" s="771"/>
      <c r="R164" s="747"/>
      <c r="S164" s="757"/>
      <c r="T164" s="771"/>
      <c r="U164" s="747"/>
      <c r="V164" s="757"/>
      <c r="W164" s="771"/>
      <c r="X164" s="747"/>
      <c r="Y164" s="757"/>
      <c r="Z164" s="771"/>
      <c r="AA164" s="747"/>
      <c r="AB164" s="757"/>
      <c r="AC164" s="771"/>
      <c r="AD164" s="747"/>
      <c r="AE164" s="757"/>
      <c r="AF164" s="771"/>
      <c r="AG164" s="747"/>
      <c r="AH164" s="757"/>
      <c r="AI164" s="771"/>
      <c r="AJ164" s="747"/>
      <c r="AK164" s="757"/>
      <c r="AL164" s="771"/>
      <c r="AM164" s="747"/>
      <c r="AN164" s="757"/>
      <c r="AO164" s="77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128814</v>
      </c>
      <c r="F165" s="776"/>
      <c r="G165" s="784"/>
      <c r="H165" s="775">
        <v>9874</v>
      </c>
      <c r="I165" s="776"/>
      <c r="J165" s="784"/>
      <c r="K165" s="775">
        <v>8812</v>
      </c>
      <c r="L165" s="776"/>
      <c r="M165" s="784"/>
      <c r="N165" s="775">
        <v>13046</v>
      </c>
      <c r="O165" s="776"/>
      <c r="P165" s="784"/>
      <c r="Q165" s="775">
        <v>7645</v>
      </c>
      <c r="R165" s="776"/>
      <c r="S165" s="784"/>
      <c r="T165" s="775">
        <v>8919</v>
      </c>
      <c r="U165" s="776"/>
      <c r="V165" s="784"/>
      <c r="W165" s="775">
        <v>8552</v>
      </c>
      <c r="X165" s="776"/>
      <c r="Y165" s="784"/>
      <c r="Z165" s="775">
        <v>14460</v>
      </c>
      <c r="AA165" s="776"/>
      <c r="AB165" s="784"/>
      <c r="AC165" s="775">
        <v>16835</v>
      </c>
      <c r="AD165" s="776"/>
      <c r="AE165" s="784"/>
      <c r="AF165" s="775">
        <v>15069</v>
      </c>
      <c r="AG165" s="776"/>
      <c r="AH165" s="784"/>
      <c r="AI165" s="775">
        <v>10119</v>
      </c>
      <c r="AJ165" s="776"/>
      <c r="AK165" s="784"/>
      <c r="AL165" s="775">
        <v>7749</v>
      </c>
      <c r="AM165" s="776"/>
      <c r="AN165" s="784"/>
      <c r="AO165" s="775">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128814</v>
      </c>
      <c r="F166" s="814"/>
      <c r="G166" s="815"/>
      <c r="H166" s="789">
        <v>9874</v>
      </c>
      <c r="I166" s="814"/>
      <c r="J166" s="815"/>
      <c r="K166" s="789">
        <v>8812</v>
      </c>
      <c r="L166" s="814"/>
      <c r="M166" s="815"/>
      <c r="N166" s="789">
        <v>13046</v>
      </c>
      <c r="O166" s="814"/>
      <c r="P166" s="815"/>
      <c r="Q166" s="789">
        <v>7645</v>
      </c>
      <c r="R166" s="814"/>
      <c r="S166" s="815"/>
      <c r="T166" s="789">
        <v>8919</v>
      </c>
      <c r="U166" s="814"/>
      <c r="V166" s="815"/>
      <c r="W166" s="789">
        <v>8552</v>
      </c>
      <c r="X166" s="814"/>
      <c r="Y166" s="815"/>
      <c r="Z166" s="789">
        <v>14460</v>
      </c>
      <c r="AA166" s="814"/>
      <c r="AB166" s="815"/>
      <c r="AC166" s="789">
        <v>16835</v>
      </c>
      <c r="AD166" s="814"/>
      <c r="AE166" s="815"/>
      <c r="AF166" s="789">
        <v>15069</v>
      </c>
      <c r="AG166" s="814"/>
      <c r="AH166" s="815"/>
      <c r="AI166" s="789">
        <v>10119</v>
      </c>
      <c r="AJ166" s="814"/>
      <c r="AK166" s="815"/>
      <c r="AL166" s="789">
        <v>7749</v>
      </c>
      <c r="AM166" s="814"/>
      <c r="AN166" s="815"/>
      <c r="AO166" s="789">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226511.11999999895</v>
      </c>
      <c r="F168" s="816"/>
      <c r="G168" s="817"/>
      <c r="H168" s="798">
        <v>44638.029999999912</v>
      </c>
      <c r="I168" s="816"/>
      <c r="J168" s="817"/>
      <c r="K168" s="798">
        <v>12111.059999999794</v>
      </c>
      <c r="L168" s="816"/>
      <c r="M168" s="817"/>
      <c r="N168" s="798">
        <v>34458.869999999879</v>
      </c>
      <c r="O168" s="816"/>
      <c r="P168" s="817"/>
      <c r="Q168" s="798">
        <v>24932.099999999802</v>
      </c>
      <c r="R168" s="816"/>
      <c r="S168" s="817"/>
      <c r="T168" s="798">
        <v>8654.0500000000029</v>
      </c>
      <c r="U168" s="816"/>
      <c r="V168" s="817"/>
      <c r="W168" s="798">
        <v>44017.479999999894</v>
      </c>
      <c r="X168" s="816"/>
      <c r="Y168" s="817"/>
      <c r="Z168" s="798">
        <v>40008.469999999914</v>
      </c>
      <c r="AA168" s="816"/>
      <c r="AB168" s="817"/>
      <c r="AC168" s="798">
        <v>7628.3099999999104</v>
      </c>
      <c r="AD168" s="816"/>
      <c r="AE168" s="817"/>
      <c r="AF168" s="798">
        <v>45139.409999999989</v>
      </c>
      <c r="AG168" s="816"/>
      <c r="AH168" s="817"/>
      <c r="AI168" s="798">
        <v>28826.879999999801</v>
      </c>
      <c r="AJ168" s="816"/>
      <c r="AK168" s="817"/>
      <c r="AL168" s="798">
        <v>-22569.64</v>
      </c>
      <c r="AM168" s="816"/>
      <c r="AN168" s="817"/>
      <c r="AO168" s="798">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3870</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2023</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5672</v>
      </c>
      <c r="D175" s="770">
        <v>1794757.1899999969</v>
      </c>
      <c r="E175" s="758">
        <v>1365745.6399999978</v>
      </c>
      <c r="F175" s="820">
        <v>306</v>
      </c>
      <c r="G175" s="821">
        <v>99375.66</v>
      </c>
      <c r="H175" s="771">
        <v>73499.429999999993</v>
      </c>
      <c r="I175" s="820">
        <v>260</v>
      </c>
      <c r="J175" s="821">
        <v>88638.59</v>
      </c>
      <c r="K175" s="771">
        <v>67573.42</v>
      </c>
      <c r="L175" s="820">
        <v>324</v>
      </c>
      <c r="M175" s="821">
        <v>116309.069999999</v>
      </c>
      <c r="N175" s="771">
        <v>89120.03</v>
      </c>
      <c r="O175" s="820">
        <v>649</v>
      </c>
      <c r="P175" s="821">
        <v>206618.41</v>
      </c>
      <c r="Q175" s="771">
        <v>159399.99</v>
      </c>
      <c r="R175" s="820">
        <v>630</v>
      </c>
      <c r="S175" s="821">
        <v>205419.62999999899</v>
      </c>
      <c r="T175" s="771">
        <v>160181.58999999901</v>
      </c>
      <c r="U175" s="820">
        <v>424</v>
      </c>
      <c r="V175" s="821">
        <v>163560.49</v>
      </c>
      <c r="W175" s="771">
        <v>130305.849999999</v>
      </c>
      <c r="X175" s="820">
        <v>376</v>
      </c>
      <c r="Y175" s="821">
        <v>134675.75999999899</v>
      </c>
      <c r="Z175" s="771">
        <v>98157.879999999903</v>
      </c>
      <c r="AA175" s="820">
        <v>346</v>
      </c>
      <c r="AB175" s="821">
        <v>124231.09</v>
      </c>
      <c r="AC175" s="771">
        <v>94401.34</v>
      </c>
      <c r="AD175" s="820">
        <v>351</v>
      </c>
      <c r="AE175" s="821">
        <v>121290.73</v>
      </c>
      <c r="AF175" s="771">
        <v>89262.04</v>
      </c>
      <c r="AG175" s="820">
        <v>584</v>
      </c>
      <c r="AH175" s="821">
        <v>160196.75</v>
      </c>
      <c r="AI175" s="771">
        <v>122881.74</v>
      </c>
      <c r="AJ175" s="820">
        <v>1003</v>
      </c>
      <c r="AK175" s="821">
        <v>245740.65</v>
      </c>
      <c r="AL175" s="771">
        <v>184881.37</v>
      </c>
      <c r="AM175" s="820">
        <v>419</v>
      </c>
      <c r="AN175" s="821">
        <v>128700.36</v>
      </c>
      <c r="AO175" s="771">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0.76096401653083789</v>
      </c>
      <c r="F176" s="819"/>
      <c r="G176" s="757"/>
      <c r="H176" s="822">
        <v>0.73961199352034479</v>
      </c>
      <c r="I176" s="819"/>
      <c r="J176" s="757"/>
      <c r="K176" s="822">
        <v>0.76234764113463449</v>
      </c>
      <c r="L176" s="819"/>
      <c r="M176" s="757"/>
      <c r="N176" s="822">
        <v>0.76623456794900657</v>
      </c>
      <c r="O176" s="819"/>
      <c r="P176" s="757"/>
      <c r="Q176" s="822">
        <v>0.77147041253487525</v>
      </c>
      <c r="R176" s="819"/>
      <c r="S176" s="757"/>
      <c r="T176" s="822">
        <v>0.77977742438733721</v>
      </c>
      <c r="U176" s="819"/>
      <c r="V176" s="757"/>
      <c r="W176" s="822">
        <v>0.79668292752118197</v>
      </c>
      <c r="X176" s="819"/>
      <c r="Y176" s="757"/>
      <c r="Z176" s="822">
        <v>0.72884593337361259</v>
      </c>
      <c r="AA176" s="819"/>
      <c r="AB176" s="757"/>
      <c r="AC176" s="822">
        <v>0.75988498531245274</v>
      </c>
      <c r="AD176" s="819"/>
      <c r="AE176" s="757"/>
      <c r="AF176" s="822">
        <v>0.7359345598793906</v>
      </c>
      <c r="AG176" s="819"/>
      <c r="AH176" s="757"/>
      <c r="AI176" s="822">
        <v>0.76706762153414476</v>
      </c>
      <c r="AJ176" s="819"/>
      <c r="AK176" s="757"/>
      <c r="AL176" s="822">
        <v>0.75234345640413991</v>
      </c>
      <c r="AM176" s="819"/>
      <c r="AN176" s="757"/>
      <c r="AO176" s="822">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316.42404619181895</v>
      </c>
      <c r="E177" s="825"/>
      <c r="F177" s="823"/>
      <c r="G177" s="824">
        <v>324.75705882352941</v>
      </c>
      <c r="H177" s="825"/>
      <c r="I177" s="823"/>
      <c r="J177" s="824">
        <v>340.91765384615383</v>
      </c>
      <c r="K177" s="825"/>
      <c r="L177" s="823"/>
      <c r="M177" s="824">
        <v>358.97861111110802</v>
      </c>
      <c r="N177" s="825"/>
      <c r="O177" s="823"/>
      <c r="P177" s="824">
        <v>318.36426810477656</v>
      </c>
      <c r="Q177" s="825"/>
      <c r="R177" s="823"/>
      <c r="S177" s="824">
        <v>326.06290476190316</v>
      </c>
      <c r="T177" s="825"/>
      <c r="U177" s="823"/>
      <c r="V177" s="824">
        <v>385.75587264150943</v>
      </c>
      <c r="W177" s="825"/>
      <c r="X177" s="823"/>
      <c r="Y177" s="824">
        <v>358.18021276595476</v>
      </c>
      <c r="Z177" s="825"/>
      <c r="AA177" s="823"/>
      <c r="AB177" s="824">
        <v>359.04939306358381</v>
      </c>
      <c r="AC177" s="825"/>
      <c r="AD177" s="823"/>
      <c r="AE177" s="824">
        <v>345.5576353276353</v>
      </c>
      <c r="AF177" s="825"/>
      <c r="AG177" s="823"/>
      <c r="AH177" s="824">
        <v>274.30950342465752</v>
      </c>
      <c r="AI177" s="825"/>
      <c r="AJ177" s="823"/>
      <c r="AK177" s="824">
        <v>245.00563310069791</v>
      </c>
      <c r="AL177" s="825"/>
      <c r="AM177" s="823"/>
      <c r="AN177" s="824">
        <v>307.16076372315035</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1295</v>
      </c>
      <c r="D178" s="827">
        <v>340943.76</v>
      </c>
      <c r="E178" s="782">
        <v>205916.44999999969</v>
      </c>
      <c r="F178" s="828">
        <v>116</v>
      </c>
      <c r="G178" s="829">
        <v>26426.29</v>
      </c>
      <c r="H178" s="783">
        <v>15576.71</v>
      </c>
      <c r="I178" s="828">
        <v>104</v>
      </c>
      <c r="J178" s="829">
        <v>26193.41</v>
      </c>
      <c r="K178" s="783">
        <v>14568.82</v>
      </c>
      <c r="L178" s="828">
        <v>104</v>
      </c>
      <c r="M178" s="829">
        <v>24148.27</v>
      </c>
      <c r="N178" s="783">
        <v>14611.85</v>
      </c>
      <c r="O178" s="828">
        <v>76</v>
      </c>
      <c r="P178" s="829">
        <v>19537.28</v>
      </c>
      <c r="Q178" s="783">
        <v>11548.07</v>
      </c>
      <c r="R178" s="828">
        <v>84</v>
      </c>
      <c r="S178" s="829">
        <v>18769.009999999998</v>
      </c>
      <c r="T178" s="783">
        <v>12245.8999999999</v>
      </c>
      <c r="U178" s="828">
        <v>93</v>
      </c>
      <c r="V178" s="829">
        <v>23312.13</v>
      </c>
      <c r="W178" s="783">
        <v>14886.99</v>
      </c>
      <c r="X178" s="828">
        <v>127</v>
      </c>
      <c r="Y178" s="829">
        <v>31627.03</v>
      </c>
      <c r="Z178" s="783">
        <v>20159.589999999898</v>
      </c>
      <c r="AA178" s="828">
        <v>112</v>
      </c>
      <c r="AB178" s="829">
        <v>47082.720000000001</v>
      </c>
      <c r="AC178" s="783">
        <v>28555.8</v>
      </c>
      <c r="AD178" s="828">
        <v>118</v>
      </c>
      <c r="AE178" s="829">
        <v>34071.730000000003</v>
      </c>
      <c r="AF178" s="783">
        <v>20940.57</v>
      </c>
      <c r="AG178" s="828">
        <v>98</v>
      </c>
      <c r="AH178" s="829">
        <v>29283.51</v>
      </c>
      <c r="AI178" s="783">
        <v>17174.5</v>
      </c>
      <c r="AJ178" s="828">
        <v>116</v>
      </c>
      <c r="AK178" s="829">
        <v>22849.53</v>
      </c>
      <c r="AL178" s="783">
        <v>12512.06</v>
      </c>
      <c r="AM178" s="828">
        <v>147</v>
      </c>
      <c r="AN178" s="829">
        <v>37642.85</v>
      </c>
      <c r="AO178" s="783">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0.60396016633359029</v>
      </c>
      <c r="F179" s="747"/>
      <c r="G179" s="757"/>
      <c r="H179" s="822">
        <v>0.58943991002898999</v>
      </c>
      <c r="I179" s="747"/>
      <c r="J179" s="757"/>
      <c r="K179" s="822">
        <v>0.55620173165693199</v>
      </c>
      <c r="L179" s="747"/>
      <c r="M179" s="757"/>
      <c r="N179" s="822">
        <v>0.60508889456677439</v>
      </c>
      <c r="O179" s="747"/>
      <c r="P179" s="757"/>
      <c r="Q179" s="822">
        <v>0.59107869672748714</v>
      </c>
      <c r="R179" s="747"/>
      <c r="S179" s="757"/>
      <c r="T179" s="822">
        <v>0.65245316614994087</v>
      </c>
      <c r="U179" s="747"/>
      <c r="V179" s="757"/>
      <c r="W179" s="822">
        <v>0.63859415677589304</v>
      </c>
      <c r="X179" s="747"/>
      <c r="Y179" s="757"/>
      <c r="Z179" s="822">
        <v>0.63741647571712867</v>
      </c>
      <c r="AA179" s="747"/>
      <c r="AB179" s="757"/>
      <c r="AC179" s="822">
        <v>0.60650276789446311</v>
      </c>
      <c r="AD179" s="747"/>
      <c r="AE179" s="757"/>
      <c r="AF179" s="822">
        <v>0.61460248716457888</v>
      </c>
      <c r="AG179" s="747"/>
      <c r="AH179" s="757"/>
      <c r="AI179" s="822">
        <v>0.58649048560094064</v>
      </c>
      <c r="AJ179" s="747"/>
      <c r="AK179" s="757"/>
      <c r="AL179" s="822">
        <v>0.54758500503073804</v>
      </c>
      <c r="AM179" s="747"/>
      <c r="AN179" s="757"/>
      <c r="AO179" s="822">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263.27703474903478</v>
      </c>
      <c r="E180" s="825"/>
      <c r="F180" s="776"/>
      <c r="G180" s="824">
        <v>227.81284482758622</v>
      </c>
      <c r="H180" s="825"/>
      <c r="I180" s="776"/>
      <c r="J180" s="824">
        <v>251.85971153846154</v>
      </c>
      <c r="K180" s="825"/>
      <c r="L180" s="776"/>
      <c r="M180" s="824">
        <v>232.19490384615386</v>
      </c>
      <c r="N180" s="825"/>
      <c r="O180" s="776"/>
      <c r="P180" s="824">
        <v>257.06947368421049</v>
      </c>
      <c r="Q180" s="825"/>
      <c r="R180" s="776"/>
      <c r="S180" s="824">
        <v>223.44059523809523</v>
      </c>
      <c r="T180" s="825"/>
      <c r="U180" s="776"/>
      <c r="V180" s="824">
        <v>250.66806451612905</v>
      </c>
      <c r="W180" s="825"/>
      <c r="X180" s="776"/>
      <c r="Y180" s="824">
        <v>249.03173228346455</v>
      </c>
      <c r="Z180" s="825"/>
      <c r="AA180" s="776"/>
      <c r="AB180" s="824">
        <v>420.38142857142856</v>
      </c>
      <c r="AC180" s="825"/>
      <c r="AD180" s="776"/>
      <c r="AE180" s="824">
        <v>288.74347457627124</v>
      </c>
      <c r="AF180" s="825"/>
      <c r="AG180" s="776"/>
      <c r="AH180" s="824">
        <v>298.81132653061223</v>
      </c>
      <c r="AI180" s="825"/>
      <c r="AJ180" s="776"/>
      <c r="AK180" s="824">
        <v>196.97870689655173</v>
      </c>
      <c r="AL180" s="825"/>
      <c r="AM180" s="776"/>
      <c r="AN180" s="824">
        <v>256.07380952380953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2616</v>
      </c>
      <c r="D181" s="770">
        <v>774983.94999999984</v>
      </c>
      <c r="E181" s="758">
        <v>522451.40999999957</v>
      </c>
      <c r="F181" s="820">
        <v>147</v>
      </c>
      <c r="G181" s="821">
        <v>41247.18</v>
      </c>
      <c r="H181" s="771">
        <v>27655.16</v>
      </c>
      <c r="I181" s="820">
        <v>153</v>
      </c>
      <c r="J181" s="821">
        <v>44287.68</v>
      </c>
      <c r="K181" s="771">
        <v>24875.26</v>
      </c>
      <c r="L181" s="820">
        <v>209</v>
      </c>
      <c r="M181" s="821">
        <v>44954.73</v>
      </c>
      <c r="N181" s="771">
        <v>29428.93</v>
      </c>
      <c r="O181" s="820">
        <v>141</v>
      </c>
      <c r="P181" s="821">
        <v>39589.24</v>
      </c>
      <c r="Q181" s="771">
        <v>28469.120000000003</v>
      </c>
      <c r="R181" s="820">
        <v>218</v>
      </c>
      <c r="S181" s="821">
        <v>70537.03</v>
      </c>
      <c r="T181" s="771">
        <v>51061.659999999902</v>
      </c>
      <c r="U181" s="820">
        <v>207</v>
      </c>
      <c r="V181" s="821">
        <v>61936.79</v>
      </c>
      <c r="W181" s="771">
        <v>45575.42</v>
      </c>
      <c r="X181" s="820">
        <v>205</v>
      </c>
      <c r="Y181" s="821">
        <v>71469.95</v>
      </c>
      <c r="Z181" s="771">
        <v>47106.679999999898</v>
      </c>
      <c r="AA181" s="820">
        <v>207</v>
      </c>
      <c r="AB181" s="821">
        <v>64628.659999999902</v>
      </c>
      <c r="AC181" s="771">
        <v>40631.67</v>
      </c>
      <c r="AD181" s="820">
        <v>246</v>
      </c>
      <c r="AE181" s="821">
        <v>70784.98</v>
      </c>
      <c r="AF181" s="771">
        <v>49450.3299999999</v>
      </c>
      <c r="AG181" s="820">
        <v>319</v>
      </c>
      <c r="AH181" s="821">
        <v>100162.52</v>
      </c>
      <c r="AI181" s="771">
        <v>59641.43</v>
      </c>
      <c r="AJ181" s="820">
        <v>339</v>
      </c>
      <c r="AK181" s="821">
        <v>94484.31</v>
      </c>
      <c r="AL181" s="771">
        <v>69294.319999999905</v>
      </c>
      <c r="AM181" s="820">
        <v>225</v>
      </c>
      <c r="AN181" s="821">
        <v>70900.88</v>
      </c>
      <c r="AO181" s="771">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0.67414481293451256</v>
      </c>
      <c r="F182" s="819"/>
      <c r="G182" s="830"/>
      <c r="H182" s="822">
        <v>0.67047395724992598</v>
      </c>
      <c r="I182" s="819"/>
      <c r="J182" s="830"/>
      <c r="K182" s="822">
        <v>0.5616744882549729</v>
      </c>
      <c r="L182" s="819"/>
      <c r="M182" s="830"/>
      <c r="N182" s="822">
        <v>0.65463478481574677</v>
      </c>
      <c r="O182" s="819"/>
      <c r="P182" s="830"/>
      <c r="Q182" s="822">
        <v>0.7191125669500098</v>
      </c>
      <c r="R182" s="819"/>
      <c r="S182" s="830"/>
      <c r="T182" s="822">
        <v>0.72389863877171889</v>
      </c>
      <c r="U182" s="819"/>
      <c r="V182" s="830"/>
      <c r="W182" s="822">
        <v>0.73583761767440636</v>
      </c>
      <c r="X182" s="819"/>
      <c r="Y182" s="830"/>
      <c r="Z182" s="822">
        <v>0.65911169659416158</v>
      </c>
      <c r="AA182" s="819"/>
      <c r="AB182" s="830"/>
      <c r="AC182" s="822">
        <v>0.6286942975453933</v>
      </c>
      <c r="AD182" s="819"/>
      <c r="AE182" s="830"/>
      <c r="AF182" s="822">
        <v>0.6985991943488562</v>
      </c>
      <c r="AG182" s="819"/>
      <c r="AH182" s="830"/>
      <c r="AI182" s="822">
        <v>0.59544658021782992</v>
      </c>
      <c r="AJ182" s="819"/>
      <c r="AK182" s="830"/>
      <c r="AL182" s="822">
        <v>0.73339499436467182</v>
      </c>
      <c r="AM182" s="819"/>
      <c r="AN182" s="830"/>
      <c r="AO182" s="822">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296.24768730886842</v>
      </c>
      <c r="E183" s="822"/>
      <c r="F183" s="819"/>
      <c r="G183" s="831">
        <v>280.59306122448982</v>
      </c>
      <c r="H183" s="822"/>
      <c r="I183" s="819"/>
      <c r="J183" s="831">
        <v>289.4619607843137</v>
      </c>
      <c r="K183" s="822"/>
      <c r="L183" s="819"/>
      <c r="M183" s="831">
        <v>215.0944019138756</v>
      </c>
      <c r="N183" s="822"/>
      <c r="O183" s="819"/>
      <c r="P183" s="831">
        <v>280.77475177304962</v>
      </c>
      <c r="Q183" s="822"/>
      <c r="R183" s="819"/>
      <c r="S183" s="831">
        <v>323.56435779816513</v>
      </c>
      <c r="T183" s="822"/>
      <c r="U183" s="819"/>
      <c r="V183" s="831">
        <v>299.2115458937198</v>
      </c>
      <c r="W183" s="822"/>
      <c r="X183" s="819"/>
      <c r="Y183" s="831">
        <v>348.63390243902438</v>
      </c>
      <c r="Z183" s="822"/>
      <c r="AA183" s="819"/>
      <c r="AB183" s="831">
        <v>312.21574879227006</v>
      </c>
      <c r="AC183" s="822"/>
      <c r="AD183" s="819"/>
      <c r="AE183" s="831">
        <v>287.74382113821139</v>
      </c>
      <c r="AF183" s="822"/>
      <c r="AG183" s="819"/>
      <c r="AH183" s="831">
        <v>313.98909090909092</v>
      </c>
      <c r="AI183" s="822"/>
      <c r="AJ183" s="819"/>
      <c r="AK183" s="831">
        <v>278.71477876106195</v>
      </c>
      <c r="AL183" s="822"/>
      <c r="AM183" s="819"/>
      <c r="AN183" s="831">
        <v>315.11502222222225</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115951.84999999998</v>
      </c>
      <c r="E184" s="782">
        <v>91317.869999999937</v>
      </c>
      <c r="F184" s="828">
        <v>0</v>
      </c>
      <c r="G184" s="829">
        <v>0</v>
      </c>
      <c r="H184" s="783">
        <v>0</v>
      </c>
      <c r="I184" s="828">
        <v>0</v>
      </c>
      <c r="J184" s="829">
        <v>119.9</v>
      </c>
      <c r="K184" s="783">
        <v>76.7</v>
      </c>
      <c r="L184" s="828">
        <v>0</v>
      </c>
      <c r="M184" s="829">
        <v>2307.7399999999998</v>
      </c>
      <c r="N184" s="783">
        <v>2088.8599999999901</v>
      </c>
      <c r="O184" s="828">
        <v>0</v>
      </c>
      <c r="P184" s="829">
        <v>4257.78</v>
      </c>
      <c r="Q184" s="783">
        <v>3429.3799999999901</v>
      </c>
      <c r="R184" s="828">
        <v>0</v>
      </c>
      <c r="S184" s="829">
        <v>18455.04</v>
      </c>
      <c r="T184" s="783">
        <v>14338.96</v>
      </c>
      <c r="U184" s="828">
        <v>0</v>
      </c>
      <c r="V184" s="829">
        <v>12535.35</v>
      </c>
      <c r="W184" s="783">
        <v>9643.2099999999991</v>
      </c>
      <c r="X184" s="828">
        <v>0</v>
      </c>
      <c r="Y184" s="829">
        <v>12357.23</v>
      </c>
      <c r="Z184" s="783">
        <v>9196.53999999999</v>
      </c>
      <c r="AA184" s="828">
        <v>0</v>
      </c>
      <c r="AB184" s="829">
        <v>16369.69</v>
      </c>
      <c r="AC184" s="783">
        <v>14346.63</v>
      </c>
      <c r="AD184" s="828">
        <v>0</v>
      </c>
      <c r="AE184" s="829">
        <v>11861.54</v>
      </c>
      <c r="AF184" s="783">
        <v>9783.99</v>
      </c>
      <c r="AG184" s="828">
        <v>0</v>
      </c>
      <c r="AH184" s="829">
        <v>14474.65</v>
      </c>
      <c r="AI184" s="783">
        <v>11844.48</v>
      </c>
      <c r="AJ184" s="828">
        <v>0</v>
      </c>
      <c r="AK184" s="829">
        <v>17546.61</v>
      </c>
      <c r="AL184" s="783">
        <v>12159.81</v>
      </c>
      <c r="AM184" s="828">
        <v>0</v>
      </c>
      <c r="AN184" s="829">
        <v>5666.32</v>
      </c>
      <c r="AO184" s="783">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0.78754991834972843</v>
      </c>
      <c r="F185" s="832"/>
      <c r="G185" s="833">
        <v>0</v>
      </c>
      <c r="H185" s="822">
        <v>0</v>
      </c>
      <c r="I185" s="832"/>
      <c r="J185" s="833">
        <v>0</v>
      </c>
      <c r="K185" s="822">
        <v>0.63969974979149291</v>
      </c>
      <c r="L185" s="832"/>
      <c r="M185" s="833">
        <v>0</v>
      </c>
      <c r="N185" s="822">
        <v>0.90515396015148597</v>
      </c>
      <c r="O185" s="832"/>
      <c r="P185" s="833">
        <v>0</v>
      </c>
      <c r="Q185" s="822">
        <v>0.80543851490682705</v>
      </c>
      <c r="R185" s="832"/>
      <c r="S185" s="833">
        <v>0</v>
      </c>
      <c r="T185" s="822">
        <v>0.77696715910667213</v>
      </c>
      <c r="U185" s="832"/>
      <c r="V185" s="833">
        <v>0</v>
      </c>
      <c r="W185" s="822">
        <v>0.76928127256119683</v>
      </c>
      <c r="X185" s="832"/>
      <c r="Y185" s="833">
        <v>0</v>
      </c>
      <c r="Z185" s="822">
        <v>0.74422342223944926</v>
      </c>
      <c r="AA185" s="832"/>
      <c r="AB185" s="833">
        <v>0</v>
      </c>
      <c r="AC185" s="822">
        <v>0.87641427540778105</v>
      </c>
      <c r="AD185" s="832"/>
      <c r="AE185" s="833">
        <v>0</v>
      </c>
      <c r="AF185" s="822">
        <v>0.82484989301557798</v>
      </c>
      <c r="AG185" s="832"/>
      <c r="AH185" s="833">
        <v>0</v>
      </c>
      <c r="AI185" s="822">
        <v>0.81829128856310862</v>
      </c>
      <c r="AJ185" s="832"/>
      <c r="AK185" s="833">
        <v>0</v>
      </c>
      <c r="AL185" s="822">
        <v>0.69300052830717718</v>
      </c>
      <c r="AM185" s="832"/>
      <c r="AN185" s="833">
        <v>0</v>
      </c>
      <c r="AO185" s="822">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-32056.45</v>
      </c>
      <c r="F187" s="820"/>
      <c r="G187" s="821"/>
      <c r="H187" s="771">
        <v>-2262.14</v>
      </c>
      <c r="I187" s="820"/>
      <c r="J187" s="821"/>
      <c r="K187" s="771">
        <v>-2759.96</v>
      </c>
      <c r="L187" s="820"/>
      <c r="M187" s="821"/>
      <c r="N187" s="771">
        <v>-1643.12</v>
      </c>
      <c r="O187" s="820"/>
      <c r="P187" s="821"/>
      <c r="Q187" s="771">
        <v>-3057.78</v>
      </c>
      <c r="R187" s="820"/>
      <c r="S187" s="821"/>
      <c r="T187" s="771">
        <v>-211.89</v>
      </c>
      <c r="U187" s="820"/>
      <c r="V187" s="821"/>
      <c r="W187" s="771">
        <v>-2801.5</v>
      </c>
      <c r="X187" s="820"/>
      <c r="Y187" s="821"/>
      <c r="Z187" s="771">
        <v>-1305.82</v>
      </c>
      <c r="AA187" s="820"/>
      <c r="AB187" s="821"/>
      <c r="AC187" s="771">
        <v>-1755.16</v>
      </c>
      <c r="AD187" s="820"/>
      <c r="AE187" s="821"/>
      <c r="AF187" s="771">
        <v>-6099.74</v>
      </c>
      <c r="AG187" s="820"/>
      <c r="AH187" s="821"/>
      <c r="AI187" s="771">
        <v>-3152.12</v>
      </c>
      <c r="AJ187" s="820"/>
      <c r="AK187" s="821"/>
      <c r="AL187" s="771">
        <v>-1433.5</v>
      </c>
      <c r="AM187" s="820"/>
      <c r="AN187" s="821"/>
      <c r="AO187" s="771">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9583</v>
      </c>
      <c r="D188" s="837">
        <v>3026636.7499999967</v>
      </c>
      <c r="E188" s="838">
        <v>2153374.9199999971</v>
      </c>
      <c r="F188" s="836">
        <v>569</v>
      </c>
      <c r="G188" s="837">
        <v>167049.13</v>
      </c>
      <c r="H188" s="838">
        <v>114469.15999999999</v>
      </c>
      <c r="I188" s="836">
        <v>517</v>
      </c>
      <c r="J188" s="837">
        <v>159239.57999999999</v>
      </c>
      <c r="K188" s="838">
        <v>104334.23999999998</v>
      </c>
      <c r="L188" s="836">
        <v>637</v>
      </c>
      <c r="M188" s="837">
        <v>187719.80999999901</v>
      </c>
      <c r="N188" s="838">
        <v>133606.54999999999</v>
      </c>
      <c r="O188" s="836">
        <v>866</v>
      </c>
      <c r="P188" s="837">
        <v>270002.71000000002</v>
      </c>
      <c r="Q188" s="838">
        <v>199788.78</v>
      </c>
      <c r="R188" s="836">
        <v>932</v>
      </c>
      <c r="S188" s="837">
        <v>313180.70999999897</v>
      </c>
      <c r="T188" s="838">
        <v>237616.21999999878</v>
      </c>
      <c r="U188" s="836">
        <v>724</v>
      </c>
      <c r="V188" s="837">
        <v>261344.76</v>
      </c>
      <c r="W188" s="838">
        <v>197609.96999999901</v>
      </c>
      <c r="X188" s="836">
        <v>708</v>
      </c>
      <c r="Y188" s="837">
        <v>250129.96999999901</v>
      </c>
      <c r="Z188" s="838">
        <v>173314.86999999968</v>
      </c>
      <c r="AA188" s="836">
        <v>665</v>
      </c>
      <c r="AB188" s="837">
        <v>252312.15999999992</v>
      </c>
      <c r="AC188" s="838">
        <v>176180.28</v>
      </c>
      <c r="AD188" s="836">
        <v>715</v>
      </c>
      <c r="AE188" s="837">
        <v>238008.98</v>
      </c>
      <c r="AF188" s="838">
        <v>163337.18999999989</v>
      </c>
      <c r="AG188" s="836">
        <v>1001</v>
      </c>
      <c r="AH188" s="837">
        <v>304117.43000000005</v>
      </c>
      <c r="AI188" s="838">
        <v>208390.03</v>
      </c>
      <c r="AJ188" s="836">
        <v>1458</v>
      </c>
      <c r="AK188" s="837">
        <v>380621.1</v>
      </c>
      <c r="AL188" s="838">
        <v>277414.05999999988</v>
      </c>
      <c r="AM188" s="836">
        <v>791</v>
      </c>
      <c r="AN188" s="837">
        <v>242910.41</v>
      </c>
      <c r="AO188" s="838">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315.83395074611258</v>
      </c>
      <c r="E189" s="841">
        <v>0.71147451705263254</v>
      </c>
      <c r="F189" s="839"/>
      <c r="G189" s="840">
        <v>293.58370826010548</v>
      </c>
      <c r="H189" s="841">
        <v>0.68524247926343573</v>
      </c>
      <c r="I189" s="839"/>
      <c r="J189" s="840">
        <v>308.00692456479686</v>
      </c>
      <c r="K189" s="841">
        <v>0.65520293384345762</v>
      </c>
      <c r="L189" s="839"/>
      <c r="M189" s="840">
        <v>294.69357927786342</v>
      </c>
      <c r="N189" s="841">
        <v>0.71173388679650107</v>
      </c>
      <c r="O189" s="839"/>
      <c r="P189" s="840">
        <v>311.78142032332568</v>
      </c>
      <c r="Q189" s="841">
        <v>0.73995101752867587</v>
      </c>
      <c r="R189" s="839"/>
      <c r="S189" s="840">
        <v>336.03080472102891</v>
      </c>
      <c r="T189" s="841">
        <v>0.75871920719510333</v>
      </c>
      <c r="U189" s="839"/>
      <c r="V189" s="840">
        <v>360.97342541436467</v>
      </c>
      <c r="W189" s="841">
        <v>0.75612753819896372</v>
      </c>
      <c r="X189" s="839"/>
      <c r="Y189" s="840">
        <v>353.29091807909464</v>
      </c>
      <c r="Z189" s="841">
        <v>0.69289925553503384</v>
      </c>
      <c r="AA189" s="839"/>
      <c r="AB189" s="840">
        <v>379.41678195488709</v>
      </c>
      <c r="AC189" s="841">
        <v>0.69826313563325704</v>
      </c>
      <c r="AD189" s="839"/>
      <c r="AE189" s="840">
        <v>332.87969230769232</v>
      </c>
      <c r="AF189" s="841">
        <v>0.68626482076432527</v>
      </c>
      <c r="AG189" s="839"/>
      <c r="AH189" s="840">
        <v>303.81361638361642</v>
      </c>
      <c r="AI189" s="841">
        <v>0.68522882756177428</v>
      </c>
      <c r="AJ189" s="839"/>
      <c r="AK189" s="840">
        <v>261.05699588477364</v>
      </c>
      <c r="AL189" s="841">
        <v>0.7288457208494219</v>
      </c>
      <c r="AM189" s="839"/>
      <c r="AN189" s="840">
        <v>307.09280657395703</v>
      </c>
      <c r="AO189" s="841">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153688.8599999999</v>
      </c>
      <c r="E191" s="758">
        <v>29772.999999999953</v>
      </c>
      <c r="F191" s="820">
        <v>0</v>
      </c>
      <c r="G191" s="843">
        <v>13993.6899999999</v>
      </c>
      <c r="H191" s="771">
        <v>2908.0899999999901</v>
      </c>
      <c r="I191" s="820">
        <v>0</v>
      </c>
      <c r="J191" s="843">
        <v>15319.49</v>
      </c>
      <c r="K191" s="771">
        <v>3499.79</v>
      </c>
      <c r="L191" s="820">
        <v>0</v>
      </c>
      <c r="M191" s="843">
        <v>13379.64</v>
      </c>
      <c r="N191" s="771">
        <v>2737.98</v>
      </c>
      <c r="O191" s="820">
        <v>0</v>
      </c>
      <c r="P191" s="843">
        <v>10677.2</v>
      </c>
      <c r="Q191" s="771">
        <v>345.05000000000098</v>
      </c>
      <c r="R191" s="820">
        <v>0</v>
      </c>
      <c r="S191" s="843">
        <v>11573.04</v>
      </c>
      <c r="T191" s="771">
        <v>1454.89</v>
      </c>
      <c r="U191" s="820">
        <v>0</v>
      </c>
      <c r="V191" s="843">
        <v>11169.3</v>
      </c>
      <c r="W191" s="771">
        <v>2446.3999999999901</v>
      </c>
      <c r="X191" s="820">
        <v>0</v>
      </c>
      <c r="Y191" s="843">
        <v>13313.75</v>
      </c>
      <c r="Z191" s="771">
        <v>2687.7799999999902</v>
      </c>
      <c r="AA191" s="820">
        <v>0</v>
      </c>
      <c r="AB191" s="843">
        <v>14003.68</v>
      </c>
      <c r="AC191" s="771">
        <v>2238.2399999999998</v>
      </c>
      <c r="AD191" s="820">
        <v>0</v>
      </c>
      <c r="AE191" s="843">
        <v>12633.65</v>
      </c>
      <c r="AF191" s="771">
        <v>2733.9</v>
      </c>
      <c r="AG191" s="820">
        <v>0</v>
      </c>
      <c r="AH191" s="843">
        <v>12600.7</v>
      </c>
      <c r="AI191" s="771">
        <v>2662.37</v>
      </c>
      <c r="AJ191" s="820">
        <v>0</v>
      </c>
      <c r="AK191" s="843">
        <v>15124.4</v>
      </c>
      <c r="AL191" s="771">
        <v>3157.1899999999901</v>
      </c>
      <c r="AM191" s="820">
        <v>0</v>
      </c>
      <c r="AN191" s="843">
        <v>9900.32</v>
      </c>
      <c r="AO191" s="771">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0.19372256388654305</v>
      </c>
      <c r="F192" s="819"/>
      <c r="G192" s="830"/>
      <c r="H192" s="822">
        <v>0.20781437919519519</v>
      </c>
      <c r="I192" s="819"/>
      <c r="J192" s="830"/>
      <c r="K192" s="822">
        <v>0.22845342762715992</v>
      </c>
      <c r="L192" s="819"/>
      <c r="M192" s="830"/>
      <c r="N192" s="822">
        <v>0.20463779294510168</v>
      </c>
      <c r="O192" s="819"/>
      <c r="P192" s="830"/>
      <c r="Q192" s="822">
        <v>3.2316524931630106E-2</v>
      </c>
      <c r="R192" s="819"/>
      <c r="S192" s="830"/>
      <c r="T192" s="822">
        <v>0.12571372776729364</v>
      </c>
      <c r="U192" s="819"/>
      <c r="V192" s="830"/>
      <c r="W192" s="822">
        <v>0.21902894541287191</v>
      </c>
      <c r="X192" s="819"/>
      <c r="Y192" s="830"/>
      <c r="Z192" s="822">
        <v>0.201880011266547</v>
      </c>
      <c r="AA192" s="819"/>
      <c r="AB192" s="830"/>
      <c r="AC192" s="822">
        <v>0.159832272659758</v>
      </c>
      <c r="AD192" s="819"/>
      <c r="AE192" s="830"/>
      <c r="AF192" s="822">
        <v>0.21639826970036372</v>
      </c>
      <c r="AG192" s="819"/>
      <c r="AH192" s="830"/>
      <c r="AI192" s="822">
        <v>0.21128746815653096</v>
      </c>
      <c r="AJ192" s="819"/>
      <c r="AK192" s="830"/>
      <c r="AL192" s="822">
        <v>0.20874811562772672</v>
      </c>
      <c r="AM192" s="819"/>
      <c r="AN192" s="830"/>
      <c r="AO192" s="822">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361</v>
      </c>
      <c r="D194" s="844">
        <v>67720.11</v>
      </c>
      <c r="E194" s="782">
        <v>48459.05</v>
      </c>
      <c r="F194" s="828">
        <v>0</v>
      </c>
      <c r="G194" s="845">
        <v>0</v>
      </c>
      <c r="H194" s="783">
        <v>0</v>
      </c>
      <c r="I194" s="828">
        <v>0</v>
      </c>
      <c r="J194" s="845">
        <v>0</v>
      </c>
      <c r="K194" s="783">
        <v>0</v>
      </c>
      <c r="L194" s="828">
        <v>0</v>
      </c>
      <c r="M194" s="845">
        <v>0</v>
      </c>
      <c r="N194" s="783">
        <v>0</v>
      </c>
      <c r="O194" s="828">
        <v>0</v>
      </c>
      <c r="P194" s="845">
        <v>0</v>
      </c>
      <c r="Q194" s="783">
        <v>0</v>
      </c>
      <c r="R194" s="828">
        <v>0</v>
      </c>
      <c r="S194" s="845">
        <v>0</v>
      </c>
      <c r="T194" s="783">
        <v>0</v>
      </c>
      <c r="U194" s="828">
        <v>0</v>
      </c>
      <c r="V194" s="845">
        <v>0</v>
      </c>
      <c r="W194" s="783">
        <v>0</v>
      </c>
      <c r="X194" s="828">
        <v>37</v>
      </c>
      <c r="Y194" s="845">
        <v>6269.36</v>
      </c>
      <c r="Z194" s="783">
        <v>4401.66</v>
      </c>
      <c r="AA194" s="828">
        <v>67</v>
      </c>
      <c r="AB194" s="845">
        <v>10767.44</v>
      </c>
      <c r="AC194" s="783">
        <v>7120.63</v>
      </c>
      <c r="AD194" s="828">
        <v>72</v>
      </c>
      <c r="AE194" s="845">
        <v>12594.24</v>
      </c>
      <c r="AF194" s="783">
        <v>8569.1299999999992</v>
      </c>
      <c r="AG194" s="828">
        <v>63</v>
      </c>
      <c r="AH194" s="845">
        <v>12649.56</v>
      </c>
      <c r="AI194" s="783">
        <v>9369.09</v>
      </c>
      <c r="AJ194" s="828">
        <v>58</v>
      </c>
      <c r="AK194" s="845">
        <v>12814.91</v>
      </c>
      <c r="AL194" s="783">
        <v>9705.07</v>
      </c>
      <c r="AM194" s="828">
        <v>64</v>
      </c>
      <c r="AN194" s="845">
        <v>12624.6</v>
      </c>
      <c r="AO194" s="783">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0.71557843010001021</v>
      </c>
      <c r="F195" s="823"/>
      <c r="G195" s="846"/>
      <c r="H195" s="825">
        <v>0</v>
      </c>
      <c r="I195" s="823"/>
      <c r="J195" s="846"/>
      <c r="K195" s="825">
        <v>0</v>
      </c>
      <c r="L195" s="823"/>
      <c r="M195" s="846"/>
      <c r="N195" s="825">
        <v>0</v>
      </c>
      <c r="O195" s="823"/>
      <c r="P195" s="846"/>
      <c r="Q195" s="825">
        <v>0</v>
      </c>
      <c r="R195" s="823"/>
      <c r="S195" s="846"/>
      <c r="T195" s="825">
        <v>0</v>
      </c>
      <c r="U195" s="823"/>
      <c r="V195" s="846"/>
      <c r="W195" s="825">
        <v>0</v>
      </c>
      <c r="X195" s="823"/>
      <c r="Y195" s="846"/>
      <c r="Z195" s="825">
        <v>0.70209080352699482</v>
      </c>
      <c r="AA195" s="823"/>
      <c r="AB195" s="846"/>
      <c r="AC195" s="825">
        <v>0.66131132376869528</v>
      </c>
      <c r="AD195" s="823"/>
      <c r="AE195" s="846"/>
      <c r="AF195" s="825">
        <v>0.68040072287013742</v>
      </c>
      <c r="AG195" s="823"/>
      <c r="AH195" s="846"/>
      <c r="AI195" s="825">
        <v>0.74066528796258535</v>
      </c>
      <c r="AJ195" s="823"/>
      <c r="AK195" s="846"/>
      <c r="AL195" s="825">
        <v>0.75732642679503792</v>
      </c>
      <c r="AM195" s="823"/>
      <c r="AN195" s="846"/>
      <c r="AO195" s="825">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3248045.7199999965</v>
      </c>
      <c r="E197" s="761">
        <v>2231606.9699999969</v>
      </c>
      <c r="F197" s="759"/>
      <c r="G197" s="850">
        <v>181042.81999999989</v>
      </c>
      <c r="H197" s="761">
        <v>117377.24999999999</v>
      </c>
      <c r="I197" s="759"/>
      <c r="J197" s="850">
        <v>174559.06999999998</v>
      </c>
      <c r="K197" s="761">
        <v>107834.02999999997</v>
      </c>
      <c r="L197" s="759"/>
      <c r="M197" s="850">
        <v>201099.44999999902</v>
      </c>
      <c r="N197" s="761">
        <v>136344.53</v>
      </c>
      <c r="O197" s="759"/>
      <c r="P197" s="850">
        <v>280679.91000000003</v>
      </c>
      <c r="Q197" s="761">
        <v>200133.83</v>
      </c>
      <c r="R197" s="759"/>
      <c r="S197" s="850">
        <v>324753.74999999895</v>
      </c>
      <c r="T197" s="761">
        <v>239071.10999999879</v>
      </c>
      <c r="U197" s="759"/>
      <c r="V197" s="850">
        <v>272514.06</v>
      </c>
      <c r="W197" s="761">
        <v>200056.36999999901</v>
      </c>
      <c r="X197" s="759"/>
      <c r="Y197" s="850">
        <v>269713.07999999903</v>
      </c>
      <c r="Z197" s="761">
        <v>180404.30999999968</v>
      </c>
      <c r="AA197" s="759"/>
      <c r="AB197" s="850">
        <v>277083.27999999991</v>
      </c>
      <c r="AC197" s="761">
        <v>185539.15</v>
      </c>
      <c r="AD197" s="759"/>
      <c r="AE197" s="850">
        <v>263236.87</v>
      </c>
      <c r="AF197" s="761">
        <v>174640.21999999988</v>
      </c>
      <c r="AG197" s="759"/>
      <c r="AH197" s="850">
        <v>329367.69000000006</v>
      </c>
      <c r="AI197" s="761">
        <v>220421.49</v>
      </c>
      <c r="AJ197" s="759"/>
      <c r="AK197" s="850">
        <v>408560.41</v>
      </c>
      <c r="AL197" s="761">
        <v>290276.31999999989</v>
      </c>
      <c r="AM197" s="759"/>
      <c r="AN197" s="850">
        <v>265435.33</v>
      </c>
      <c r="AO197" s="761">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0.68706144013268367</v>
      </c>
      <c r="F198" s="762"/>
      <c r="G198" s="763"/>
      <c r="H198" s="851">
        <v>0.64833971322364536</v>
      </c>
      <c r="I198" s="762"/>
      <c r="J198" s="763"/>
      <c r="K198" s="851">
        <v>0.61775094241737183</v>
      </c>
      <c r="L198" s="762"/>
      <c r="M198" s="763"/>
      <c r="N198" s="851">
        <v>0.6779955390231085</v>
      </c>
      <c r="O198" s="762"/>
      <c r="P198" s="763"/>
      <c r="Q198" s="851">
        <v>0.71303225799096193</v>
      </c>
      <c r="R198" s="762"/>
      <c r="S198" s="763"/>
      <c r="T198" s="851">
        <v>0.7361611990623651</v>
      </c>
      <c r="U198" s="762"/>
      <c r="V198" s="763"/>
      <c r="W198" s="851">
        <v>0.73411393892850518</v>
      </c>
      <c r="X198" s="762"/>
      <c r="Y198" s="763"/>
      <c r="Z198" s="851">
        <v>0.66887490217382239</v>
      </c>
      <c r="AA198" s="762"/>
      <c r="AB198" s="763"/>
      <c r="AC198" s="851">
        <v>0.66961510633193044</v>
      </c>
      <c r="AD198" s="762"/>
      <c r="AE198" s="763"/>
      <c r="AF198" s="851">
        <v>0.66343373555535701</v>
      </c>
      <c r="AG198" s="762"/>
      <c r="AH198" s="763"/>
      <c r="AI198" s="851">
        <v>0.66922620734292415</v>
      </c>
      <c r="AJ198" s="762"/>
      <c r="AK198" s="763"/>
      <c r="AL198" s="851">
        <v>0.71048567823788877</v>
      </c>
      <c r="AM198" s="762"/>
      <c r="AN198" s="763"/>
      <c r="AO198" s="851">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138678.93999999997</v>
      </c>
      <c r="F201" s="747"/>
      <c r="G201" s="757"/>
      <c r="H201" s="771">
        <v>9975.99</v>
      </c>
      <c r="I201" s="747"/>
      <c r="J201" s="757"/>
      <c r="K201" s="771">
        <v>4892.75</v>
      </c>
      <c r="L201" s="747"/>
      <c r="M201" s="757"/>
      <c r="N201" s="771">
        <v>6801.06</v>
      </c>
      <c r="O201" s="747"/>
      <c r="P201" s="757"/>
      <c r="Q201" s="771">
        <v>6865.75</v>
      </c>
      <c r="R201" s="747"/>
      <c r="S201" s="757"/>
      <c r="T201" s="771">
        <v>16331.68</v>
      </c>
      <c r="U201" s="747"/>
      <c r="V201" s="757"/>
      <c r="W201" s="771">
        <v>10048.370000000001</v>
      </c>
      <c r="X201" s="747"/>
      <c r="Y201" s="757"/>
      <c r="Z201" s="771">
        <v>15471.14</v>
      </c>
      <c r="AA201" s="747"/>
      <c r="AB201" s="757"/>
      <c r="AC201" s="771">
        <v>8860.06</v>
      </c>
      <c r="AD201" s="747"/>
      <c r="AE201" s="757"/>
      <c r="AF201" s="771">
        <v>11257.65</v>
      </c>
      <c r="AG201" s="747"/>
      <c r="AH201" s="757"/>
      <c r="AI201" s="771">
        <v>8835.52</v>
      </c>
      <c r="AJ201" s="747"/>
      <c r="AK201" s="757"/>
      <c r="AL201" s="771">
        <v>20516.509999999998</v>
      </c>
      <c r="AM201" s="747"/>
      <c r="AN201" s="757"/>
      <c r="AO201" s="771">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87087.040000000008</v>
      </c>
      <c r="F202" s="747"/>
      <c r="G202" s="757"/>
      <c r="H202" s="771">
        <v>6224.23</v>
      </c>
      <c r="I202" s="747"/>
      <c r="J202" s="757"/>
      <c r="K202" s="771">
        <v>6776.61</v>
      </c>
      <c r="L202" s="747"/>
      <c r="M202" s="757"/>
      <c r="N202" s="771">
        <v>6148.97</v>
      </c>
      <c r="O202" s="747"/>
      <c r="P202" s="757"/>
      <c r="Q202" s="771">
        <v>6119.29</v>
      </c>
      <c r="R202" s="747"/>
      <c r="S202" s="757"/>
      <c r="T202" s="771">
        <v>7247.63</v>
      </c>
      <c r="U202" s="747"/>
      <c r="V202" s="757"/>
      <c r="W202" s="771">
        <v>4392.7299999999996</v>
      </c>
      <c r="X202" s="747"/>
      <c r="Y202" s="757"/>
      <c r="Z202" s="771">
        <v>7065.61</v>
      </c>
      <c r="AA202" s="747"/>
      <c r="AB202" s="757"/>
      <c r="AC202" s="771">
        <v>8762.59</v>
      </c>
      <c r="AD202" s="747"/>
      <c r="AE202" s="757"/>
      <c r="AF202" s="771">
        <v>9437.7800000000007</v>
      </c>
      <c r="AG202" s="747"/>
      <c r="AH202" s="757"/>
      <c r="AI202" s="771">
        <v>8026.69</v>
      </c>
      <c r="AJ202" s="747"/>
      <c r="AK202" s="757"/>
      <c r="AL202" s="771">
        <v>8125.49</v>
      </c>
      <c r="AM202" s="747"/>
      <c r="AN202" s="757"/>
      <c r="AO202" s="771">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170123.82</v>
      </c>
      <c r="F203" s="780"/>
      <c r="G203" s="781"/>
      <c r="H203" s="783">
        <v>4806.96</v>
      </c>
      <c r="I203" s="780"/>
      <c r="J203" s="781"/>
      <c r="K203" s="783">
        <v>11006.09</v>
      </c>
      <c r="L203" s="780"/>
      <c r="M203" s="781"/>
      <c r="N203" s="783">
        <v>6650.9</v>
      </c>
      <c r="O203" s="780"/>
      <c r="P203" s="781"/>
      <c r="Q203" s="783">
        <v>10219.44</v>
      </c>
      <c r="R203" s="780"/>
      <c r="S203" s="781"/>
      <c r="T203" s="783">
        <v>11269.4</v>
      </c>
      <c r="U203" s="780"/>
      <c r="V203" s="781"/>
      <c r="W203" s="783">
        <v>4935.46</v>
      </c>
      <c r="X203" s="780"/>
      <c r="Y203" s="781"/>
      <c r="Z203" s="783">
        <v>5232</v>
      </c>
      <c r="AA203" s="780"/>
      <c r="AB203" s="781"/>
      <c r="AC203" s="783">
        <v>3894</v>
      </c>
      <c r="AD203" s="780"/>
      <c r="AE203" s="781"/>
      <c r="AF203" s="783">
        <v>22744.12</v>
      </c>
      <c r="AG203" s="780"/>
      <c r="AH203" s="781"/>
      <c r="AI203" s="783">
        <v>18675.060000000001</v>
      </c>
      <c r="AJ203" s="780"/>
      <c r="AK203" s="781"/>
      <c r="AL203" s="783">
        <v>49361.41</v>
      </c>
      <c r="AM203" s="780"/>
      <c r="AN203" s="781"/>
      <c r="AO203" s="783">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338254.12</v>
      </c>
      <c r="F204" s="747"/>
      <c r="G204" s="757"/>
      <c r="H204" s="771">
        <v>27507.4</v>
      </c>
      <c r="I204" s="747"/>
      <c r="J204" s="757"/>
      <c r="K204" s="771">
        <v>19052.349999999999</v>
      </c>
      <c r="L204" s="747"/>
      <c r="M204" s="757"/>
      <c r="N204" s="771">
        <v>29586.65</v>
      </c>
      <c r="O204" s="747"/>
      <c r="P204" s="757"/>
      <c r="Q204" s="771">
        <v>30326</v>
      </c>
      <c r="R204" s="747"/>
      <c r="S204" s="757"/>
      <c r="T204" s="771">
        <v>30365.98</v>
      </c>
      <c r="U204" s="747"/>
      <c r="V204" s="757"/>
      <c r="W204" s="771">
        <v>33595.35</v>
      </c>
      <c r="X204" s="747"/>
      <c r="Y204" s="757"/>
      <c r="Z204" s="771">
        <v>23983.360000000001</v>
      </c>
      <c r="AA204" s="747"/>
      <c r="AB204" s="757"/>
      <c r="AC204" s="771">
        <v>23569.11</v>
      </c>
      <c r="AD204" s="747"/>
      <c r="AE204" s="757"/>
      <c r="AF204" s="771">
        <v>28337.21</v>
      </c>
      <c r="AG204" s="747"/>
      <c r="AH204" s="757"/>
      <c r="AI204" s="771">
        <v>34817.24</v>
      </c>
      <c r="AJ204" s="747"/>
      <c r="AK204" s="757"/>
      <c r="AL204" s="771">
        <v>20706.29</v>
      </c>
      <c r="AM204" s="747"/>
      <c r="AN204" s="757"/>
      <c r="AO204" s="771">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197825.93999999997</v>
      </c>
      <c r="F208" s="747"/>
      <c r="G208" s="757"/>
      <c r="H208" s="771">
        <v>20436.990000000002</v>
      </c>
      <c r="I208" s="747"/>
      <c r="J208" s="757"/>
      <c r="K208" s="771">
        <v>11116.91</v>
      </c>
      <c r="L208" s="747"/>
      <c r="M208" s="757"/>
      <c r="N208" s="771">
        <v>17570.07</v>
      </c>
      <c r="O208" s="747"/>
      <c r="P208" s="757"/>
      <c r="Q208" s="771">
        <v>15596.8</v>
      </c>
      <c r="R208" s="747"/>
      <c r="S208" s="757"/>
      <c r="T208" s="771">
        <v>20039.23</v>
      </c>
      <c r="U208" s="747"/>
      <c r="V208" s="757"/>
      <c r="W208" s="771">
        <v>17366.91</v>
      </c>
      <c r="X208" s="747"/>
      <c r="Y208" s="757"/>
      <c r="Z208" s="771">
        <v>16870.189999999999</v>
      </c>
      <c r="AA208" s="747"/>
      <c r="AB208" s="757"/>
      <c r="AC208" s="771">
        <v>14383.58</v>
      </c>
      <c r="AD208" s="747"/>
      <c r="AE208" s="757"/>
      <c r="AF208" s="771">
        <v>17917.86</v>
      </c>
      <c r="AG208" s="747"/>
      <c r="AH208" s="757"/>
      <c r="AI208" s="771">
        <v>20926.18</v>
      </c>
      <c r="AJ208" s="747"/>
      <c r="AK208" s="757"/>
      <c r="AL208" s="771">
        <v>11221.96</v>
      </c>
      <c r="AM208" s="747"/>
      <c r="AN208" s="757"/>
      <c r="AO208" s="771">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238785.46</v>
      </c>
      <c r="F209" s="780"/>
      <c r="G209" s="781"/>
      <c r="H209" s="783">
        <v>19677.78</v>
      </c>
      <c r="I209" s="780"/>
      <c r="J209" s="781"/>
      <c r="K209" s="783">
        <v>17388.43</v>
      </c>
      <c r="L209" s="780"/>
      <c r="M209" s="781"/>
      <c r="N209" s="783">
        <v>18915.009999999998</v>
      </c>
      <c r="O209" s="780"/>
      <c r="P209" s="781"/>
      <c r="Q209" s="783">
        <v>19500.03</v>
      </c>
      <c r="R209" s="780"/>
      <c r="S209" s="781"/>
      <c r="T209" s="783">
        <v>20335.98</v>
      </c>
      <c r="U209" s="780"/>
      <c r="V209" s="781"/>
      <c r="W209" s="783">
        <v>16373.82</v>
      </c>
      <c r="X209" s="780"/>
      <c r="Y209" s="781"/>
      <c r="Z209" s="783">
        <v>20788.66</v>
      </c>
      <c r="AA209" s="780"/>
      <c r="AB209" s="781"/>
      <c r="AC209" s="783">
        <v>18817.25</v>
      </c>
      <c r="AD209" s="780"/>
      <c r="AE209" s="781"/>
      <c r="AF209" s="783">
        <v>17844.88</v>
      </c>
      <c r="AG209" s="780"/>
      <c r="AH209" s="781"/>
      <c r="AI209" s="783">
        <v>21642.75</v>
      </c>
      <c r="AJ209" s="780"/>
      <c r="AK209" s="781"/>
      <c r="AL209" s="783">
        <v>22418.080000000002</v>
      </c>
      <c r="AM209" s="780"/>
      <c r="AN209" s="781"/>
      <c r="AO209" s="783">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133124.79</v>
      </c>
      <c r="F210" s="747"/>
      <c r="G210" s="757"/>
      <c r="H210" s="771">
        <v>10850.44</v>
      </c>
      <c r="I210" s="747"/>
      <c r="J210" s="757"/>
      <c r="K210" s="771">
        <v>10001.790000000001</v>
      </c>
      <c r="L210" s="747"/>
      <c r="M210" s="757"/>
      <c r="N210" s="771">
        <v>11491.31</v>
      </c>
      <c r="O210" s="747"/>
      <c r="P210" s="757"/>
      <c r="Q210" s="771">
        <v>10358.59</v>
      </c>
      <c r="R210" s="747"/>
      <c r="S210" s="757"/>
      <c r="T210" s="771">
        <v>11033.41</v>
      </c>
      <c r="U210" s="747"/>
      <c r="V210" s="757"/>
      <c r="W210" s="771">
        <v>11498.83</v>
      </c>
      <c r="X210" s="747"/>
      <c r="Y210" s="757"/>
      <c r="Z210" s="771">
        <v>10049.94</v>
      </c>
      <c r="AA210" s="747"/>
      <c r="AB210" s="757"/>
      <c r="AC210" s="771">
        <v>8987.86</v>
      </c>
      <c r="AD210" s="747"/>
      <c r="AE210" s="757"/>
      <c r="AF210" s="771">
        <v>11268.55</v>
      </c>
      <c r="AG210" s="747"/>
      <c r="AH210" s="757"/>
      <c r="AI210" s="771">
        <v>12794.84</v>
      </c>
      <c r="AJ210" s="747"/>
      <c r="AK210" s="757"/>
      <c r="AL210" s="771">
        <v>10662.57</v>
      </c>
      <c r="AM210" s="747"/>
      <c r="AN210" s="757"/>
      <c r="AO210" s="771">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52334.76</v>
      </c>
      <c r="F211" s="747"/>
      <c r="G211" s="757"/>
      <c r="H211" s="771">
        <v>3284.48</v>
      </c>
      <c r="I211" s="747"/>
      <c r="J211" s="757"/>
      <c r="K211" s="771">
        <v>2876.05</v>
      </c>
      <c r="L211" s="747"/>
      <c r="M211" s="757"/>
      <c r="N211" s="771">
        <v>3268.14</v>
      </c>
      <c r="O211" s="747"/>
      <c r="P211" s="757"/>
      <c r="Q211" s="771">
        <v>3311.66</v>
      </c>
      <c r="R211" s="747"/>
      <c r="S211" s="757"/>
      <c r="T211" s="771">
        <v>3472.88</v>
      </c>
      <c r="U211" s="747"/>
      <c r="V211" s="757"/>
      <c r="W211" s="771">
        <v>5572.29</v>
      </c>
      <c r="X211" s="747"/>
      <c r="Y211" s="757"/>
      <c r="Z211" s="771">
        <v>3934.27</v>
      </c>
      <c r="AA211" s="747"/>
      <c r="AB211" s="757"/>
      <c r="AC211" s="771">
        <v>6530.55</v>
      </c>
      <c r="AD211" s="747"/>
      <c r="AE211" s="757"/>
      <c r="AF211" s="771">
        <v>5954.05</v>
      </c>
      <c r="AG211" s="747"/>
      <c r="AH211" s="757"/>
      <c r="AI211" s="771">
        <v>4122.1000000000004</v>
      </c>
      <c r="AJ211" s="747"/>
      <c r="AK211" s="757"/>
      <c r="AL211" s="771">
        <v>4648.37</v>
      </c>
      <c r="AM211" s="747"/>
      <c r="AN211" s="757"/>
      <c r="AO211" s="771">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0.60773016406199953</v>
      </c>
      <c r="E213" s="779">
        <v>1356214.8699999999</v>
      </c>
      <c r="F213" s="777" t="s">
        <v>175</v>
      </c>
      <c r="G213" s="778">
        <v>0.87550415433995954</v>
      </c>
      <c r="H213" s="779">
        <v>102764.27</v>
      </c>
      <c r="I213" s="777" t="s">
        <v>175</v>
      </c>
      <c r="J213" s="778">
        <v>0.77073053840239536</v>
      </c>
      <c r="K213" s="779">
        <v>83110.980000000025</v>
      </c>
      <c r="L213" s="777" t="s">
        <v>175</v>
      </c>
      <c r="M213" s="778">
        <v>0.73660534823069168</v>
      </c>
      <c r="N213" s="779">
        <v>100432.10999999999</v>
      </c>
      <c r="O213" s="777" t="s">
        <v>175</v>
      </c>
      <c r="P213" s="778">
        <v>0.51114576681013901</v>
      </c>
      <c r="Q213" s="779">
        <v>102297.56</v>
      </c>
      <c r="R213" s="777" t="s">
        <v>175</v>
      </c>
      <c r="S213" s="778">
        <v>0.50234505541050367</v>
      </c>
      <c r="T213" s="779">
        <v>120096.19</v>
      </c>
      <c r="U213" s="777" t="s">
        <v>175</v>
      </c>
      <c r="V213" s="778">
        <v>0.51877258394721715</v>
      </c>
      <c r="W213" s="779">
        <v>103783.76000000001</v>
      </c>
      <c r="X213" s="777" t="s">
        <v>175</v>
      </c>
      <c r="Y213" s="778">
        <v>0.57313026501417952</v>
      </c>
      <c r="Z213" s="779">
        <v>103395.17000000001</v>
      </c>
      <c r="AA213" s="777" t="s">
        <v>175</v>
      </c>
      <c r="AB213" s="778">
        <v>0.505580628131583</v>
      </c>
      <c r="AC213" s="779">
        <v>93805</v>
      </c>
      <c r="AD213" s="777" t="s">
        <v>175</v>
      </c>
      <c r="AE213" s="778">
        <v>0.71439500018953306</v>
      </c>
      <c r="AF213" s="779">
        <v>124762.10000000002</v>
      </c>
      <c r="AG213" s="777" t="s">
        <v>175</v>
      </c>
      <c r="AH213" s="778">
        <v>0.58905499640711079</v>
      </c>
      <c r="AI213" s="779">
        <v>129840.38</v>
      </c>
      <c r="AJ213" s="777" t="s">
        <v>175</v>
      </c>
      <c r="AK213" s="778">
        <v>0.50869006469421985</v>
      </c>
      <c r="AL213" s="779">
        <v>147660.68</v>
      </c>
      <c r="AM213" s="777" t="s">
        <v>175</v>
      </c>
      <c r="AN213" s="778">
        <v>0.80367660871059221</v>
      </c>
      <c r="AO213" s="779">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130898.63999999998</v>
      </c>
      <c r="F214" s="747"/>
      <c r="G214" s="757"/>
      <c r="H214" s="771">
        <v>10730.64</v>
      </c>
      <c r="I214" s="747"/>
      <c r="J214" s="757"/>
      <c r="K214" s="771">
        <v>11330.17</v>
      </c>
      <c r="L214" s="747"/>
      <c r="M214" s="757"/>
      <c r="N214" s="771">
        <v>10144.01</v>
      </c>
      <c r="O214" s="747"/>
      <c r="P214" s="757"/>
      <c r="Q214" s="771">
        <v>11679.54</v>
      </c>
      <c r="R214" s="747"/>
      <c r="S214" s="757"/>
      <c r="T214" s="771">
        <v>9272.43</v>
      </c>
      <c r="U214" s="747"/>
      <c r="V214" s="757"/>
      <c r="W214" s="771">
        <v>11043.03</v>
      </c>
      <c r="X214" s="747"/>
      <c r="Y214" s="757"/>
      <c r="Z214" s="771">
        <v>12593.62</v>
      </c>
      <c r="AA214" s="747"/>
      <c r="AB214" s="757"/>
      <c r="AC214" s="771">
        <v>11909.29</v>
      </c>
      <c r="AD214" s="747"/>
      <c r="AE214" s="757"/>
      <c r="AF214" s="771">
        <v>10155.48</v>
      </c>
      <c r="AG214" s="747"/>
      <c r="AH214" s="757"/>
      <c r="AI214" s="771">
        <v>9632.07</v>
      </c>
      <c r="AJ214" s="747"/>
      <c r="AK214" s="757"/>
      <c r="AL214" s="771">
        <v>11066.65</v>
      </c>
      <c r="AM214" s="747"/>
      <c r="AN214" s="757"/>
      <c r="AO214" s="771">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53458.459999999977</v>
      </c>
      <c r="F215" s="747"/>
      <c r="G215" s="757"/>
      <c r="H215" s="771">
        <v>-1490.82</v>
      </c>
      <c r="I215" s="747"/>
      <c r="J215" s="757"/>
      <c r="K215" s="771">
        <v>2508.5299999999902</v>
      </c>
      <c r="L215" s="747"/>
      <c r="M215" s="757"/>
      <c r="N215" s="771">
        <v>2340</v>
      </c>
      <c r="O215" s="747"/>
      <c r="P215" s="757"/>
      <c r="Q215" s="771">
        <v>4362.38</v>
      </c>
      <c r="R215" s="747"/>
      <c r="S215" s="757"/>
      <c r="T215" s="771">
        <v>3846.09</v>
      </c>
      <c r="U215" s="747"/>
      <c r="V215" s="757"/>
      <c r="W215" s="771">
        <v>4858.63</v>
      </c>
      <c r="X215" s="747"/>
      <c r="Y215" s="757"/>
      <c r="Z215" s="771">
        <v>4847.43</v>
      </c>
      <c r="AA215" s="747"/>
      <c r="AB215" s="757"/>
      <c r="AC215" s="771">
        <v>6855.65</v>
      </c>
      <c r="AD215" s="747"/>
      <c r="AE215" s="757"/>
      <c r="AF215" s="771">
        <v>5835.12</v>
      </c>
      <c r="AG215" s="747"/>
      <c r="AH215" s="757"/>
      <c r="AI215" s="771">
        <v>7925.8499999999904</v>
      </c>
      <c r="AJ215" s="747"/>
      <c r="AK215" s="757"/>
      <c r="AL215" s="771">
        <v>9363.8799999999901</v>
      </c>
      <c r="AM215" s="747"/>
      <c r="AN215" s="757"/>
      <c r="AO215" s="771">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154655.71</v>
      </c>
      <c r="F216" s="776"/>
      <c r="G216" s="784"/>
      <c r="H216" s="775">
        <v>11086.63</v>
      </c>
      <c r="I216" s="776"/>
      <c r="J216" s="784"/>
      <c r="K216" s="775">
        <v>8832.82</v>
      </c>
      <c r="L216" s="776"/>
      <c r="M216" s="784"/>
      <c r="N216" s="775">
        <v>12925.28</v>
      </c>
      <c r="O216" s="776"/>
      <c r="P216" s="784"/>
      <c r="Q216" s="775">
        <v>12465.7</v>
      </c>
      <c r="R216" s="776"/>
      <c r="S216" s="784"/>
      <c r="T216" s="775">
        <v>15091.41</v>
      </c>
      <c r="U216" s="776"/>
      <c r="V216" s="784"/>
      <c r="W216" s="775">
        <v>14198.73</v>
      </c>
      <c r="X216" s="776"/>
      <c r="Y216" s="784"/>
      <c r="Z216" s="775">
        <v>14517.16</v>
      </c>
      <c r="AA216" s="776"/>
      <c r="AB216" s="784"/>
      <c r="AC216" s="775">
        <v>9564.31</v>
      </c>
      <c r="AD216" s="776"/>
      <c r="AE216" s="784"/>
      <c r="AF216" s="775">
        <v>8344.8799999999992</v>
      </c>
      <c r="AG216" s="776"/>
      <c r="AH216" s="784"/>
      <c r="AI216" s="775">
        <v>11694.57</v>
      </c>
      <c r="AJ216" s="776"/>
      <c r="AK216" s="784"/>
      <c r="AL216" s="775">
        <v>16921.98</v>
      </c>
      <c r="AM216" s="776"/>
      <c r="AN216" s="784"/>
      <c r="AO216" s="775">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62213.120000000003</v>
      </c>
      <c r="F217" s="747"/>
      <c r="G217" s="757"/>
      <c r="H217" s="771">
        <v>4061.38</v>
      </c>
      <c r="I217" s="747"/>
      <c r="J217" s="757"/>
      <c r="K217" s="771">
        <v>4080.5</v>
      </c>
      <c r="L217" s="747"/>
      <c r="M217" s="757"/>
      <c r="N217" s="771">
        <v>4201</v>
      </c>
      <c r="O217" s="747"/>
      <c r="P217" s="757"/>
      <c r="Q217" s="771">
        <v>4576.83</v>
      </c>
      <c r="R217" s="747"/>
      <c r="S217" s="757"/>
      <c r="T217" s="771">
        <v>4404.96</v>
      </c>
      <c r="U217" s="747"/>
      <c r="V217" s="757"/>
      <c r="W217" s="771">
        <v>3979.91</v>
      </c>
      <c r="X217" s="747"/>
      <c r="Y217" s="757"/>
      <c r="Z217" s="771">
        <v>4994.3100000000004</v>
      </c>
      <c r="AA217" s="747"/>
      <c r="AB217" s="757"/>
      <c r="AC217" s="771">
        <v>4019.67</v>
      </c>
      <c r="AD217" s="747"/>
      <c r="AE217" s="757"/>
      <c r="AF217" s="771">
        <v>5085.4399999999996</v>
      </c>
      <c r="AG217" s="747"/>
      <c r="AH217" s="757"/>
      <c r="AI217" s="771">
        <v>10021.040000000001</v>
      </c>
      <c r="AJ217" s="747"/>
      <c r="AK217" s="757"/>
      <c r="AL217" s="771">
        <v>5124.75</v>
      </c>
      <c r="AM217" s="747"/>
      <c r="AN217" s="757"/>
      <c r="AO217" s="771">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19208.180000000004</v>
      </c>
      <c r="F218" s="747"/>
      <c r="G218" s="757"/>
      <c r="H218" s="771">
        <v>848.87</v>
      </c>
      <c r="I218" s="747"/>
      <c r="J218" s="757"/>
      <c r="K218" s="771">
        <v>1229.74</v>
      </c>
      <c r="L218" s="747"/>
      <c r="M218" s="757"/>
      <c r="N218" s="771">
        <v>1981.24</v>
      </c>
      <c r="O218" s="747"/>
      <c r="P218" s="757"/>
      <c r="Q218" s="771">
        <v>1653.06</v>
      </c>
      <c r="R218" s="747"/>
      <c r="S218" s="757"/>
      <c r="T218" s="771">
        <v>2432.6799999999998</v>
      </c>
      <c r="U218" s="747"/>
      <c r="V218" s="757"/>
      <c r="W218" s="771">
        <v>2116.58</v>
      </c>
      <c r="X218" s="747"/>
      <c r="Y218" s="757"/>
      <c r="Z218" s="771">
        <v>1758.01</v>
      </c>
      <c r="AA218" s="747"/>
      <c r="AB218" s="757"/>
      <c r="AC218" s="771">
        <v>1234.68</v>
      </c>
      <c r="AD218" s="747"/>
      <c r="AE218" s="757"/>
      <c r="AF218" s="771">
        <v>1896.44</v>
      </c>
      <c r="AG218" s="747"/>
      <c r="AH218" s="757"/>
      <c r="AI218" s="771">
        <v>1980.16</v>
      </c>
      <c r="AJ218" s="747"/>
      <c r="AK218" s="757"/>
      <c r="AL218" s="771">
        <v>1212.22</v>
      </c>
      <c r="AM218" s="747"/>
      <c r="AN218" s="757"/>
      <c r="AO218" s="771">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58171.479999999996</v>
      </c>
      <c r="F219" s="776"/>
      <c r="G219" s="784"/>
      <c r="H219" s="775">
        <v>2604.36</v>
      </c>
      <c r="I219" s="776"/>
      <c r="J219" s="784"/>
      <c r="K219" s="775">
        <v>3394.18</v>
      </c>
      <c r="L219" s="776"/>
      <c r="M219" s="784"/>
      <c r="N219" s="775">
        <v>2923.97</v>
      </c>
      <c r="O219" s="776"/>
      <c r="P219" s="784"/>
      <c r="Q219" s="775">
        <v>4098.16</v>
      </c>
      <c r="R219" s="776"/>
      <c r="S219" s="784"/>
      <c r="T219" s="775">
        <v>3220.42</v>
      </c>
      <c r="U219" s="776"/>
      <c r="V219" s="784"/>
      <c r="W219" s="775">
        <v>4130.46</v>
      </c>
      <c r="X219" s="776"/>
      <c r="Y219" s="784"/>
      <c r="Z219" s="775">
        <v>2838</v>
      </c>
      <c r="AA219" s="776"/>
      <c r="AB219" s="784"/>
      <c r="AC219" s="775">
        <v>1928.3</v>
      </c>
      <c r="AD219" s="776"/>
      <c r="AE219" s="784"/>
      <c r="AF219" s="775">
        <v>3260.09</v>
      </c>
      <c r="AG219" s="776"/>
      <c r="AH219" s="784"/>
      <c r="AI219" s="775">
        <v>8980.36</v>
      </c>
      <c r="AJ219" s="776"/>
      <c r="AK219" s="784"/>
      <c r="AL219" s="775">
        <v>11810.48</v>
      </c>
      <c r="AM219" s="776"/>
      <c r="AN219" s="784"/>
      <c r="AO219" s="775">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80118.310000000012</v>
      </c>
      <c r="F221" s="747"/>
      <c r="G221" s="757"/>
      <c r="H221" s="771">
        <v>3871.25</v>
      </c>
      <c r="I221" s="747"/>
      <c r="J221" s="757"/>
      <c r="K221" s="771">
        <v>2302.6799999999998</v>
      </c>
      <c r="L221" s="747"/>
      <c r="M221" s="757"/>
      <c r="N221" s="771">
        <v>1992.75</v>
      </c>
      <c r="O221" s="747"/>
      <c r="P221" s="757"/>
      <c r="Q221" s="771">
        <v>8832.08</v>
      </c>
      <c r="R221" s="747"/>
      <c r="S221" s="757"/>
      <c r="T221" s="771">
        <v>5864</v>
      </c>
      <c r="U221" s="747"/>
      <c r="V221" s="757"/>
      <c r="W221" s="771">
        <v>4394.93</v>
      </c>
      <c r="X221" s="747"/>
      <c r="Y221" s="757"/>
      <c r="Z221" s="771">
        <v>8929.44</v>
      </c>
      <c r="AA221" s="747"/>
      <c r="AB221" s="757"/>
      <c r="AC221" s="771">
        <v>5618.51</v>
      </c>
      <c r="AD221" s="747"/>
      <c r="AE221" s="757"/>
      <c r="AF221" s="771">
        <v>10685.23</v>
      </c>
      <c r="AG221" s="747"/>
      <c r="AH221" s="757"/>
      <c r="AI221" s="771">
        <v>13015.97</v>
      </c>
      <c r="AJ221" s="747"/>
      <c r="AK221" s="757"/>
      <c r="AL221" s="771">
        <v>10655.23</v>
      </c>
      <c r="AM221" s="747"/>
      <c r="AN221" s="757"/>
      <c r="AO221" s="771">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15312.959999999997</v>
      </c>
      <c r="F222" s="747"/>
      <c r="G222" s="757"/>
      <c r="H222" s="771">
        <v>5487.43</v>
      </c>
      <c r="I222" s="747"/>
      <c r="J222" s="757"/>
      <c r="K222" s="771">
        <v>860.45</v>
      </c>
      <c r="L222" s="747"/>
      <c r="M222" s="757"/>
      <c r="N222" s="771">
        <v>725.99</v>
      </c>
      <c r="O222" s="747"/>
      <c r="P222" s="757"/>
      <c r="Q222" s="771">
        <v>619.66999999999996</v>
      </c>
      <c r="R222" s="747"/>
      <c r="S222" s="757"/>
      <c r="T222" s="771">
        <v>822.42</v>
      </c>
      <c r="U222" s="747"/>
      <c r="V222" s="757"/>
      <c r="W222" s="771">
        <v>788.71</v>
      </c>
      <c r="X222" s="747"/>
      <c r="Y222" s="757"/>
      <c r="Z222" s="771">
        <v>1535.27</v>
      </c>
      <c r="AA222" s="747"/>
      <c r="AB222" s="757"/>
      <c r="AC222" s="771">
        <v>460.85</v>
      </c>
      <c r="AD222" s="747"/>
      <c r="AE222" s="757"/>
      <c r="AF222" s="771">
        <v>608.80999999999995</v>
      </c>
      <c r="AG222" s="747"/>
      <c r="AH222" s="757"/>
      <c r="AI222" s="771">
        <v>679.32</v>
      </c>
      <c r="AJ222" s="747"/>
      <c r="AK222" s="757"/>
      <c r="AL222" s="771">
        <v>1903.87</v>
      </c>
      <c r="AM222" s="747"/>
      <c r="AN222" s="757"/>
      <c r="AO222" s="771">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11275.07</v>
      </c>
      <c r="F223" s="747"/>
      <c r="G223" s="757"/>
      <c r="H223" s="771">
        <v>290.82</v>
      </c>
      <c r="I223" s="747"/>
      <c r="J223" s="757"/>
      <c r="K223" s="771">
        <v>1711.96</v>
      </c>
      <c r="L223" s="747"/>
      <c r="M223" s="757"/>
      <c r="N223" s="771">
        <v>748.1</v>
      </c>
      <c r="O223" s="747"/>
      <c r="P223" s="757"/>
      <c r="Q223" s="771">
        <v>587.58000000000004</v>
      </c>
      <c r="R223" s="747"/>
      <c r="S223" s="757"/>
      <c r="T223" s="771">
        <v>660.28</v>
      </c>
      <c r="U223" s="747"/>
      <c r="V223" s="757"/>
      <c r="W223" s="771">
        <v>1170.8699999999999</v>
      </c>
      <c r="X223" s="747"/>
      <c r="Y223" s="757"/>
      <c r="Z223" s="771">
        <v>359.87</v>
      </c>
      <c r="AA223" s="747"/>
      <c r="AB223" s="757"/>
      <c r="AC223" s="771">
        <v>982.57</v>
      </c>
      <c r="AD223" s="747"/>
      <c r="AE223" s="757"/>
      <c r="AF223" s="771">
        <v>904.35</v>
      </c>
      <c r="AG223" s="747"/>
      <c r="AH223" s="757"/>
      <c r="AI223" s="771">
        <v>1502.42</v>
      </c>
      <c r="AJ223" s="747"/>
      <c r="AK223" s="757"/>
      <c r="AL223" s="771">
        <v>1549.31</v>
      </c>
      <c r="AM223" s="747"/>
      <c r="AN223" s="757"/>
      <c r="AO223" s="771">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2320.3100000000004</v>
      </c>
      <c r="F224" s="747"/>
      <c r="G224" s="757"/>
      <c r="H224" s="771">
        <v>218.72</v>
      </c>
      <c r="I224" s="747"/>
      <c r="J224" s="757"/>
      <c r="K224" s="771">
        <v>118.95</v>
      </c>
      <c r="L224" s="747"/>
      <c r="M224" s="757"/>
      <c r="N224" s="771">
        <v>177.86</v>
      </c>
      <c r="O224" s="747"/>
      <c r="P224" s="757"/>
      <c r="Q224" s="771">
        <v>353.57</v>
      </c>
      <c r="R224" s="747"/>
      <c r="S224" s="757"/>
      <c r="T224" s="771">
        <v>247.88</v>
      </c>
      <c r="U224" s="747"/>
      <c r="V224" s="757"/>
      <c r="W224" s="771">
        <v>177.5</v>
      </c>
      <c r="X224" s="747"/>
      <c r="Y224" s="757"/>
      <c r="Z224" s="771">
        <v>248.63</v>
      </c>
      <c r="AA224" s="747"/>
      <c r="AB224" s="757"/>
      <c r="AC224" s="771">
        <v>222.93</v>
      </c>
      <c r="AD224" s="747"/>
      <c r="AE224" s="757"/>
      <c r="AF224" s="771">
        <v>129.49</v>
      </c>
      <c r="AG224" s="747"/>
      <c r="AH224" s="757"/>
      <c r="AI224" s="771">
        <v>115.96</v>
      </c>
      <c r="AJ224" s="747"/>
      <c r="AK224" s="757"/>
      <c r="AL224" s="771">
        <v>153.81</v>
      </c>
      <c r="AM224" s="747"/>
      <c r="AN224" s="757"/>
      <c r="AO224" s="771">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1475.2500000000002</v>
      </c>
      <c r="F225" s="747"/>
      <c r="G225" s="757"/>
      <c r="H225" s="771">
        <v>76.69</v>
      </c>
      <c r="I225" s="747"/>
      <c r="J225" s="757"/>
      <c r="K225" s="771">
        <v>91.11</v>
      </c>
      <c r="L225" s="747"/>
      <c r="M225" s="757"/>
      <c r="N225" s="771">
        <v>63.74</v>
      </c>
      <c r="O225" s="747"/>
      <c r="P225" s="757"/>
      <c r="Q225" s="771">
        <v>371.82</v>
      </c>
      <c r="R225" s="747"/>
      <c r="S225" s="757"/>
      <c r="T225" s="771">
        <v>86.7</v>
      </c>
      <c r="U225" s="747"/>
      <c r="V225" s="757"/>
      <c r="W225" s="771">
        <v>-15.61</v>
      </c>
      <c r="X225" s="747"/>
      <c r="Y225" s="757"/>
      <c r="Z225" s="771">
        <v>97.59</v>
      </c>
      <c r="AA225" s="747"/>
      <c r="AB225" s="757"/>
      <c r="AC225" s="771">
        <v>77.650000000000006</v>
      </c>
      <c r="AD225" s="747"/>
      <c r="AE225" s="757"/>
      <c r="AF225" s="771">
        <v>100.09</v>
      </c>
      <c r="AG225" s="747"/>
      <c r="AH225" s="757"/>
      <c r="AI225" s="771">
        <v>203.61</v>
      </c>
      <c r="AJ225" s="747"/>
      <c r="AK225" s="757"/>
      <c r="AL225" s="771">
        <v>127.41</v>
      </c>
      <c r="AM225" s="747"/>
      <c r="AN225" s="757"/>
      <c r="AO225" s="771">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1398.8899999999999</v>
      </c>
      <c r="F226" s="747"/>
      <c r="G226" s="757"/>
      <c r="H226" s="771">
        <v>425.28</v>
      </c>
      <c r="I226" s="747"/>
      <c r="J226" s="757"/>
      <c r="K226" s="771">
        <v>212.54</v>
      </c>
      <c r="L226" s="747"/>
      <c r="M226" s="757"/>
      <c r="N226" s="771">
        <v>49.72</v>
      </c>
      <c r="O226" s="747"/>
      <c r="P226" s="757"/>
      <c r="Q226" s="771">
        <v>163.63</v>
      </c>
      <c r="R226" s="747"/>
      <c r="S226" s="757"/>
      <c r="T226" s="771">
        <v>58.9</v>
      </c>
      <c r="U226" s="747"/>
      <c r="V226" s="757"/>
      <c r="W226" s="771">
        <v>83.51</v>
      </c>
      <c r="X226" s="747"/>
      <c r="Y226" s="757"/>
      <c r="Z226" s="771">
        <v>58.08</v>
      </c>
      <c r="AA226" s="747"/>
      <c r="AB226" s="757"/>
      <c r="AC226" s="771">
        <v>84.53</v>
      </c>
      <c r="AD226" s="747"/>
      <c r="AE226" s="757"/>
      <c r="AF226" s="771">
        <v>274.92</v>
      </c>
      <c r="AG226" s="747"/>
      <c r="AH226" s="757"/>
      <c r="AI226" s="771">
        <v>90</v>
      </c>
      <c r="AJ226" s="747"/>
      <c r="AK226" s="757"/>
      <c r="AL226" s="771">
        <v>-172.89</v>
      </c>
      <c r="AM226" s="747"/>
      <c r="AN226" s="757"/>
      <c r="AO226" s="771">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58713.009999999995</v>
      </c>
      <c r="F227" s="747"/>
      <c r="G227" s="757"/>
      <c r="H227" s="771">
        <v>4107.62</v>
      </c>
      <c r="I227" s="747"/>
      <c r="J227" s="757"/>
      <c r="K227" s="771">
        <v>6175.92</v>
      </c>
      <c r="L227" s="747"/>
      <c r="M227" s="757"/>
      <c r="N227" s="771">
        <v>7145.58</v>
      </c>
      <c r="O227" s="747"/>
      <c r="P227" s="757"/>
      <c r="Q227" s="771">
        <v>5330.26</v>
      </c>
      <c r="R227" s="747"/>
      <c r="S227" s="757"/>
      <c r="T227" s="771">
        <v>4373.49</v>
      </c>
      <c r="U227" s="747"/>
      <c r="V227" s="757"/>
      <c r="W227" s="771">
        <v>3115.28</v>
      </c>
      <c r="X227" s="747"/>
      <c r="Y227" s="757"/>
      <c r="Z227" s="771">
        <v>5450.1</v>
      </c>
      <c r="AA227" s="747"/>
      <c r="AB227" s="757"/>
      <c r="AC227" s="771">
        <v>4247.2700000000004</v>
      </c>
      <c r="AD227" s="747"/>
      <c r="AE227" s="757"/>
      <c r="AF227" s="771">
        <v>4354.53</v>
      </c>
      <c r="AG227" s="747"/>
      <c r="AH227" s="757"/>
      <c r="AI227" s="771">
        <v>2578.59</v>
      </c>
      <c r="AJ227" s="747"/>
      <c r="AK227" s="757"/>
      <c r="AL227" s="771">
        <v>8573.24</v>
      </c>
      <c r="AM227" s="747"/>
      <c r="AN227" s="757"/>
      <c r="AO227" s="771">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21142.239999999998</v>
      </c>
      <c r="F228" s="747"/>
      <c r="G228" s="757"/>
      <c r="H228" s="771">
        <v>1570.87</v>
      </c>
      <c r="I228" s="747"/>
      <c r="J228" s="757"/>
      <c r="K228" s="771">
        <v>1241.71</v>
      </c>
      <c r="L228" s="747"/>
      <c r="M228" s="757"/>
      <c r="N228" s="771">
        <v>178.54</v>
      </c>
      <c r="O228" s="747"/>
      <c r="P228" s="757"/>
      <c r="Q228" s="771">
        <v>1512.81</v>
      </c>
      <c r="R228" s="747"/>
      <c r="S228" s="757"/>
      <c r="T228" s="771">
        <v>3865.97</v>
      </c>
      <c r="U228" s="747"/>
      <c r="V228" s="757"/>
      <c r="W228" s="771">
        <v>1768.57</v>
      </c>
      <c r="X228" s="747"/>
      <c r="Y228" s="757"/>
      <c r="Z228" s="771">
        <v>1703.22</v>
      </c>
      <c r="AA228" s="747"/>
      <c r="AB228" s="757"/>
      <c r="AC228" s="771">
        <v>1329.91</v>
      </c>
      <c r="AD228" s="747"/>
      <c r="AE228" s="757"/>
      <c r="AF228" s="771">
        <v>1801.79</v>
      </c>
      <c r="AG228" s="747"/>
      <c r="AH228" s="757"/>
      <c r="AI228" s="771">
        <v>2003.28</v>
      </c>
      <c r="AJ228" s="747"/>
      <c r="AK228" s="757"/>
      <c r="AL228" s="771">
        <v>2562.4</v>
      </c>
      <c r="AM228" s="747"/>
      <c r="AN228" s="757"/>
      <c r="AO228" s="771">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0.30039412809326405</v>
      </c>
      <c r="E232" s="779">
        <v>670361.62999999989</v>
      </c>
      <c r="F232" s="777" t="s">
        <v>175</v>
      </c>
      <c r="G232" s="778">
        <v>0.37392032953574916</v>
      </c>
      <c r="H232" s="779">
        <v>43889.740000000005</v>
      </c>
      <c r="I232" s="777" t="s">
        <v>175</v>
      </c>
      <c r="J232" s="778">
        <v>0.40888075869927137</v>
      </c>
      <c r="K232" s="779">
        <v>44091.25999999998</v>
      </c>
      <c r="L232" s="777" t="s">
        <v>175</v>
      </c>
      <c r="M232" s="778">
        <v>0.33443057818307781</v>
      </c>
      <c r="N232" s="779">
        <v>45597.78</v>
      </c>
      <c r="O232" s="777" t="s">
        <v>175</v>
      </c>
      <c r="P232" s="778">
        <v>0.28284618347632684</v>
      </c>
      <c r="Q232" s="779">
        <v>56607.09</v>
      </c>
      <c r="R232" s="777" t="s">
        <v>175</v>
      </c>
      <c r="S232" s="778">
        <v>0.22691001852963441</v>
      </c>
      <c r="T232" s="779">
        <v>54247.62999999999</v>
      </c>
      <c r="U232" s="777" t="s">
        <v>175</v>
      </c>
      <c r="V232" s="778">
        <v>0.258982505780747</v>
      </c>
      <c r="W232" s="779">
        <v>51811.100000000006</v>
      </c>
      <c r="X232" s="777" t="s">
        <v>175</v>
      </c>
      <c r="Y232" s="778">
        <v>0.33220231822621149</v>
      </c>
      <c r="Z232" s="779">
        <v>59930.73</v>
      </c>
      <c r="AA232" s="777" t="s">
        <v>175</v>
      </c>
      <c r="AB232" s="778">
        <v>0.26159503263866418</v>
      </c>
      <c r="AC232" s="779">
        <v>48536.12000000001</v>
      </c>
      <c r="AD232" s="777" t="s">
        <v>175</v>
      </c>
      <c r="AE232" s="778">
        <v>0.30598140565787202</v>
      </c>
      <c r="AF232" s="779">
        <v>53436.659999999982</v>
      </c>
      <c r="AG232" s="777" t="s">
        <v>175</v>
      </c>
      <c r="AH232" s="778">
        <v>0.31949334885632069</v>
      </c>
      <c r="AI232" s="779">
        <v>70423.199999999997</v>
      </c>
      <c r="AJ232" s="777" t="s">
        <v>175</v>
      </c>
      <c r="AK232" s="778">
        <v>0.27853577584282457</v>
      </c>
      <c r="AL232" s="779">
        <v>80852.339999999982</v>
      </c>
      <c r="AM232" s="777" t="s">
        <v>175</v>
      </c>
      <c r="AN232" s="778">
        <v>0.33947154327519918</v>
      </c>
      <c r="AO232" s="779">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0.90812429215526358</v>
      </c>
      <c r="E234" s="789">
        <v>2026576.4999999998</v>
      </c>
      <c r="F234" s="777" t="s">
        <v>119</v>
      </c>
      <c r="G234" s="815">
        <v>1.2494244838757087</v>
      </c>
      <c r="H234" s="789">
        <v>146654.01</v>
      </c>
      <c r="I234" s="777" t="s">
        <v>119</v>
      </c>
      <c r="J234" s="815">
        <v>1.1796112971016668</v>
      </c>
      <c r="K234" s="789">
        <v>127202.24000000001</v>
      </c>
      <c r="L234" s="777" t="s">
        <v>119</v>
      </c>
      <c r="M234" s="815">
        <v>1.0710359264137694</v>
      </c>
      <c r="N234" s="789">
        <v>146029.88999999998</v>
      </c>
      <c r="O234" s="777" t="s">
        <v>119</v>
      </c>
      <c r="P234" s="815">
        <v>0.79399195028646585</v>
      </c>
      <c r="Q234" s="789">
        <v>158904.65</v>
      </c>
      <c r="R234" s="777" t="s">
        <v>119</v>
      </c>
      <c r="S234" s="815">
        <v>0.72925507394013811</v>
      </c>
      <c r="T234" s="789">
        <v>174343.82</v>
      </c>
      <c r="U234" s="777" t="s">
        <v>119</v>
      </c>
      <c r="V234" s="815">
        <v>0.77775508972796414</v>
      </c>
      <c r="W234" s="789">
        <v>155594.86000000002</v>
      </c>
      <c r="X234" s="777" t="s">
        <v>119</v>
      </c>
      <c r="Y234" s="815">
        <v>0.90533258324039112</v>
      </c>
      <c r="Z234" s="789">
        <v>163325.90000000002</v>
      </c>
      <c r="AA234" s="777" t="s">
        <v>119</v>
      </c>
      <c r="AB234" s="815">
        <v>0.76717566077024713</v>
      </c>
      <c r="AC234" s="789">
        <v>142341.12</v>
      </c>
      <c r="AD234" s="777" t="s">
        <v>119</v>
      </c>
      <c r="AE234" s="815">
        <v>1.0203764058474052</v>
      </c>
      <c r="AF234" s="789">
        <v>178198.76</v>
      </c>
      <c r="AG234" s="777" t="s">
        <v>119</v>
      </c>
      <c r="AH234" s="815">
        <v>0.90854834526343153</v>
      </c>
      <c r="AI234" s="789">
        <v>200263.58000000002</v>
      </c>
      <c r="AJ234" s="777" t="s">
        <v>119</v>
      </c>
      <c r="AK234" s="815">
        <v>0.78722584053704436</v>
      </c>
      <c r="AL234" s="789">
        <v>228513.01999999996</v>
      </c>
      <c r="AM234" s="777" t="s">
        <v>119</v>
      </c>
      <c r="AN234" s="815">
        <v>1.1431481519857913</v>
      </c>
      <c r="AO234" s="789">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205030.46999999718</v>
      </c>
      <c r="F236" s="816"/>
      <c r="G236" s="817"/>
      <c r="H236" s="798">
        <v>-29276.760000000024</v>
      </c>
      <c r="I236" s="816"/>
      <c r="J236" s="817"/>
      <c r="K236" s="798">
        <v>-19368.210000000036</v>
      </c>
      <c r="L236" s="816"/>
      <c r="M236" s="817"/>
      <c r="N236" s="798">
        <v>-9685.359999999986</v>
      </c>
      <c r="O236" s="816"/>
      <c r="P236" s="817"/>
      <c r="Q236" s="798">
        <v>41229.179999999993</v>
      </c>
      <c r="R236" s="816"/>
      <c r="S236" s="817"/>
      <c r="T236" s="798">
        <v>64727.289999998786</v>
      </c>
      <c r="U236" s="816"/>
      <c r="V236" s="817"/>
      <c r="W236" s="798">
        <v>44461.509999998991</v>
      </c>
      <c r="X236" s="816"/>
      <c r="Y236" s="817"/>
      <c r="Z236" s="798">
        <v>17078.409999999654</v>
      </c>
      <c r="AA236" s="816"/>
      <c r="AB236" s="817"/>
      <c r="AC236" s="798">
        <v>43198.03</v>
      </c>
      <c r="AD236" s="816"/>
      <c r="AE236" s="817"/>
      <c r="AF236" s="798">
        <v>-3558.5400000001246</v>
      </c>
      <c r="AG236" s="816"/>
      <c r="AH236" s="817"/>
      <c r="AI236" s="798">
        <v>20157.909999999974</v>
      </c>
      <c r="AJ236" s="816"/>
      <c r="AK236" s="817"/>
      <c r="AL236" s="798">
        <v>61763.29999999993</v>
      </c>
      <c r="AM236" s="816"/>
      <c r="AN236" s="817"/>
      <c r="AO236" s="798">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3870</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2023</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506</v>
      </c>
      <c r="D244" s="770">
        <v>911810.67999999772</v>
      </c>
      <c r="E244" s="758">
        <v>186467.59999999951</v>
      </c>
      <c r="F244" s="820">
        <v>62</v>
      </c>
      <c r="G244" s="821">
        <v>125402.079999999</v>
      </c>
      <c r="H244" s="771">
        <v>28396.889999999901</v>
      </c>
      <c r="I244" s="820">
        <v>54</v>
      </c>
      <c r="J244" s="821">
        <v>80938.570000000007</v>
      </c>
      <c r="K244" s="771">
        <v>12421.9</v>
      </c>
      <c r="L244" s="820">
        <v>43</v>
      </c>
      <c r="M244" s="821">
        <v>100057.5</v>
      </c>
      <c r="N244" s="771">
        <v>13104.05</v>
      </c>
      <c r="O244" s="820">
        <v>21</v>
      </c>
      <c r="P244" s="821">
        <v>20068.84</v>
      </c>
      <c r="Q244" s="771">
        <v>6932.34</v>
      </c>
      <c r="R244" s="820">
        <v>53</v>
      </c>
      <c r="S244" s="821">
        <v>81827.360000000001</v>
      </c>
      <c r="T244" s="771">
        <v>22554.99</v>
      </c>
      <c r="U244" s="820">
        <v>35</v>
      </c>
      <c r="V244" s="821">
        <v>61602.33</v>
      </c>
      <c r="W244" s="771">
        <v>12667</v>
      </c>
      <c r="X244" s="820">
        <v>43</v>
      </c>
      <c r="Y244" s="821">
        <v>93198.95</v>
      </c>
      <c r="Z244" s="771">
        <v>23146.659999999902</v>
      </c>
      <c r="AA244" s="820">
        <v>61</v>
      </c>
      <c r="AB244" s="821">
        <v>123808.129999999</v>
      </c>
      <c r="AC244" s="771">
        <v>26996.3299999999</v>
      </c>
      <c r="AD244" s="820">
        <v>32</v>
      </c>
      <c r="AE244" s="821">
        <v>43872.799999999901</v>
      </c>
      <c r="AF244" s="771">
        <v>7855.5599999999904</v>
      </c>
      <c r="AG244" s="820">
        <v>44</v>
      </c>
      <c r="AH244" s="821">
        <v>82403.109999999899</v>
      </c>
      <c r="AI244" s="771">
        <v>16545.369999999901</v>
      </c>
      <c r="AJ244" s="820">
        <v>42</v>
      </c>
      <c r="AK244" s="821">
        <v>66881.5</v>
      </c>
      <c r="AL244" s="771">
        <v>11630.529999999901</v>
      </c>
      <c r="AM244" s="820">
        <v>16</v>
      </c>
      <c r="AN244" s="821">
        <v>31749.51</v>
      </c>
      <c r="AO244" s="771">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0.20450253993515405</v>
      </c>
      <c r="F245" s="819"/>
      <c r="G245" s="757"/>
      <c r="H245" s="822">
        <v>0.22644672241481265</v>
      </c>
      <c r="I245" s="819"/>
      <c r="J245" s="757"/>
      <c r="K245" s="822">
        <v>0.15347318342787622</v>
      </c>
      <c r="L245" s="819"/>
      <c r="M245" s="757"/>
      <c r="N245" s="822">
        <v>0.1309651950128676</v>
      </c>
      <c r="O245" s="819"/>
      <c r="P245" s="757"/>
      <c r="Q245" s="822">
        <v>0.34542803669768657</v>
      </c>
      <c r="R245" s="819"/>
      <c r="S245" s="757"/>
      <c r="T245" s="822">
        <v>0.27564117918505499</v>
      </c>
      <c r="U245" s="819"/>
      <c r="V245" s="757"/>
      <c r="W245" s="822">
        <v>0.2056253391714242</v>
      </c>
      <c r="X245" s="819"/>
      <c r="Y245" s="757"/>
      <c r="Z245" s="822">
        <v>0.24835751904930153</v>
      </c>
      <c r="AA245" s="819"/>
      <c r="AB245" s="757"/>
      <c r="AC245" s="822">
        <v>0.21804973550606183</v>
      </c>
      <c r="AD245" s="819"/>
      <c r="AE245" s="757"/>
      <c r="AF245" s="822">
        <v>0.17905308072427581</v>
      </c>
      <c r="AG245" s="819"/>
      <c r="AH245" s="757"/>
      <c r="AI245" s="822">
        <v>0.20078574704279875</v>
      </c>
      <c r="AJ245" s="819"/>
      <c r="AK245" s="757"/>
      <c r="AL245" s="822">
        <v>0.17389756509647511</v>
      </c>
      <c r="AM245" s="819"/>
      <c r="AN245" s="757"/>
      <c r="AO245" s="822">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911810.67999999772</v>
      </c>
      <c r="E253" s="761">
        <v>186467.59999999951</v>
      </c>
      <c r="F253" s="759"/>
      <c r="G253" s="850">
        <v>125402.079999999</v>
      </c>
      <c r="H253" s="761">
        <v>28396.889999999901</v>
      </c>
      <c r="I253" s="759"/>
      <c r="J253" s="850">
        <v>80938.570000000007</v>
      </c>
      <c r="K253" s="761">
        <v>12421.9</v>
      </c>
      <c r="L253" s="759"/>
      <c r="M253" s="850">
        <v>100057.5</v>
      </c>
      <c r="N253" s="761">
        <v>13104.05</v>
      </c>
      <c r="O253" s="759"/>
      <c r="P253" s="850">
        <v>20068.84</v>
      </c>
      <c r="Q253" s="761">
        <v>6932.34</v>
      </c>
      <c r="R253" s="759"/>
      <c r="S253" s="850">
        <v>81827.360000000001</v>
      </c>
      <c r="T253" s="761">
        <v>22554.99</v>
      </c>
      <c r="U253" s="759"/>
      <c r="V253" s="850">
        <v>61602.33</v>
      </c>
      <c r="W253" s="761">
        <v>12667</v>
      </c>
      <c r="X253" s="759"/>
      <c r="Y253" s="850">
        <v>93198.95</v>
      </c>
      <c r="Z253" s="761">
        <v>23146.659999999902</v>
      </c>
      <c r="AA253" s="759"/>
      <c r="AB253" s="850">
        <v>123808.129999999</v>
      </c>
      <c r="AC253" s="761">
        <v>26996.3299999999</v>
      </c>
      <c r="AD253" s="759"/>
      <c r="AE253" s="850">
        <v>43872.799999999901</v>
      </c>
      <c r="AF253" s="761">
        <v>7855.5599999999904</v>
      </c>
      <c r="AG253" s="759"/>
      <c r="AH253" s="850">
        <v>82403.109999999899</v>
      </c>
      <c r="AI253" s="761">
        <v>16545.369999999901</v>
      </c>
      <c r="AJ253" s="759"/>
      <c r="AK253" s="850">
        <v>66881.5</v>
      </c>
      <c r="AL253" s="761">
        <v>11630.529999999901</v>
      </c>
      <c r="AM253" s="759"/>
      <c r="AN253" s="850">
        <v>31749.51</v>
      </c>
      <c r="AO253" s="761">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0.20450253993515405</v>
      </c>
      <c r="F254" s="762"/>
      <c r="G254" s="763"/>
      <c r="H254" s="851">
        <v>0.22644672241481265</v>
      </c>
      <c r="I254" s="762"/>
      <c r="J254" s="763"/>
      <c r="K254" s="851">
        <v>0.15347318342787622</v>
      </c>
      <c r="L254" s="762"/>
      <c r="M254" s="763"/>
      <c r="N254" s="851">
        <v>0.1309651950128676</v>
      </c>
      <c r="O254" s="762"/>
      <c r="P254" s="763"/>
      <c r="Q254" s="851">
        <v>0.34542803669768657</v>
      </c>
      <c r="R254" s="762"/>
      <c r="S254" s="763"/>
      <c r="T254" s="851">
        <v>0.27564117918505499</v>
      </c>
      <c r="U254" s="762"/>
      <c r="V254" s="763"/>
      <c r="W254" s="851">
        <v>0.2056253391714242</v>
      </c>
      <c r="X254" s="762"/>
      <c r="Y254" s="763"/>
      <c r="Z254" s="851">
        <v>0.24835751904930153</v>
      </c>
      <c r="AA254" s="762"/>
      <c r="AB254" s="763"/>
      <c r="AC254" s="851">
        <v>0.21804973550606183</v>
      </c>
      <c r="AD254" s="762"/>
      <c r="AE254" s="763"/>
      <c r="AF254" s="851">
        <v>0.17905308072427581</v>
      </c>
      <c r="AG254" s="762"/>
      <c r="AH254" s="763"/>
      <c r="AI254" s="851">
        <v>0.20078574704279875</v>
      </c>
      <c r="AJ254" s="762"/>
      <c r="AK254" s="763"/>
      <c r="AL254" s="851">
        <v>0.17389756509647511</v>
      </c>
      <c r="AM254" s="762"/>
      <c r="AN254" s="763"/>
      <c r="AO254" s="851">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10822.56</v>
      </c>
      <c r="F257" s="747"/>
      <c r="G257" s="757"/>
      <c r="H257" s="771">
        <v>1901.88</v>
      </c>
      <c r="I257" s="747"/>
      <c r="J257" s="757"/>
      <c r="K257" s="771">
        <v>-98.12</v>
      </c>
      <c r="L257" s="747"/>
      <c r="M257" s="757"/>
      <c r="N257" s="771">
        <v>901.88</v>
      </c>
      <c r="O257" s="747"/>
      <c r="P257" s="757"/>
      <c r="Q257" s="771">
        <v>901.88</v>
      </c>
      <c r="R257" s="747"/>
      <c r="S257" s="757"/>
      <c r="T257" s="771">
        <v>1785.72</v>
      </c>
      <c r="U257" s="747"/>
      <c r="V257" s="757"/>
      <c r="W257" s="771">
        <v>768.04</v>
      </c>
      <c r="X257" s="747"/>
      <c r="Y257" s="757"/>
      <c r="Z257" s="771">
        <v>651.88</v>
      </c>
      <c r="AA257" s="747"/>
      <c r="AB257" s="757"/>
      <c r="AC257" s="771">
        <v>1401.88</v>
      </c>
      <c r="AD257" s="747"/>
      <c r="AE257" s="757"/>
      <c r="AF257" s="771">
        <v>-98.12</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0</v>
      </c>
      <c r="F258" s="747"/>
      <c r="G258" s="757"/>
      <c r="H258" s="771">
        <v>0</v>
      </c>
      <c r="I258" s="747"/>
      <c r="J258" s="757"/>
      <c r="K258" s="771">
        <v>0</v>
      </c>
      <c r="L258" s="747"/>
      <c r="M258" s="757"/>
      <c r="N258" s="771">
        <v>0</v>
      </c>
      <c r="O258" s="747"/>
      <c r="P258" s="757"/>
      <c r="Q258" s="771">
        <v>0</v>
      </c>
      <c r="R258" s="747"/>
      <c r="S258" s="757"/>
      <c r="T258" s="771">
        <v>0</v>
      </c>
      <c r="U258" s="747"/>
      <c r="V258" s="757"/>
      <c r="W258" s="771">
        <v>0</v>
      </c>
      <c r="X258" s="747"/>
      <c r="Y258" s="757"/>
      <c r="Z258" s="771">
        <v>0</v>
      </c>
      <c r="AA258" s="747"/>
      <c r="AB258" s="757"/>
      <c r="AC258" s="771">
        <v>0</v>
      </c>
      <c r="AD258" s="747"/>
      <c r="AE258" s="757"/>
      <c r="AF258" s="771">
        <v>0</v>
      </c>
      <c r="AG258" s="747"/>
      <c r="AH258" s="757"/>
      <c r="AI258" s="771">
        <v>0</v>
      </c>
      <c r="AJ258" s="747"/>
      <c r="AK258" s="757"/>
      <c r="AL258" s="771">
        <v>0</v>
      </c>
      <c r="AM258" s="747"/>
      <c r="AN258" s="757"/>
      <c r="AO258" s="771">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0.98999999999999977</v>
      </c>
      <c r="F259" s="780"/>
      <c r="G259" s="781"/>
      <c r="H259" s="783">
        <v>0.08</v>
      </c>
      <c r="I259" s="780"/>
      <c r="J259" s="781"/>
      <c r="K259" s="783">
        <v>0.08</v>
      </c>
      <c r="L259" s="780"/>
      <c r="M259" s="781"/>
      <c r="N259" s="783">
        <v>0.08</v>
      </c>
      <c r="O259" s="780"/>
      <c r="P259" s="781"/>
      <c r="Q259" s="783">
        <v>0.08</v>
      </c>
      <c r="R259" s="780"/>
      <c r="S259" s="781"/>
      <c r="T259" s="783">
        <v>0.08</v>
      </c>
      <c r="U259" s="780"/>
      <c r="V259" s="781"/>
      <c r="W259" s="783">
        <v>0.21</v>
      </c>
      <c r="X259" s="780"/>
      <c r="Y259" s="781"/>
      <c r="Z259" s="783">
        <v>-0.02</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52208.659999999996</v>
      </c>
      <c r="F260" s="747"/>
      <c r="G260" s="757"/>
      <c r="H260" s="771">
        <v>3922.4</v>
      </c>
      <c r="I260" s="747"/>
      <c r="J260" s="757"/>
      <c r="K260" s="771">
        <v>6212.1</v>
      </c>
      <c r="L260" s="747"/>
      <c r="M260" s="757"/>
      <c r="N260" s="771">
        <v>4474.6000000000004</v>
      </c>
      <c r="O260" s="747"/>
      <c r="P260" s="757"/>
      <c r="Q260" s="771">
        <v>1862.6</v>
      </c>
      <c r="R260" s="747"/>
      <c r="S260" s="757"/>
      <c r="T260" s="771">
        <v>3887.6</v>
      </c>
      <c r="U260" s="747"/>
      <c r="V260" s="757"/>
      <c r="W260" s="771">
        <v>5032.4399999999996</v>
      </c>
      <c r="X260" s="747"/>
      <c r="Y260" s="757"/>
      <c r="Z260" s="771">
        <v>4550.6000000000004</v>
      </c>
      <c r="AA260" s="747"/>
      <c r="AB260" s="757"/>
      <c r="AC260" s="771">
        <v>4343.3599999999997</v>
      </c>
      <c r="AD260" s="747"/>
      <c r="AE260" s="757"/>
      <c r="AF260" s="771">
        <v>3832.35</v>
      </c>
      <c r="AG260" s="747"/>
      <c r="AH260" s="757"/>
      <c r="AI260" s="771">
        <v>4192.29</v>
      </c>
      <c r="AJ260" s="747"/>
      <c r="AK260" s="757"/>
      <c r="AL260" s="771">
        <v>4680.32</v>
      </c>
      <c r="AM260" s="747"/>
      <c r="AN260" s="757"/>
      <c r="AO260" s="771">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5022.6899999999996</v>
      </c>
      <c r="F264" s="747"/>
      <c r="G264" s="757"/>
      <c r="H264" s="771">
        <v>618.65</v>
      </c>
      <c r="I264" s="747"/>
      <c r="J264" s="757"/>
      <c r="K264" s="771">
        <v>312.42</v>
      </c>
      <c r="L264" s="747"/>
      <c r="M264" s="757"/>
      <c r="N264" s="771">
        <v>350.09</v>
      </c>
      <c r="O264" s="747"/>
      <c r="P264" s="757"/>
      <c r="Q264" s="771">
        <v>331.33</v>
      </c>
      <c r="R264" s="747"/>
      <c r="S264" s="757"/>
      <c r="T264" s="771">
        <v>303.48</v>
      </c>
      <c r="U264" s="747"/>
      <c r="V264" s="757"/>
      <c r="W264" s="771">
        <v>352.77</v>
      </c>
      <c r="X264" s="747"/>
      <c r="Y264" s="757"/>
      <c r="Z264" s="771">
        <v>382.81</v>
      </c>
      <c r="AA264" s="747"/>
      <c r="AB264" s="757"/>
      <c r="AC264" s="771">
        <v>240.79</v>
      </c>
      <c r="AD264" s="747"/>
      <c r="AE264" s="757"/>
      <c r="AF264" s="771">
        <v>384.29</v>
      </c>
      <c r="AG264" s="747"/>
      <c r="AH264" s="757"/>
      <c r="AI264" s="771">
        <v>506.89</v>
      </c>
      <c r="AJ264" s="747"/>
      <c r="AK264" s="757"/>
      <c r="AL264" s="771">
        <v>259.37</v>
      </c>
      <c r="AM264" s="747"/>
      <c r="AN264" s="757"/>
      <c r="AO264" s="771">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15798.319999999998</v>
      </c>
      <c r="F265" s="780"/>
      <c r="G265" s="781"/>
      <c r="H265" s="783">
        <v>1359.12</v>
      </c>
      <c r="I265" s="780"/>
      <c r="J265" s="781"/>
      <c r="K265" s="783">
        <v>1627.6</v>
      </c>
      <c r="L265" s="780"/>
      <c r="M265" s="781"/>
      <c r="N265" s="783">
        <v>1266.97</v>
      </c>
      <c r="O265" s="780"/>
      <c r="P265" s="781"/>
      <c r="Q265" s="783">
        <v>946.77</v>
      </c>
      <c r="R265" s="780"/>
      <c r="S265" s="781"/>
      <c r="T265" s="783">
        <v>1200.4100000000001</v>
      </c>
      <c r="U265" s="780"/>
      <c r="V265" s="781"/>
      <c r="W265" s="783">
        <v>1340.49</v>
      </c>
      <c r="X265" s="780"/>
      <c r="Y265" s="781"/>
      <c r="Z265" s="783">
        <v>1298.79</v>
      </c>
      <c r="AA265" s="780"/>
      <c r="AB265" s="781"/>
      <c r="AC265" s="783">
        <v>1254.0999999999999</v>
      </c>
      <c r="AD265" s="780"/>
      <c r="AE265" s="781"/>
      <c r="AF265" s="783">
        <v>1454.76</v>
      </c>
      <c r="AG265" s="780"/>
      <c r="AH265" s="781"/>
      <c r="AI265" s="783">
        <v>1262.6099999999999</v>
      </c>
      <c r="AJ265" s="780"/>
      <c r="AK265" s="781"/>
      <c r="AL265" s="783">
        <v>1309.81</v>
      </c>
      <c r="AM265" s="780"/>
      <c r="AN265" s="781"/>
      <c r="AO265" s="783">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3471.46</v>
      </c>
      <c r="F266" s="747"/>
      <c r="G266" s="757"/>
      <c r="H266" s="771">
        <v>351.75</v>
      </c>
      <c r="I266" s="747"/>
      <c r="J266" s="757"/>
      <c r="K266" s="771">
        <v>258.60000000000002</v>
      </c>
      <c r="L266" s="747"/>
      <c r="M266" s="757"/>
      <c r="N266" s="771">
        <v>56.92</v>
      </c>
      <c r="O266" s="747"/>
      <c r="P266" s="757"/>
      <c r="Q266" s="771">
        <v>34.520000000000003</v>
      </c>
      <c r="R266" s="747"/>
      <c r="S266" s="757"/>
      <c r="T266" s="771">
        <v>300.10000000000002</v>
      </c>
      <c r="U266" s="747"/>
      <c r="V266" s="757"/>
      <c r="W266" s="771">
        <v>122.31</v>
      </c>
      <c r="X266" s="747"/>
      <c r="Y266" s="757"/>
      <c r="Z266" s="771">
        <v>46.81</v>
      </c>
      <c r="AA266" s="747"/>
      <c r="AB266" s="757"/>
      <c r="AC266" s="771">
        <v>896.14</v>
      </c>
      <c r="AD266" s="747"/>
      <c r="AE266" s="757"/>
      <c r="AF266" s="771">
        <v>453.78</v>
      </c>
      <c r="AG266" s="747"/>
      <c r="AH266" s="757"/>
      <c r="AI266" s="771">
        <v>174.49</v>
      </c>
      <c r="AJ266" s="747"/>
      <c r="AK266" s="757"/>
      <c r="AL266" s="771">
        <v>345.19</v>
      </c>
      <c r="AM266" s="747"/>
      <c r="AN266" s="757"/>
      <c r="AO266" s="771">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1919.8799999999999</v>
      </c>
      <c r="F267" s="747"/>
      <c r="G267" s="757"/>
      <c r="H267" s="771">
        <v>133</v>
      </c>
      <c r="I267" s="747"/>
      <c r="J267" s="757"/>
      <c r="K267" s="771">
        <v>175.67</v>
      </c>
      <c r="L267" s="747"/>
      <c r="M267" s="757"/>
      <c r="N267" s="771">
        <v>128.44</v>
      </c>
      <c r="O267" s="747"/>
      <c r="P267" s="757"/>
      <c r="Q267" s="771">
        <v>49.08</v>
      </c>
      <c r="R267" s="747"/>
      <c r="S267" s="757"/>
      <c r="T267" s="771">
        <v>98.15</v>
      </c>
      <c r="U267" s="747"/>
      <c r="V267" s="757"/>
      <c r="W267" s="771">
        <v>419.85</v>
      </c>
      <c r="X267" s="747"/>
      <c r="Y267" s="757"/>
      <c r="Z267" s="771">
        <v>170.57</v>
      </c>
      <c r="AA267" s="747"/>
      <c r="AB267" s="757"/>
      <c r="AC267" s="771">
        <v>117.7</v>
      </c>
      <c r="AD267" s="747"/>
      <c r="AE267" s="757"/>
      <c r="AF267" s="771">
        <v>172.1</v>
      </c>
      <c r="AG267" s="747"/>
      <c r="AH267" s="757"/>
      <c r="AI267" s="771">
        <v>119.83</v>
      </c>
      <c r="AJ267" s="747"/>
      <c r="AK267" s="757"/>
      <c r="AL267" s="771">
        <v>120.56</v>
      </c>
      <c r="AM267" s="747"/>
      <c r="AN267" s="757"/>
      <c r="AO267" s="771">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89244.56</v>
      </c>
      <c r="F269" s="777" t="s">
        <v>119</v>
      </c>
      <c r="G269" s="778">
        <v>0</v>
      </c>
      <c r="H269" s="779">
        <v>8286.880000000001</v>
      </c>
      <c r="I269" s="777" t="s">
        <v>119</v>
      </c>
      <c r="J269" s="778">
        <v>0</v>
      </c>
      <c r="K269" s="779">
        <v>8488.35</v>
      </c>
      <c r="L269" s="777" t="s">
        <v>119</v>
      </c>
      <c r="M269" s="778">
        <v>0</v>
      </c>
      <c r="N269" s="779">
        <v>7178.9800000000005</v>
      </c>
      <c r="O269" s="777" t="s">
        <v>119</v>
      </c>
      <c r="P269" s="778">
        <v>0</v>
      </c>
      <c r="Q269" s="779">
        <v>4126.26</v>
      </c>
      <c r="R269" s="777" t="s">
        <v>119</v>
      </c>
      <c r="S269" s="778">
        <v>0</v>
      </c>
      <c r="T269" s="779">
        <v>7575.5399999999991</v>
      </c>
      <c r="U269" s="777" t="s">
        <v>119</v>
      </c>
      <c r="V269" s="778">
        <v>0</v>
      </c>
      <c r="W269" s="779">
        <v>8036.11</v>
      </c>
      <c r="X269" s="777" t="s">
        <v>119</v>
      </c>
      <c r="Y269" s="778">
        <v>0</v>
      </c>
      <c r="Z269" s="779">
        <v>7101.4400000000005</v>
      </c>
      <c r="AA269" s="777" t="s">
        <v>119</v>
      </c>
      <c r="AB269" s="778">
        <v>0</v>
      </c>
      <c r="AC269" s="779">
        <v>8254.0499999999993</v>
      </c>
      <c r="AD269" s="777" t="s">
        <v>119</v>
      </c>
      <c r="AE269" s="778">
        <v>0</v>
      </c>
      <c r="AF269" s="779">
        <v>6199.2400000000007</v>
      </c>
      <c r="AG269" s="777" t="s">
        <v>119</v>
      </c>
      <c r="AH269" s="778">
        <v>0</v>
      </c>
      <c r="AI269" s="779">
        <v>7158.07</v>
      </c>
      <c r="AJ269" s="777" t="s">
        <v>119</v>
      </c>
      <c r="AK269" s="778">
        <v>0</v>
      </c>
      <c r="AL269" s="779">
        <v>7617.2099999999991</v>
      </c>
      <c r="AM269" s="777" t="s">
        <v>119</v>
      </c>
      <c r="AN269" s="778">
        <v>0</v>
      </c>
      <c r="AO269" s="779">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887.27</v>
      </c>
      <c r="F270" s="747"/>
      <c r="G270" s="757"/>
      <c r="H270" s="771">
        <v>70.069999999999993</v>
      </c>
      <c r="I270" s="747"/>
      <c r="J270" s="757"/>
      <c r="K270" s="771">
        <v>0.05</v>
      </c>
      <c r="L270" s="747"/>
      <c r="M270" s="757"/>
      <c r="N270" s="771">
        <v>173.45</v>
      </c>
      <c r="O270" s="747"/>
      <c r="P270" s="757"/>
      <c r="Q270" s="771">
        <v>24.52</v>
      </c>
      <c r="R270" s="747"/>
      <c r="S270" s="757"/>
      <c r="T270" s="771">
        <v>10.5</v>
      </c>
      <c r="U270" s="747"/>
      <c r="V270" s="757"/>
      <c r="W270" s="771">
        <v>168.82</v>
      </c>
      <c r="X270" s="747"/>
      <c r="Y270" s="757"/>
      <c r="Z270" s="771">
        <v>24.55</v>
      </c>
      <c r="AA270" s="747"/>
      <c r="AB270" s="757"/>
      <c r="AC270" s="771">
        <v>117.3</v>
      </c>
      <c r="AD270" s="747"/>
      <c r="AE270" s="757"/>
      <c r="AF270" s="771">
        <v>119.6</v>
      </c>
      <c r="AG270" s="747"/>
      <c r="AH270" s="757"/>
      <c r="AI270" s="771">
        <v>140.03</v>
      </c>
      <c r="AJ270" s="747"/>
      <c r="AK270" s="757"/>
      <c r="AL270" s="771">
        <v>35.03</v>
      </c>
      <c r="AM270" s="747"/>
      <c r="AN270" s="757"/>
      <c r="AO270" s="771">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17814.03</v>
      </c>
      <c r="F271" s="747"/>
      <c r="G271" s="757"/>
      <c r="H271" s="771">
        <v>-126.43</v>
      </c>
      <c r="I271" s="747"/>
      <c r="J271" s="757"/>
      <c r="K271" s="771">
        <v>264.18</v>
      </c>
      <c r="L271" s="747"/>
      <c r="M271" s="757"/>
      <c r="N271" s="771">
        <v>-1123.1199999999999</v>
      </c>
      <c r="O271" s="747"/>
      <c r="P271" s="757"/>
      <c r="Q271" s="771">
        <v>453.76</v>
      </c>
      <c r="R271" s="747"/>
      <c r="S271" s="757"/>
      <c r="T271" s="771">
        <v>2419.17</v>
      </c>
      <c r="U271" s="747"/>
      <c r="V271" s="757"/>
      <c r="W271" s="771">
        <v>3855.54</v>
      </c>
      <c r="X271" s="747"/>
      <c r="Y271" s="757"/>
      <c r="Z271" s="771">
        <v>1009.17</v>
      </c>
      <c r="AA271" s="747"/>
      <c r="AB271" s="757"/>
      <c r="AC271" s="771">
        <v>1948.41</v>
      </c>
      <c r="AD271" s="747"/>
      <c r="AE271" s="757"/>
      <c r="AF271" s="771">
        <v>2934.37</v>
      </c>
      <c r="AG271" s="747"/>
      <c r="AH271" s="757"/>
      <c r="AI271" s="771">
        <v>3817.34</v>
      </c>
      <c r="AJ271" s="747"/>
      <c r="AK271" s="757"/>
      <c r="AL271" s="771">
        <v>3488.78</v>
      </c>
      <c r="AM271" s="747"/>
      <c r="AN271" s="757"/>
      <c r="AO271" s="771">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9128.5499999999993</v>
      </c>
      <c r="F272" s="776"/>
      <c r="G272" s="784"/>
      <c r="H272" s="775">
        <v>409.64</v>
      </c>
      <c r="I272" s="776"/>
      <c r="J272" s="784"/>
      <c r="K272" s="775">
        <v>1230.29</v>
      </c>
      <c r="L272" s="776"/>
      <c r="M272" s="784"/>
      <c r="N272" s="775">
        <v>302.11</v>
      </c>
      <c r="O272" s="776"/>
      <c r="P272" s="784"/>
      <c r="Q272" s="775">
        <v>1298.76</v>
      </c>
      <c r="R272" s="776"/>
      <c r="S272" s="784"/>
      <c r="T272" s="775">
        <v>306.87</v>
      </c>
      <c r="U272" s="776"/>
      <c r="V272" s="784"/>
      <c r="W272" s="775">
        <v>165.8</v>
      </c>
      <c r="X272" s="776"/>
      <c r="Y272" s="784"/>
      <c r="Z272" s="775">
        <v>149.79</v>
      </c>
      <c r="AA272" s="776"/>
      <c r="AB272" s="784"/>
      <c r="AC272" s="775">
        <v>609.21</v>
      </c>
      <c r="AD272" s="776"/>
      <c r="AE272" s="784"/>
      <c r="AF272" s="775">
        <v>295.38</v>
      </c>
      <c r="AG272" s="776"/>
      <c r="AH272" s="784"/>
      <c r="AI272" s="775">
        <v>1816.75</v>
      </c>
      <c r="AJ272" s="776"/>
      <c r="AK272" s="784"/>
      <c r="AL272" s="775">
        <v>1070.53</v>
      </c>
      <c r="AM272" s="776"/>
      <c r="AN272" s="784"/>
      <c r="AO272" s="775">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18258.95</v>
      </c>
      <c r="F273" s="747"/>
      <c r="G273" s="757"/>
      <c r="H273" s="771">
        <v>1408.01</v>
      </c>
      <c r="I273" s="747"/>
      <c r="J273" s="757"/>
      <c r="K273" s="771">
        <v>1439.98</v>
      </c>
      <c r="L273" s="747"/>
      <c r="M273" s="757"/>
      <c r="N273" s="771">
        <v>1499.64</v>
      </c>
      <c r="O273" s="747"/>
      <c r="P273" s="757"/>
      <c r="Q273" s="771">
        <v>1645.4</v>
      </c>
      <c r="R273" s="747"/>
      <c r="S273" s="757"/>
      <c r="T273" s="771">
        <v>2012.5</v>
      </c>
      <c r="U273" s="747"/>
      <c r="V273" s="757"/>
      <c r="W273" s="771">
        <v>1422.13</v>
      </c>
      <c r="X273" s="747"/>
      <c r="Y273" s="757"/>
      <c r="Z273" s="771">
        <v>1466.11</v>
      </c>
      <c r="AA273" s="747"/>
      <c r="AB273" s="757"/>
      <c r="AC273" s="771">
        <v>1015.93</v>
      </c>
      <c r="AD273" s="747"/>
      <c r="AE273" s="757"/>
      <c r="AF273" s="771">
        <v>2094.9299999999998</v>
      </c>
      <c r="AG273" s="747"/>
      <c r="AH273" s="757"/>
      <c r="AI273" s="771">
        <v>1460.27</v>
      </c>
      <c r="AJ273" s="747"/>
      <c r="AK273" s="757"/>
      <c r="AL273" s="771">
        <v>1443.09</v>
      </c>
      <c r="AM273" s="747"/>
      <c r="AN273" s="757"/>
      <c r="AO273" s="771">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2857.98</v>
      </c>
      <c r="F274" s="747"/>
      <c r="G274" s="757"/>
      <c r="H274" s="771">
        <v>144.15</v>
      </c>
      <c r="I274" s="747"/>
      <c r="J274" s="757"/>
      <c r="K274" s="771">
        <v>319.45</v>
      </c>
      <c r="L274" s="747"/>
      <c r="M274" s="757"/>
      <c r="N274" s="771">
        <v>225.94</v>
      </c>
      <c r="O274" s="747"/>
      <c r="P274" s="757"/>
      <c r="Q274" s="771">
        <v>202.46</v>
      </c>
      <c r="R274" s="747"/>
      <c r="S274" s="757"/>
      <c r="T274" s="771">
        <v>335.94</v>
      </c>
      <c r="U274" s="747"/>
      <c r="V274" s="757"/>
      <c r="W274" s="771">
        <v>147.46</v>
      </c>
      <c r="X274" s="747"/>
      <c r="Y274" s="757"/>
      <c r="Z274" s="771">
        <v>169.45</v>
      </c>
      <c r="AA274" s="747"/>
      <c r="AB274" s="757"/>
      <c r="AC274" s="771">
        <v>218.31</v>
      </c>
      <c r="AD274" s="747"/>
      <c r="AE274" s="757"/>
      <c r="AF274" s="771">
        <v>265.83999999999997</v>
      </c>
      <c r="AG274" s="747"/>
      <c r="AH274" s="757"/>
      <c r="AI274" s="771">
        <v>329.67</v>
      </c>
      <c r="AJ274" s="747"/>
      <c r="AK274" s="757"/>
      <c r="AL274" s="771">
        <v>264.20999999999998</v>
      </c>
      <c r="AM274" s="747"/>
      <c r="AN274" s="757"/>
      <c r="AO274" s="771">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7538.869999999999</v>
      </c>
      <c r="F275" s="776"/>
      <c r="G275" s="784"/>
      <c r="H275" s="775">
        <v>709.55</v>
      </c>
      <c r="I275" s="776"/>
      <c r="J275" s="784"/>
      <c r="K275" s="775">
        <v>896.07</v>
      </c>
      <c r="L275" s="776"/>
      <c r="M275" s="784"/>
      <c r="N275" s="775">
        <v>437.81</v>
      </c>
      <c r="O275" s="776"/>
      <c r="P275" s="784"/>
      <c r="Q275" s="775">
        <v>369.39</v>
      </c>
      <c r="R275" s="776"/>
      <c r="S275" s="784"/>
      <c r="T275" s="775">
        <v>494.87</v>
      </c>
      <c r="U275" s="776"/>
      <c r="V275" s="784"/>
      <c r="W275" s="775">
        <v>492.53</v>
      </c>
      <c r="X275" s="776"/>
      <c r="Y275" s="784"/>
      <c r="Z275" s="775">
        <v>447.02</v>
      </c>
      <c r="AA275" s="776"/>
      <c r="AB275" s="784"/>
      <c r="AC275" s="775">
        <v>493.23</v>
      </c>
      <c r="AD275" s="776"/>
      <c r="AE275" s="784"/>
      <c r="AF275" s="775">
        <v>530.83000000000004</v>
      </c>
      <c r="AG275" s="776"/>
      <c r="AH275" s="784"/>
      <c r="AI275" s="775">
        <v>900.65</v>
      </c>
      <c r="AJ275" s="776"/>
      <c r="AK275" s="784"/>
      <c r="AL275" s="775">
        <v>976.45</v>
      </c>
      <c r="AM275" s="776"/>
      <c r="AN275" s="784"/>
      <c r="AO275" s="775">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235.89000000000001</v>
      </c>
      <c r="F277" s="747"/>
      <c r="G277" s="757"/>
      <c r="H277" s="771">
        <v>0</v>
      </c>
      <c r="I277" s="747"/>
      <c r="J277" s="757"/>
      <c r="K277" s="771">
        <v>0</v>
      </c>
      <c r="L277" s="747"/>
      <c r="M277" s="757"/>
      <c r="N277" s="771">
        <v>1.8</v>
      </c>
      <c r="O277" s="747"/>
      <c r="P277" s="757"/>
      <c r="Q277" s="771">
        <v>0</v>
      </c>
      <c r="R277" s="747"/>
      <c r="S277" s="757"/>
      <c r="T277" s="771">
        <v>0</v>
      </c>
      <c r="U277" s="747"/>
      <c r="V277" s="757"/>
      <c r="W277" s="771">
        <v>0</v>
      </c>
      <c r="X277" s="747"/>
      <c r="Y277" s="757"/>
      <c r="Z277" s="771">
        <v>0</v>
      </c>
      <c r="AA277" s="747"/>
      <c r="AB277" s="757"/>
      <c r="AC277" s="771">
        <v>0</v>
      </c>
      <c r="AD277" s="747"/>
      <c r="AE277" s="757"/>
      <c r="AF277" s="771">
        <v>30.88</v>
      </c>
      <c r="AG277" s="747"/>
      <c r="AH277" s="757"/>
      <c r="AI277" s="771">
        <v>155.99</v>
      </c>
      <c r="AJ277" s="747"/>
      <c r="AK277" s="757"/>
      <c r="AL277" s="771">
        <v>47.22</v>
      </c>
      <c r="AM277" s="747"/>
      <c r="AN277" s="757"/>
      <c r="AO277" s="771">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2072.9499999999998</v>
      </c>
      <c r="F279" s="747"/>
      <c r="G279" s="757"/>
      <c r="H279" s="771">
        <v>84.82</v>
      </c>
      <c r="I279" s="747"/>
      <c r="J279" s="757"/>
      <c r="K279" s="771">
        <v>114.38</v>
      </c>
      <c r="L279" s="747"/>
      <c r="M279" s="757"/>
      <c r="N279" s="771">
        <v>216.39</v>
      </c>
      <c r="O279" s="747"/>
      <c r="P279" s="757"/>
      <c r="Q279" s="771">
        <v>171.37</v>
      </c>
      <c r="R279" s="747"/>
      <c r="S279" s="757"/>
      <c r="T279" s="771">
        <v>117.42</v>
      </c>
      <c r="U279" s="747"/>
      <c r="V279" s="757"/>
      <c r="W279" s="771">
        <v>132.52000000000001</v>
      </c>
      <c r="X279" s="747"/>
      <c r="Y279" s="757"/>
      <c r="Z279" s="771">
        <v>104.97</v>
      </c>
      <c r="AA279" s="747"/>
      <c r="AB279" s="757"/>
      <c r="AC279" s="771">
        <v>243.74</v>
      </c>
      <c r="AD279" s="747"/>
      <c r="AE279" s="757"/>
      <c r="AF279" s="771">
        <v>150.02000000000001</v>
      </c>
      <c r="AG279" s="747"/>
      <c r="AH279" s="757"/>
      <c r="AI279" s="771">
        <v>50.07</v>
      </c>
      <c r="AJ279" s="747"/>
      <c r="AK279" s="757"/>
      <c r="AL279" s="771">
        <v>451.88</v>
      </c>
      <c r="AM279" s="747"/>
      <c r="AN279" s="757"/>
      <c r="AO279" s="771">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303.3</v>
      </c>
      <c r="F280" s="747"/>
      <c r="G280" s="757"/>
      <c r="H280" s="771">
        <v>22.74</v>
      </c>
      <c r="I280" s="747"/>
      <c r="J280" s="757"/>
      <c r="K280" s="771">
        <v>24.43</v>
      </c>
      <c r="L280" s="747"/>
      <c r="M280" s="757"/>
      <c r="N280" s="771">
        <v>21.08</v>
      </c>
      <c r="O280" s="747"/>
      <c r="P280" s="757"/>
      <c r="Q280" s="771">
        <v>21.02</v>
      </c>
      <c r="R280" s="747"/>
      <c r="S280" s="757"/>
      <c r="T280" s="771">
        <v>20.98</v>
      </c>
      <c r="U280" s="747"/>
      <c r="V280" s="757"/>
      <c r="W280" s="771">
        <v>20.98</v>
      </c>
      <c r="X280" s="747"/>
      <c r="Y280" s="757"/>
      <c r="Z280" s="771">
        <v>21.2</v>
      </c>
      <c r="AA280" s="747"/>
      <c r="AB280" s="757"/>
      <c r="AC280" s="771">
        <v>53.9</v>
      </c>
      <c r="AD280" s="747"/>
      <c r="AE280" s="757"/>
      <c r="AF280" s="771">
        <v>24.23</v>
      </c>
      <c r="AG280" s="747"/>
      <c r="AH280" s="757"/>
      <c r="AI280" s="771">
        <v>28.44</v>
      </c>
      <c r="AJ280" s="747"/>
      <c r="AK280" s="757"/>
      <c r="AL280" s="771">
        <v>23.32</v>
      </c>
      <c r="AM280" s="747"/>
      <c r="AN280" s="757"/>
      <c r="AO280" s="771">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354.88</v>
      </c>
      <c r="F281" s="747"/>
      <c r="G281" s="757"/>
      <c r="H281" s="771">
        <v>22.36</v>
      </c>
      <c r="I281" s="747"/>
      <c r="J281" s="757"/>
      <c r="K281" s="771">
        <v>19.350000000000001</v>
      </c>
      <c r="L281" s="747"/>
      <c r="M281" s="757"/>
      <c r="N281" s="771">
        <v>18.59</v>
      </c>
      <c r="O281" s="747"/>
      <c r="P281" s="757"/>
      <c r="Q281" s="771">
        <v>28.24</v>
      </c>
      <c r="R281" s="747"/>
      <c r="S281" s="757"/>
      <c r="T281" s="771">
        <v>25.29</v>
      </c>
      <c r="U281" s="747"/>
      <c r="V281" s="757"/>
      <c r="W281" s="771">
        <v>17.91</v>
      </c>
      <c r="X281" s="747"/>
      <c r="Y281" s="757"/>
      <c r="Z281" s="771">
        <v>28.46</v>
      </c>
      <c r="AA281" s="747"/>
      <c r="AB281" s="757"/>
      <c r="AC281" s="771">
        <v>22.65</v>
      </c>
      <c r="AD281" s="747"/>
      <c r="AE281" s="757"/>
      <c r="AF281" s="771">
        <v>29.2</v>
      </c>
      <c r="AG281" s="747"/>
      <c r="AH281" s="757"/>
      <c r="AI281" s="771">
        <v>55.33</v>
      </c>
      <c r="AJ281" s="747"/>
      <c r="AK281" s="757"/>
      <c r="AL281" s="771">
        <v>37.15</v>
      </c>
      <c r="AM281" s="747"/>
      <c r="AN281" s="757"/>
      <c r="AO281" s="771">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2466.3700000000003</v>
      </c>
      <c r="F282" s="747"/>
      <c r="G282" s="757"/>
      <c r="H282" s="771">
        <v>796.64</v>
      </c>
      <c r="I282" s="747"/>
      <c r="J282" s="757"/>
      <c r="K282" s="771">
        <v>1433.45</v>
      </c>
      <c r="L282" s="747"/>
      <c r="M282" s="757"/>
      <c r="N282" s="771">
        <v>14.5</v>
      </c>
      <c r="O282" s="747"/>
      <c r="P282" s="757"/>
      <c r="Q282" s="771">
        <v>25.57</v>
      </c>
      <c r="R282" s="747"/>
      <c r="S282" s="757"/>
      <c r="T282" s="771">
        <v>17.18</v>
      </c>
      <c r="U282" s="747"/>
      <c r="V282" s="757"/>
      <c r="W282" s="771">
        <v>24.36</v>
      </c>
      <c r="X282" s="747"/>
      <c r="Y282" s="757"/>
      <c r="Z282" s="771">
        <v>16.940000000000001</v>
      </c>
      <c r="AA282" s="747"/>
      <c r="AB282" s="757"/>
      <c r="AC282" s="771">
        <v>24.65</v>
      </c>
      <c r="AD282" s="747"/>
      <c r="AE282" s="757"/>
      <c r="AF282" s="771">
        <v>43.73</v>
      </c>
      <c r="AG282" s="747"/>
      <c r="AH282" s="757"/>
      <c r="AI282" s="771">
        <v>26.25</v>
      </c>
      <c r="AJ282" s="747"/>
      <c r="AK282" s="757"/>
      <c r="AL282" s="771">
        <v>22.49</v>
      </c>
      <c r="AM282" s="747"/>
      <c r="AN282" s="757"/>
      <c r="AO282" s="771">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6840.78</v>
      </c>
      <c r="F283" s="747"/>
      <c r="G283" s="757"/>
      <c r="H283" s="771">
        <v>153.18</v>
      </c>
      <c r="I283" s="747"/>
      <c r="J283" s="757"/>
      <c r="K283" s="771">
        <v>105.68</v>
      </c>
      <c r="L283" s="747"/>
      <c r="M283" s="757"/>
      <c r="N283" s="771">
        <v>515.98</v>
      </c>
      <c r="O283" s="747"/>
      <c r="P283" s="757"/>
      <c r="Q283" s="771">
        <v>122.21</v>
      </c>
      <c r="R283" s="747"/>
      <c r="S283" s="757"/>
      <c r="T283" s="771">
        <v>1039.3800000000001</v>
      </c>
      <c r="U283" s="747"/>
      <c r="V283" s="757"/>
      <c r="W283" s="771">
        <v>272.94</v>
      </c>
      <c r="X283" s="747"/>
      <c r="Y283" s="757"/>
      <c r="Z283" s="771">
        <v>22.33</v>
      </c>
      <c r="AA283" s="747"/>
      <c r="AB283" s="757"/>
      <c r="AC283" s="771">
        <v>2627.11</v>
      </c>
      <c r="AD283" s="747"/>
      <c r="AE283" s="757"/>
      <c r="AF283" s="771">
        <v>1851.77</v>
      </c>
      <c r="AG283" s="747"/>
      <c r="AH283" s="757"/>
      <c r="AI283" s="771">
        <v>18.91</v>
      </c>
      <c r="AJ283" s="747"/>
      <c r="AK283" s="757"/>
      <c r="AL283" s="771">
        <v>92.33</v>
      </c>
      <c r="AM283" s="747"/>
      <c r="AN283" s="757"/>
      <c r="AO283" s="771">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2349.1699999999996</v>
      </c>
      <c r="F284" s="747"/>
      <c r="G284" s="757"/>
      <c r="H284" s="771">
        <v>174.54</v>
      </c>
      <c r="I284" s="747"/>
      <c r="J284" s="757"/>
      <c r="K284" s="771">
        <v>137.97</v>
      </c>
      <c r="L284" s="747"/>
      <c r="M284" s="757"/>
      <c r="N284" s="771">
        <v>19.84</v>
      </c>
      <c r="O284" s="747"/>
      <c r="P284" s="757"/>
      <c r="Q284" s="771">
        <v>168.09</v>
      </c>
      <c r="R284" s="747"/>
      <c r="S284" s="757"/>
      <c r="T284" s="771">
        <v>429.56</v>
      </c>
      <c r="U284" s="747"/>
      <c r="V284" s="757"/>
      <c r="W284" s="771">
        <v>196.51</v>
      </c>
      <c r="X284" s="747"/>
      <c r="Y284" s="757"/>
      <c r="Z284" s="771">
        <v>189.25</v>
      </c>
      <c r="AA284" s="747"/>
      <c r="AB284" s="757"/>
      <c r="AC284" s="771">
        <v>147.77000000000001</v>
      </c>
      <c r="AD284" s="747"/>
      <c r="AE284" s="757"/>
      <c r="AF284" s="771">
        <v>200.2</v>
      </c>
      <c r="AG284" s="747"/>
      <c r="AH284" s="757"/>
      <c r="AI284" s="771">
        <v>222.59</v>
      </c>
      <c r="AJ284" s="747"/>
      <c r="AK284" s="757"/>
      <c r="AL284" s="771">
        <v>284.70999999999998</v>
      </c>
      <c r="AM284" s="747"/>
      <c r="AN284" s="757"/>
      <c r="AO284" s="771">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71108.990000000005</v>
      </c>
      <c r="F288" s="790" t="s">
        <v>119</v>
      </c>
      <c r="G288" s="791">
        <v>0</v>
      </c>
      <c r="H288" s="792">
        <v>3869.2699999999995</v>
      </c>
      <c r="I288" s="790" t="s">
        <v>119</v>
      </c>
      <c r="J288" s="791">
        <v>0</v>
      </c>
      <c r="K288" s="792">
        <v>5985.2800000000007</v>
      </c>
      <c r="L288" s="790" t="s">
        <v>119</v>
      </c>
      <c r="M288" s="791">
        <v>0</v>
      </c>
      <c r="N288" s="792">
        <v>2324.0100000000002</v>
      </c>
      <c r="O288" s="790" t="s">
        <v>119</v>
      </c>
      <c r="P288" s="791">
        <v>0</v>
      </c>
      <c r="Q288" s="792">
        <v>4530.79</v>
      </c>
      <c r="R288" s="790" t="s">
        <v>119</v>
      </c>
      <c r="S288" s="791">
        <v>0</v>
      </c>
      <c r="T288" s="792">
        <v>7229.66</v>
      </c>
      <c r="U288" s="790" t="s">
        <v>119</v>
      </c>
      <c r="V288" s="791">
        <v>0</v>
      </c>
      <c r="W288" s="792">
        <v>6917.4999999999991</v>
      </c>
      <c r="X288" s="790" t="s">
        <v>119</v>
      </c>
      <c r="Y288" s="791">
        <v>0</v>
      </c>
      <c r="Z288" s="792">
        <v>3649.2399999999993</v>
      </c>
      <c r="AA288" s="790" t="s">
        <v>119</v>
      </c>
      <c r="AB288" s="791">
        <v>0</v>
      </c>
      <c r="AC288" s="792">
        <v>7522.2099999999991</v>
      </c>
      <c r="AD288" s="790" t="s">
        <v>119</v>
      </c>
      <c r="AE288" s="791">
        <v>0</v>
      </c>
      <c r="AF288" s="792">
        <v>8570.98</v>
      </c>
      <c r="AG288" s="790" t="s">
        <v>119</v>
      </c>
      <c r="AH288" s="791">
        <v>0</v>
      </c>
      <c r="AI288" s="792">
        <v>9022.2900000000009</v>
      </c>
      <c r="AJ288" s="790" t="s">
        <v>119</v>
      </c>
      <c r="AK288" s="791">
        <v>0</v>
      </c>
      <c r="AL288" s="792">
        <v>8237.1899999999987</v>
      </c>
      <c r="AM288" s="790" t="s">
        <v>119</v>
      </c>
      <c r="AN288" s="791">
        <v>0</v>
      </c>
      <c r="AO288" s="792">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160353.54999999999</v>
      </c>
      <c r="F290" s="777" t="s">
        <v>119</v>
      </c>
      <c r="G290" s="815">
        <v>0</v>
      </c>
      <c r="H290" s="789">
        <v>12156.150000000001</v>
      </c>
      <c r="I290" s="777" t="s">
        <v>119</v>
      </c>
      <c r="J290" s="815">
        <v>0</v>
      </c>
      <c r="K290" s="789">
        <v>14473.630000000001</v>
      </c>
      <c r="L290" s="777" t="s">
        <v>119</v>
      </c>
      <c r="M290" s="815">
        <v>0</v>
      </c>
      <c r="N290" s="789">
        <v>9502.9900000000016</v>
      </c>
      <c r="O290" s="777" t="s">
        <v>119</v>
      </c>
      <c r="P290" s="815">
        <v>0</v>
      </c>
      <c r="Q290" s="789">
        <v>8657.0499999999993</v>
      </c>
      <c r="R290" s="777" t="s">
        <v>119</v>
      </c>
      <c r="S290" s="815">
        <v>0</v>
      </c>
      <c r="T290" s="789">
        <v>14805.199999999999</v>
      </c>
      <c r="U290" s="777" t="s">
        <v>119</v>
      </c>
      <c r="V290" s="815">
        <v>0</v>
      </c>
      <c r="W290" s="789">
        <v>14953.609999999999</v>
      </c>
      <c r="X290" s="777" t="s">
        <v>119</v>
      </c>
      <c r="Y290" s="815">
        <v>0</v>
      </c>
      <c r="Z290" s="789">
        <v>10750.68</v>
      </c>
      <c r="AA290" s="777" t="s">
        <v>119</v>
      </c>
      <c r="AB290" s="815">
        <v>0</v>
      </c>
      <c r="AC290" s="789">
        <v>15776.259999999998</v>
      </c>
      <c r="AD290" s="777" t="s">
        <v>119</v>
      </c>
      <c r="AE290" s="815">
        <v>0</v>
      </c>
      <c r="AF290" s="789">
        <v>14770.220000000001</v>
      </c>
      <c r="AG290" s="777" t="s">
        <v>119</v>
      </c>
      <c r="AH290" s="815">
        <v>0</v>
      </c>
      <c r="AI290" s="789">
        <v>16180.36</v>
      </c>
      <c r="AJ290" s="777" t="s">
        <v>119</v>
      </c>
      <c r="AK290" s="815">
        <v>0</v>
      </c>
      <c r="AL290" s="789">
        <v>15854.399999999998</v>
      </c>
      <c r="AM290" s="777" t="s">
        <v>119</v>
      </c>
      <c r="AN290" s="815">
        <v>0</v>
      </c>
      <c r="AO290" s="789">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26114.049999999523</v>
      </c>
      <c r="F292" s="816"/>
      <c r="G292" s="817"/>
      <c r="H292" s="798">
        <v>16240.7399999999</v>
      </c>
      <c r="I292" s="816"/>
      <c r="J292" s="817"/>
      <c r="K292" s="798">
        <v>-2051.7300000000014</v>
      </c>
      <c r="L292" s="816"/>
      <c r="M292" s="817"/>
      <c r="N292" s="798">
        <v>3601.0599999999977</v>
      </c>
      <c r="O292" s="816"/>
      <c r="P292" s="817"/>
      <c r="Q292" s="798">
        <v>-1724.7099999999991</v>
      </c>
      <c r="R292" s="816"/>
      <c r="S292" s="817"/>
      <c r="T292" s="798">
        <v>7749.7900000000027</v>
      </c>
      <c r="U292" s="816"/>
      <c r="V292" s="817"/>
      <c r="W292" s="798">
        <v>-2286.6099999999988</v>
      </c>
      <c r="X292" s="816"/>
      <c r="Y292" s="817"/>
      <c r="Z292" s="798">
        <v>12395.979999999901</v>
      </c>
      <c r="AA292" s="816"/>
      <c r="AB292" s="817"/>
      <c r="AC292" s="798">
        <v>11220.069999999901</v>
      </c>
      <c r="AD292" s="816"/>
      <c r="AE292" s="817"/>
      <c r="AF292" s="798">
        <v>-6914.6600000000108</v>
      </c>
      <c r="AG292" s="816"/>
      <c r="AH292" s="817"/>
      <c r="AI292" s="798">
        <v>365.00999999990017</v>
      </c>
      <c r="AJ292" s="816"/>
      <c r="AK292" s="817"/>
      <c r="AL292" s="798">
        <v>-4223.8700000000972</v>
      </c>
      <c r="AM292" s="816"/>
      <c r="AN292" s="817"/>
      <c r="AO292" s="798">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3870</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2023</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1192011.8199999998</v>
      </c>
      <c r="D298" s="813">
        <v>0.34520734869894132</v>
      </c>
      <c r="E298" s="758">
        <v>411491.23999999964</v>
      </c>
      <c r="F298" s="820">
        <v>82311.17</v>
      </c>
      <c r="G298" s="813">
        <v>0.34057018020761826</v>
      </c>
      <c r="H298" s="771">
        <v>28032.729999999901</v>
      </c>
      <c r="I298" s="820">
        <v>64598.619999999901</v>
      </c>
      <c r="J298" s="813">
        <v>0.36178280588656592</v>
      </c>
      <c r="K298" s="771">
        <v>23370.67</v>
      </c>
      <c r="L298" s="820">
        <v>73697.440000000002</v>
      </c>
      <c r="M298" s="813">
        <v>0.34372700055795696</v>
      </c>
      <c r="N298" s="771">
        <v>25331.8</v>
      </c>
      <c r="O298" s="820">
        <v>103800.09</v>
      </c>
      <c r="P298" s="813">
        <v>0.31221562524656771</v>
      </c>
      <c r="Q298" s="771">
        <v>32408.01</v>
      </c>
      <c r="R298" s="820">
        <v>117803.88</v>
      </c>
      <c r="S298" s="813">
        <v>0.34810296570876947</v>
      </c>
      <c r="T298" s="771">
        <v>41007.879999999997</v>
      </c>
      <c r="U298" s="820">
        <v>105150.77</v>
      </c>
      <c r="V298" s="813">
        <v>0.35954544127446714</v>
      </c>
      <c r="W298" s="771">
        <v>37806.480000000003</v>
      </c>
      <c r="X298" s="820">
        <v>99369.709999999905</v>
      </c>
      <c r="Y298" s="813">
        <v>0.32475731286727044</v>
      </c>
      <c r="Z298" s="771">
        <v>32271.039999999899</v>
      </c>
      <c r="AA298" s="820">
        <v>111273.11</v>
      </c>
      <c r="AB298" s="813">
        <v>0.33089953179164222</v>
      </c>
      <c r="AC298" s="771">
        <v>36820.219999999899</v>
      </c>
      <c r="AD298" s="820">
        <v>89538.52</v>
      </c>
      <c r="AE298" s="813">
        <v>0.36544048304573268</v>
      </c>
      <c r="AF298" s="771">
        <v>32721</v>
      </c>
      <c r="AG298" s="820">
        <v>107277.3</v>
      </c>
      <c r="AH298" s="813">
        <v>0.33880280357540687</v>
      </c>
      <c r="AI298" s="771">
        <v>36345.85</v>
      </c>
      <c r="AJ298" s="820">
        <v>133780.1</v>
      </c>
      <c r="AK298" s="813">
        <v>0.36223406919265272</v>
      </c>
      <c r="AL298" s="771">
        <v>48459.71</v>
      </c>
      <c r="AM298" s="820">
        <v>103411.11</v>
      </c>
      <c r="AN298" s="813">
        <v>0.35698146939917769</v>
      </c>
      <c r="AO298" s="771">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491488.82999999978</v>
      </c>
      <c r="D299" s="813">
        <v>0.26848209347911273</v>
      </c>
      <c r="E299" s="758">
        <v>131955.94999999969</v>
      </c>
      <c r="F299" s="820">
        <v>59143.06</v>
      </c>
      <c r="G299" s="813">
        <v>0.26266733577870172</v>
      </c>
      <c r="H299" s="771">
        <v>15534.949999999901</v>
      </c>
      <c r="I299" s="820">
        <v>50449.97</v>
      </c>
      <c r="J299" s="813">
        <v>0.25000589693115777</v>
      </c>
      <c r="K299" s="771">
        <v>12612.79</v>
      </c>
      <c r="L299" s="820">
        <v>57480.79</v>
      </c>
      <c r="M299" s="813">
        <v>0.23446041712370341</v>
      </c>
      <c r="N299" s="771">
        <v>13476.97</v>
      </c>
      <c r="O299" s="820">
        <v>10030.48</v>
      </c>
      <c r="P299" s="813">
        <v>0.32753666823521804</v>
      </c>
      <c r="Q299" s="771">
        <v>3285.3499999999899</v>
      </c>
      <c r="R299" s="820">
        <v>41761.039999999899</v>
      </c>
      <c r="S299" s="813">
        <v>0.29395244946006927</v>
      </c>
      <c r="T299" s="771">
        <v>12275.7599999999</v>
      </c>
      <c r="U299" s="820">
        <v>37089.9399999999</v>
      </c>
      <c r="V299" s="813">
        <v>0.27931913613232934</v>
      </c>
      <c r="W299" s="771">
        <v>10359.9299999999</v>
      </c>
      <c r="X299" s="820">
        <v>50553.47</v>
      </c>
      <c r="Y299" s="813">
        <v>0.28681235927029342</v>
      </c>
      <c r="Z299" s="771">
        <v>14499.36</v>
      </c>
      <c r="AA299" s="820">
        <v>60727.46</v>
      </c>
      <c r="AB299" s="813">
        <v>0.27616501661686493</v>
      </c>
      <c r="AC299" s="771">
        <v>16770.8</v>
      </c>
      <c r="AD299" s="820">
        <v>23887.27</v>
      </c>
      <c r="AE299" s="813">
        <v>0.30739469181702217</v>
      </c>
      <c r="AF299" s="771">
        <v>7342.82</v>
      </c>
      <c r="AG299" s="820">
        <v>40000.519999999997</v>
      </c>
      <c r="AH299" s="813">
        <v>0.26120960427514445</v>
      </c>
      <c r="AI299" s="771">
        <v>10448.52</v>
      </c>
      <c r="AJ299" s="820">
        <v>36556.910000000003</v>
      </c>
      <c r="AK299" s="813">
        <v>0.24894773655650873</v>
      </c>
      <c r="AL299" s="771">
        <v>9100.76</v>
      </c>
      <c r="AM299" s="820">
        <v>23807.919999999998</v>
      </c>
      <c r="AN299" s="813">
        <v>0.26243115736275996</v>
      </c>
      <c r="AO299" s="771">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511332.57000000007</v>
      </c>
      <c r="D300" s="813">
        <v>0.23452922234153767</v>
      </c>
      <c r="E300" s="758">
        <v>119922.42999999989</v>
      </c>
      <c r="F300" s="820">
        <v>33190.080000000002</v>
      </c>
      <c r="G300" s="813">
        <v>0.25104157627821322</v>
      </c>
      <c r="H300" s="771">
        <v>8332.09</v>
      </c>
      <c r="I300" s="820">
        <v>39666.25</v>
      </c>
      <c r="J300" s="813">
        <v>0.23944638073929322</v>
      </c>
      <c r="K300" s="771">
        <v>9497.9399999999896</v>
      </c>
      <c r="L300" s="820">
        <v>26875.99</v>
      </c>
      <c r="M300" s="813">
        <v>0.25785617571668989</v>
      </c>
      <c r="N300" s="771">
        <v>6930.14</v>
      </c>
      <c r="O300" s="820">
        <v>50247.839999999997</v>
      </c>
      <c r="P300" s="813">
        <v>0.24430383475189979</v>
      </c>
      <c r="Q300" s="771">
        <v>12275.7399999999</v>
      </c>
      <c r="R300" s="820">
        <v>17870.95</v>
      </c>
      <c r="S300" s="813">
        <v>0.23867169904230048</v>
      </c>
      <c r="T300" s="771">
        <v>4265.29</v>
      </c>
      <c r="U300" s="820">
        <v>21374.01</v>
      </c>
      <c r="V300" s="813">
        <v>0.24063102805697154</v>
      </c>
      <c r="W300" s="771">
        <v>5143.24999999999</v>
      </c>
      <c r="X300" s="820">
        <v>47223.46</v>
      </c>
      <c r="Y300" s="813">
        <v>0.2315844709388088</v>
      </c>
      <c r="Z300" s="771">
        <v>10936.22</v>
      </c>
      <c r="AA300" s="820">
        <v>81262.460000000006</v>
      </c>
      <c r="AB300" s="813">
        <v>0.23106524217947622</v>
      </c>
      <c r="AC300" s="771">
        <v>18776.93</v>
      </c>
      <c r="AD300" s="820">
        <v>58707.55</v>
      </c>
      <c r="AE300" s="813">
        <v>0.2316078596364522</v>
      </c>
      <c r="AF300" s="771">
        <v>13597.13</v>
      </c>
      <c r="AG300" s="820">
        <v>40743.97</v>
      </c>
      <c r="AH300" s="813">
        <v>0.25411318533760946</v>
      </c>
      <c r="AI300" s="771">
        <v>10353.58</v>
      </c>
      <c r="AJ300" s="820">
        <v>27809.93</v>
      </c>
      <c r="AK300" s="813">
        <v>0.1430377566574238</v>
      </c>
      <c r="AL300" s="771">
        <v>3977.8699999999899</v>
      </c>
      <c r="AM300" s="820">
        <v>66360.08</v>
      </c>
      <c r="AN300" s="813">
        <v>0.23864121321131621</v>
      </c>
      <c r="AO300" s="771">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481751.80000000005</v>
      </c>
      <c r="D301" s="813">
        <v>0.30924150153668339</v>
      </c>
      <c r="E301" s="758">
        <v>148977.65</v>
      </c>
      <c r="F301" s="820">
        <v>28194.25</v>
      </c>
      <c r="G301" s="813">
        <v>0.32791934525656791</v>
      </c>
      <c r="H301" s="771">
        <v>9245.4399999999896</v>
      </c>
      <c r="I301" s="820">
        <v>28846.63</v>
      </c>
      <c r="J301" s="813">
        <v>0.30991592432114257</v>
      </c>
      <c r="K301" s="771">
        <v>8940.0300000000007</v>
      </c>
      <c r="L301" s="820">
        <v>32999.22</v>
      </c>
      <c r="M301" s="813">
        <v>0.29415968013789418</v>
      </c>
      <c r="N301" s="771">
        <v>9707.0400000000009</v>
      </c>
      <c r="O301" s="820">
        <v>24960.95</v>
      </c>
      <c r="P301" s="813">
        <v>0.31938207480083891</v>
      </c>
      <c r="Q301" s="771">
        <v>7972.08</v>
      </c>
      <c r="R301" s="820">
        <v>35439.96</v>
      </c>
      <c r="S301" s="813">
        <v>0.34078368034275436</v>
      </c>
      <c r="T301" s="771">
        <v>12077.36</v>
      </c>
      <c r="U301" s="820">
        <v>33715.69</v>
      </c>
      <c r="V301" s="813">
        <v>0.30651308040855751</v>
      </c>
      <c r="W301" s="771">
        <v>10334.299999999999</v>
      </c>
      <c r="X301" s="820">
        <v>49052.26</v>
      </c>
      <c r="Y301" s="813">
        <v>0.31003097512734373</v>
      </c>
      <c r="Z301" s="771">
        <v>15207.72</v>
      </c>
      <c r="AA301" s="820">
        <v>35747.19</v>
      </c>
      <c r="AB301" s="813">
        <v>0.33819749188677489</v>
      </c>
      <c r="AC301" s="771">
        <v>12089.61</v>
      </c>
      <c r="AD301" s="820">
        <v>47172.79</v>
      </c>
      <c r="AE301" s="813">
        <v>0.32062678505977704</v>
      </c>
      <c r="AF301" s="771">
        <v>15124.86</v>
      </c>
      <c r="AG301" s="820">
        <v>56008.65</v>
      </c>
      <c r="AH301" s="813">
        <v>0.29652598304011968</v>
      </c>
      <c r="AI301" s="771">
        <v>16608.02</v>
      </c>
      <c r="AJ301" s="820">
        <v>67622.210000000006</v>
      </c>
      <c r="AK301" s="813">
        <v>0.28324288721116919</v>
      </c>
      <c r="AL301" s="771">
        <v>19153.509999999998</v>
      </c>
      <c r="AM301" s="820">
        <v>41992</v>
      </c>
      <c r="AN301" s="813">
        <v>0.29809678033911224</v>
      </c>
      <c r="AO301" s="771">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207516.24000000002</v>
      </c>
      <c r="D302" s="813">
        <v>0.25799672353354103</v>
      </c>
      <c r="E302" s="758">
        <v>53538.509999999958</v>
      </c>
      <c r="F302" s="820">
        <v>17577.66</v>
      </c>
      <c r="G302" s="813">
        <v>0.30386240261786834</v>
      </c>
      <c r="H302" s="771">
        <v>5341.19</v>
      </c>
      <c r="I302" s="820">
        <v>16153.13</v>
      </c>
      <c r="J302" s="813">
        <v>0.26057859993697818</v>
      </c>
      <c r="K302" s="771">
        <v>4209.16</v>
      </c>
      <c r="L302" s="820">
        <v>21105.759999999998</v>
      </c>
      <c r="M302" s="813">
        <v>0.24661135159311914</v>
      </c>
      <c r="N302" s="771">
        <v>5204.9199999999901</v>
      </c>
      <c r="O302" s="820">
        <v>19409.09</v>
      </c>
      <c r="P302" s="813">
        <v>0.26700582046865673</v>
      </c>
      <c r="Q302" s="771">
        <v>5182.34</v>
      </c>
      <c r="R302" s="820">
        <v>18968.09</v>
      </c>
      <c r="S302" s="813">
        <v>0.26662357675443338</v>
      </c>
      <c r="T302" s="771">
        <v>5057.34</v>
      </c>
      <c r="U302" s="820">
        <v>14407.53</v>
      </c>
      <c r="V302" s="813">
        <v>0.28317553390484002</v>
      </c>
      <c r="W302" s="771">
        <v>4079.86</v>
      </c>
      <c r="X302" s="820">
        <v>18843.27</v>
      </c>
      <c r="Y302" s="813">
        <v>0.21975909701447782</v>
      </c>
      <c r="Z302" s="771">
        <v>4140.9799999999996</v>
      </c>
      <c r="AA302" s="820">
        <v>13071.21</v>
      </c>
      <c r="AB302" s="813">
        <v>0.2633015612173617</v>
      </c>
      <c r="AC302" s="771">
        <v>3441.6699999999901</v>
      </c>
      <c r="AD302" s="820">
        <v>14154.98</v>
      </c>
      <c r="AE302" s="813">
        <v>0.26499154361221211</v>
      </c>
      <c r="AF302" s="771">
        <v>3750.9499999999898</v>
      </c>
      <c r="AG302" s="820">
        <v>16941.57</v>
      </c>
      <c r="AH302" s="813">
        <v>0.22296929977564003</v>
      </c>
      <c r="AI302" s="771">
        <v>3777.4499999999898</v>
      </c>
      <c r="AJ302" s="820">
        <v>22817.25</v>
      </c>
      <c r="AK302" s="813">
        <v>0.23199027051901522</v>
      </c>
      <c r="AL302" s="771">
        <v>5293.38</v>
      </c>
      <c r="AM302" s="820">
        <v>14066.7</v>
      </c>
      <c r="AN302" s="813">
        <v>0.28857301286015907</v>
      </c>
      <c r="AO302" s="771">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1486540.9599999997</v>
      </c>
      <c r="D303" s="813">
        <v>0.17803058046917147</v>
      </c>
      <c r="E303" s="758">
        <v>264649.74999999936</v>
      </c>
      <c r="F303" s="820">
        <v>126239.13</v>
      </c>
      <c r="G303" s="813">
        <v>0.18811694915831564</v>
      </c>
      <c r="H303" s="771">
        <v>23747.72</v>
      </c>
      <c r="I303" s="820">
        <v>124967.5</v>
      </c>
      <c r="J303" s="813">
        <v>0.19190637565767019</v>
      </c>
      <c r="K303" s="771">
        <v>23982.059999999899</v>
      </c>
      <c r="L303" s="820">
        <v>145372.95000000001</v>
      </c>
      <c r="M303" s="813">
        <v>0.1869029279518645</v>
      </c>
      <c r="N303" s="771">
        <v>27170.63</v>
      </c>
      <c r="O303" s="820">
        <v>110639.22</v>
      </c>
      <c r="P303" s="813">
        <v>0.1786696435495469</v>
      </c>
      <c r="Q303" s="771">
        <v>19767.869999999901</v>
      </c>
      <c r="R303" s="820">
        <v>131455.94</v>
      </c>
      <c r="S303" s="813">
        <v>0.18220355808950134</v>
      </c>
      <c r="T303" s="771">
        <v>23951.74</v>
      </c>
      <c r="U303" s="820">
        <v>105345.60000000001</v>
      </c>
      <c r="V303" s="813">
        <v>0.18486533846691269</v>
      </c>
      <c r="W303" s="771">
        <v>19474.75</v>
      </c>
      <c r="X303" s="820">
        <v>133684.29999999999</v>
      </c>
      <c r="Y303" s="813">
        <v>0.18301662947705827</v>
      </c>
      <c r="Z303" s="771">
        <v>24466.449999999899</v>
      </c>
      <c r="AA303" s="820">
        <v>114010.97</v>
      </c>
      <c r="AB303" s="813">
        <v>0.18489790938538633</v>
      </c>
      <c r="AC303" s="771">
        <v>21080.39</v>
      </c>
      <c r="AD303" s="820">
        <v>124254.39</v>
      </c>
      <c r="AE303" s="813">
        <v>0.17551951283169875</v>
      </c>
      <c r="AF303" s="771">
        <v>21809.069999999901</v>
      </c>
      <c r="AG303" s="820">
        <v>137780.70000000001</v>
      </c>
      <c r="AH303" s="813">
        <v>0.16951067892672919</v>
      </c>
      <c r="AI303" s="771">
        <v>23355.3</v>
      </c>
      <c r="AJ303" s="820">
        <v>123520.37</v>
      </c>
      <c r="AK303" s="813">
        <v>0.17072520103364247</v>
      </c>
      <c r="AL303" s="771">
        <v>21088.039999999899</v>
      </c>
      <c r="AM303" s="820">
        <v>109269.89</v>
      </c>
      <c r="AN303" s="813">
        <v>0.13503930497230207</v>
      </c>
      <c r="AO303" s="771">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107117.11999999988</v>
      </c>
      <c r="F305" s="820">
        <v>0</v>
      </c>
      <c r="G305" s="813">
        <v>0</v>
      </c>
      <c r="H305" s="771">
        <v>5742.52</v>
      </c>
      <c r="I305" s="820">
        <v>0</v>
      </c>
      <c r="J305" s="813">
        <v>0</v>
      </c>
      <c r="K305" s="771">
        <v>7516.7999999999902</v>
      </c>
      <c r="L305" s="820">
        <v>0</v>
      </c>
      <c r="M305" s="813">
        <v>0</v>
      </c>
      <c r="N305" s="771">
        <v>9182.9</v>
      </c>
      <c r="O305" s="820">
        <v>0</v>
      </c>
      <c r="P305" s="813">
        <v>0</v>
      </c>
      <c r="Q305" s="771">
        <v>13912.76</v>
      </c>
      <c r="R305" s="820">
        <v>0</v>
      </c>
      <c r="S305" s="813">
        <v>0</v>
      </c>
      <c r="T305" s="771">
        <v>8490.4599999999991</v>
      </c>
      <c r="U305" s="820">
        <v>0</v>
      </c>
      <c r="V305" s="813">
        <v>0</v>
      </c>
      <c r="W305" s="771">
        <v>7973.19</v>
      </c>
      <c r="X305" s="820">
        <v>0</v>
      </c>
      <c r="Y305" s="813">
        <v>0</v>
      </c>
      <c r="Z305" s="771">
        <v>7131.57</v>
      </c>
      <c r="AA305" s="820">
        <v>0</v>
      </c>
      <c r="AB305" s="813">
        <v>0</v>
      </c>
      <c r="AC305" s="771">
        <v>4366.2299999999996</v>
      </c>
      <c r="AD305" s="820">
        <v>0</v>
      </c>
      <c r="AE305" s="813">
        <v>0</v>
      </c>
      <c r="AF305" s="771">
        <v>8499.4599999999991</v>
      </c>
      <c r="AG305" s="820">
        <v>0</v>
      </c>
      <c r="AH305" s="813">
        <v>0</v>
      </c>
      <c r="AI305" s="771">
        <v>5777.25</v>
      </c>
      <c r="AJ305" s="820">
        <v>0</v>
      </c>
      <c r="AK305" s="813">
        <v>0</v>
      </c>
      <c r="AL305" s="771">
        <v>18021.03</v>
      </c>
      <c r="AM305" s="820">
        <v>0</v>
      </c>
      <c r="AN305" s="813">
        <v>0</v>
      </c>
      <c r="AO305" s="771">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4370642.22</v>
      </c>
      <c r="D307" s="854">
        <v>0.28317409380628705</v>
      </c>
      <c r="E307" s="855">
        <v>1237652.6499999985</v>
      </c>
      <c r="F307" s="853">
        <v>346655.35</v>
      </c>
      <c r="G307" s="854">
        <v>0.27686473034384096</v>
      </c>
      <c r="H307" s="855">
        <v>95976.639999999796</v>
      </c>
      <c r="I307" s="853">
        <v>324682.09999999992</v>
      </c>
      <c r="J307" s="854">
        <v>0.2775929131910872</v>
      </c>
      <c r="K307" s="855">
        <v>90129.449999999866</v>
      </c>
      <c r="L307" s="853">
        <v>357532.15</v>
      </c>
      <c r="M307" s="854">
        <v>0.27131657950201116</v>
      </c>
      <c r="N307" s="855">
        <v>97004.39999999998</v>
      </c>
      <c r="O307" s="853">
        <v>319087.67</v>
      </c>
      <c r="P307" s="854">
        <v>0.29711003875517905</v>
      </c>
      <c r="Q307" s="855">
        <v>94804.149999999776</v>
      </c>
      <c r="R307" s="853">
        <v>363299.85999999987</v>
      </c>
      <c r="S307" s="854">
        <v>0.29486889975680125</v>
      </c>
      <c r="T307" s="855">
        <v>107125.8299999999</v>
      </c>
      <c r="U307" s="853">
        <v>317083.53999999992</v>
      </c>
      <c r="V307" s="854">
        <v>0.30014727349139575</v>
      </c>
      <c r="W307" s="855">
        <v>95171.759999999893</v>
      </c>
      <c r="X307" s="853">
        <v>398726.46999999991</v>
      </c>
      <c r="Y307" s="854">
        <v>0.27250094532224012</v>
      </c>
      <c r="Z307" s="855">
        <v>108653.33999999979</v>
      </c>
      <c r="AA307" s="853">
        <v>416092.4</v>
      </c>
      <c r="AB307" s="854">
        <v>0.27240548012893256</v>
      </c>
      <c r="AC307" s="855">
        <v>113345.84999999987</v>
      </c>
      <c r="AD307" s="853">
        <v>357715.50000000006</v>
      </c>
      <c r="AE307" s="854">
        <v>0.28750582515993822</v>
      </c>
      <c r="AF307" s="855">
        <v>102845.28999999989</v>
      </c>
      <c r="AG307" s="853">
        <v>398752.71</v>
      </c>
      <c r="AH307" s="854">
        <v>0.26749904721650664</v>
      </c>
      <c r="AI307" s="855">
        <v>106665.96999999999</v>
      </c>
      <c r="AJ307" s="853">
        <v>412106.77</v>
      </c>
      <c r="AK307" s="854">
        <v>0.30354827706421783</v>
      </c>
      <c r="AL307" s="855">
        <v>125094.2999999999</v>
      </c>
      <c r="AM307" s="853">
        <v>358907.7</v>
      </c>
      <c r="AN307" s="854">
        <v>0.28095153712221776</v>
      </c>
      <c r="AO307" s="855">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553066.79999999993</v>
      </c>
      <c r="D310" s="813">
        <v>0.17961251696901703</v>
      </c>
      <c r="E310" s="758">
        <v>99337.719999999943</v>
      </c>
      <c r="F310" s="820">
        <v>30592.2399999999</v>
      </c>
      <c r="G310" s="813">
        <v>0.19904818999850976</v>
      </c>
      <c r="H310" s="771">
        <v>6089.3299999999899</v>
      </c>
      <c r="I310" s="820">
        <v>41997.53</v>
      </c>
      <c r="J310" s="813">
        <v>0.18267050467015536</v>
      </c>
      <c r="K310" s="771">
        <v>7671.70999999999</v>
      </c>
      <c r="L310" s="820">
        <v>41663.86</v>
      </c>
      <c r="M310" s="813">
        <v>0.16266375703067357</v>
      </c>
      <c r="N310" s="771">
        <v>6777.2</v>
      </c>
      <c r="O310" s="820">
        <v>30345.22</v>
      </c>
      <c r="P310" s="813">
        <v>0.16760069625463253</v>
      </c>
      <c r="Q310" s="771">
        <v>5085.88</v>
      </c>
      <c r="R310" s="820">
        <v>35494.959999999999</v>
      </c>
      <c r="S310" s="813">
        <v>0.19044309389276648</v>
      </c>
      <c r="T310" s="771">
        <v>6759.7699999999904</v>
      </c>
      <c r="U310" s="820">
        <v>19732.46</v>
      </c>
      <c r="V310" s="813">
        <v>0.19391348063039227</v>
      </c>
      <c r="W310" s="771">
        <v>3826.3899999999899</v>
      </c>
      <c r="X310" s="820">
        <v>17144.36</v>
      </c>
      <c r="Y310" s="813">
        <v>0.20076806599954736</v>
      </c>
      <c r="Z310" s="771">
        <v>3442.04</v>
      </c>
      <c r="AA310" s="820">
        <v>17683.11</v>
      </c>
      <c r="AB310" s="813">
        <v>0.18873094155948811</v>
      </c>
      <c r="AC310" s="771">
        <v>3337.35</v>
      </c>
      <c r="AD310" s="820">
        <v>31339.7</v>
      </c>
      <c r="AE310" s="813">
        <v>0.18025252315752832</v>
      </c>
      <c r="AF310" s="771">
        <v>5649.0599999999904</v>
      </c>
      <c r="AG310" s="820">
        <v>77932.36</v>
      </c>
      <c r="AH310" s="813">
        <v>0.1819295604547328</v>
      </c>
      <c r="AI310" s="771">
        <v>14178.2</v>
      </c>
      <c r="AJ310" s="820">
        <v>150650.59</v>
      </c>
      <c r="AK310" s="813">
        <v>0.17327439607106748</v>
      </c>
      <c r="AL310" s="771">
        <v>26103.89</v>
      </c>
      <c r="AM310" s="820">
        <v>58490.41</v>
      </c>
      <c r="AN310" s="813">
        <v>0.17809586221057433</v>
      </c>
      <c r="AO310" s="771">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268549.64999999997</v>
      </c>
      <c r="D311" s="813">
        <v>0.24732212460526376</v>
      </c>
      <c r="E311" s="758">
        <v>66418.26999999996</v>
      </c>
      <c r="F311" s="820">
        <v>19043.990000000002</v>
      </c>
      <c r="G311" s="813">
        <v>0.26548270609257829</v>
      </c>
      <c r="H311" s="771">
        <v>5055.8500000000004</v>
      </c>
      <c r="I311" s="820">
        <v>16201.81</v>
      </c>
      <c r="J311" s="813">
        <v>0.28618839500031112</v>
      </c>
      <c r="K311" s="771">
        <v>4636.7699999999904</v>
      </c>
      <c r="L311" s="820">
        <v>18457.419999999998</v>
      </c>
      <c r="M311" s="813">
        <v>0.27123400778656986</v>
      </c>
      <c r="N311" s="771">
        <v>5006.2799999999897</v>
      </c>
      <c r="O311" s="820">
        <v>23693.71</v>
      </c>
      <c r="P311" s="813">
        <v>0.25796593273066948</v>
      </c>
      <c r="Q311" s="771">
        <v>6112.1699999999901</v>
      </c>
      <c r="R311" s="820">
        <v>26037.82</v>
      </c>
      <c r="S311" s="813">
        <v>0.26885891368785869</v>
      </c>
      <c r="T311" s="771">
        <v>7000.5</v>
      </c>
      <c r="U311" s="820">
        <v>21141.68</v>
      </c>
      <c r="V311" s="813">
        <v>0.24924603910379872</v>
      </c>
      <c r="W311" s="771">
        <v>5269.48</v>
      </c>
      <c r="X311" s="820">
        <v>23063.49</v>
      </c>
      <c r="Y311" s="813">
        <v>0.25688479930834401</v>
      </c>
      <c r="Z311" s="771">
        <v>5924.66</v>
      </c>
      <c r="AA311" s="820">
        <v>19868.830000000002</v>
      </c>
      <c r="AB311" s="813">
        <v>0.22414757184997808</v>
      </c>
      <c r="AC311" s="771">
        <v>4453.55</v>
      </c>
      <c r="AD311" s="820">
        <v>19956.650000000001</v>
      </c>
      <c r="AE311" s="813">
        <v>0.21938401485219211</v>
      </c>
      <c r="AF311" s="771">
        <v>4378.17</v>
      </c>
      <c r="AG311" s="820">
        <v>26618.27</v>
      </c>
      <c r="AH311" s="813">
        <v>0.21983885504204442</v>
      </c>
      <c r="AI311" s="771">
        <v>5851.73</v>
      </c>
      <c r="AJ311" s="820">
        <v>34386.25</v>
      </c>
      <c r="AK311" s="813">
        <v>0.23183917990475844</v>
      </c>
      <c r="AL311" s="771">
        <v>7972.08</v>
      </c>
      <c r="AM311" s="820">
        <v>20079.73</v>
      </c>
      <c r="AN311" s="813">
        <v>0.2369070699655817</v>
      </c>
      <c r="AO311" s="771">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5192258.67</v>
      </c>
      <c r="D312" s="854">
        <v>0.27028866032978255</v>
      </c>
      <c r="E312" s="855">
        <v>1403408.6399999985</v>
      </c>
      <c r="F312" s="853">
        <v>396291.57999999984</v>
      </c>
      <c r="G312" s="854">
        <v>0.27031061321060579</v>
      </c>
      <c r="H312" s="855">
        <v>107121.81999999979</v>
      </c>
      <c r="I312" s="853">
        <v>382881.43999999989</v>
      </c>
      <c r="J312" s="854">
        <v>0.26754477835227497</v>
      </c>
      <c r="K312" s="855">
        <v>102437.92999999985</v>
      </c>
      <c r="L312" s="853">
        <v>417653.43</v>
      </c>
      <c r="M312" s="854">
        <v>0.2604740490219366</v>
      </c>
      <c r="N312" s="855">
        <v>108787.87999999996</v>
      </c>
      <c r="O312" s="853">
        <v>373126.60000000003</v>
      </c>
      <c r="P312" s="854">
        <v>0.28409178010894898</v>
      </c>
      <c r="Q312" s="855">
        <v>106002.19999999976</v>
      </c>
      <c r="R312" s="853">
        <v>424832.6399999999</v>
      </c>
      <c r="S312" s="854">
        <v>0.28454993476960694</v>
      </c>
      <c r="T312" s="855">
        <v>120886.09999999989</v>
      </c>
      <c r="U312" s="853">
        <v>357957.67999999993</v>
      </c>
      <c r="V312" s="854">
        <v>0.29128479657148265</v>
      </c>
      <c r="W312" s="855">
        <v>104267.62999999987</v>
      </c>
      <c r="X312" s="853">
        <v>438934.31999999989</v>
      </c>
      <c r="Y312" s="854">
        <v>0.26887858757547101</v>
      </c>
      <c r="Z312" s="855">
        <v>118020.03999999979</v>
      </c>
      <c r="AA312" s="853">
        <v>453644.34</v>
      </c>
      <c r="AB312" s="854">
        <v>0.26703022460282405</v>
      </c>
      <c r="AC312" s="855">
        <v>121136.74999999988</v>
      </c>
      <c r="AD312" s="853">
        <v>409011.85000000009</v>
      </c>
      <c r="AE312" s="854">
        <v>0.27596393600821068</v>
      </c>
      <c r="AF312" s="855">
        <v>112872.51999999989</v>
      </c>
      <c r="AG312" s="853">
        <v>503303.34</v>
      </c>
      <c r="AH312" s="854">
        <v>0.2517287089730022</v>
      </c>
      <c r="AI312" s="855">
        <v>126695.89999999998</v>
      </c>
      <c r="AJ312" s="853">
        <v>597143.61</v>
      </c>
      <c r="AK312" s="854">
        <v>0.26655274767153564</v>
      </c>
      <c r="AL312" s="855">
        <v>159170.26999999987</v>
      </c>
      <c r="AM312" s="853">
        <v>437477.83999999997</v>
      </c>
      <c r="AN312" s="854">
        <v>0.26517823165625892</v>
      </c>
      <c r="AO312" s="855">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5192258.67</v>
      </c>
      <c r="D317" s="861">
        <v>0.27028866032978255</v>
      </c>
      <c r="E317" s="761">
        <v>1403408.6399999985</v>
      </c>
      <c r="F317" s="759">
        <v>396291.57999999984</v>
      </c>
      <c r="G317" s="861">
        <v>0.27031061321060579</v>
      </c>
      <c r="H317" s="761">
        <v>107121.81999999979</v>
      </c>
      <c r="I317" s="759">
        <v>382881.43999999989</v>
      </c>
      <c r="J317" s="861">
        <v>0.26754477835227497</v>
      </c>
      <c r="K317" s="761">
        <v>102437.92999999985</v>
      </c>
      <c r="L317" s="759">
        <v>417653.43</v>
      </c>
      <c r="M317" s="861">
        <v>0.2604740490219366</v>
      </c>
      <c r="N317" s="761">
        <v>108787.87999999996</v>
      </c>
      <c r="O317" s="759">
        <v>373126.60000000003</v>
      </c>
      <c r="P317" s="861">
        <v>0.28409178010894898</v>
      </c>
      <c r="Q317" s="761">
        <v>106002.19999999976</v>
      </c>
      <c r="R317" s="759">
        <v>424832.6399999999</v>
      </c>
      <c r="S317" s="861">
        <v>0.28454993476960694</v>
      </c>
      <c r="T317" s="761">
        <v>120886.09999999989</v>
      </c>
      <c r="U317" s="759">
        <v>357957.67999999993</v>
      </c>
      <c r="V317" s="861">
        <v>0.29128479657148265</v>
      </c>
      <c r="W317" s="761">
        <v>104267.62999999987</v>
      </c>
      <c r="X317" s="759">
        <v>438934.31999999989</v>
      </c>
      <c r="Y317" s="861">
        <v>0.26887858757547101</v>
      </c>
      <c r="Z317" s="761">
        <v>118020.03999999979</v>
      </c>
      <c r="AA317" s="759">
        <v>453644.34</v>
      </c>
      <c r="AB317" s="861">
        <v>0.26703022460282405</v>
      </c>
      <c r="AC317" s="761">
        <v>121136.74999999988</v>
      </c>
      <c r="AD317" s="759">
        <v>409011.85000000009</v>
      </c>
      <c r="AE317" s="861">
        <v>0.27596393600821068</v>
      </c>
      <c r="AF317" s="761">
        <v>112872.51999999989</v>
      </c>
      <c r="AG317" s="759">
        <v>503303.34</v>
      </c>
      <c r="AH317" s="861">
        <v>0.2517287089730022</v>
      </c>
      <c r="AI317" s="761">
        <v>126695.89999999998</v>
      </c>
      <c r="AJ317" s="759">
        <v>597143.61</v>
      </c>
      <c r="AK317" s="861">
        <v>0.26655274767153564</v>
      </c>
      <c r="AL317" s="761">
        <v>159170.26999999987</v>
      </c>
      <c r="AM317" s="759">
        <v>437477.83999999997</v>
      </c>
      <c r="AN317" s="861">
        <v>0.26517823165625892</v>
      </c>
      <c r="AO317" s="761">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84682.14</v>
      </c>
      <c r="F321" s="747"/>
      <c r="G321" s="757"/>
      <c r="H321" s="771">
        <v>5210.5200000000004</v>
      </c>
      <c r="I321" s="747"/>
      <c r="J321" s="757"/>
      <c r="K321" s="771">
        <v>7237.23</v>
      </c>
      <c r="L321" s="747"/>
      <c r="M321" s="757"/>
      <c r="N321" s="771">
        <v>7222.04</v>
      </c>
      <c r="O321" s="747"/>
      <c r="P321" s="757"/>
      <c r="Q321" s="771">
        <v>6557.1</v>
      </c>
      <c r="R321" s="747"/>
      <c r="S321" s="757"/>
      <c r="T321" s="771">
        <v>6312.13</v>
      </c>
      <c r="U321" s="747"/>
      <c r="V321" s="757"/>
      <c r="W321" s="771">
        <v>7430.53</v>
      </c>
      <c r="X321" s="747"/>
      <c r="Y321" s="757"/>
      <c r="Z321" s="771">
        <v>7410.88</v>
      </c>
      <c r="AA321" s="747"/>
      <c r="AB321" s="757"/>
      <c r="AC321" s="771">
        <v>8034.1</v>
      </c>
      <c r="AD321" s="747"/>
      <c r="AE321" s="757"/>
      <c r="AF321" s="771">
        <v>3331.7</v>
      </c>
      <c r="AG321" s="747"/>
      <c r="AH321" s="757"/>
      <c r="AI321" s="771">
        <v>3701.53</v>
      </c>
      <c r="AJ321" s="747"/>
      <c r="AK321" s="757"/>
      <c r="AL321" s="771">
        <v>10881.83</v>
      </c>
      <c r="AM321" s="747"/>
      <c r="AN321" s="757"/>
      <c r="AO321" s="771">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294172.55</v>
      </c>
      <c r="F322" s="747"/>
      <c r="G322" s="757"/>
      <c r="H322" s="771">
        <v>24614.9</v>
      </c>
      <c r="I322" s="747"/>
      <c r="J322" s="757"/>
      <c r="K322" s="771">
        <v>23775.67</v>
      </c>
      <c r="L322" s="747"/>
      <c r="M322" s="757"/>
      <c r="N322" s="771">
        <v>25892.82</v>
      </c>
      <c r="O322" s="747"/>
      <c r="P322" s="757"/>
      <c r="Q322" s="771">
        <v>23228.23</v>
      </c>
      <c r="R322" s="747"/>
      <c r="S322" s="757"/>
      <c r="T322" s="771">
        <v>26693.7</v>
      </c>
      <c r="U322" s="747"/>
      <c r="V322" s="757"/>
      <c r="W322" s="771">
        <v>24203.71</v>
      </c>
      <c r="X322" s="747"/>
      <c r="Y322" s="757"/>
      <c r="Z322" s="771">
        <v>21961.89</v>
      </c>
      <c r="AA322" s="747"/>
      <c r="AB322" s="757"/>
      <c r="AC322" s="771">
        <v>19684.650000000001</v>
      </c>
      <c r="AD322" s="747"/>
      <c r="AE322" s="757"/>
      <c r="AF322" s="771">
        <v>30206.06</v>
      </c>
      <c r="AG322" s="747"/>
      <c r="AH322" s="757"/>
      <c r="AI322" s="771">
        <v>22126.37</v>
      </c>
      <c r="AJ322" s="747"/>
      <c r="AK322" s="757"/>
      <c r="AL322" s="771">
        <v>26228.09</v>
      </c>
      <c r="AM322" s="747"/>
      <c r="AN322" s="757"/>
      <c r="AO322" s="771">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15780.18</v>
      </c>
      <c r="F323" s="780"/>
      <c r="G323" s="781"/>
      <c r="H323" s="783">
        <v>1040.52</v>
      </c>
      <c r="I323" s="780"/>
      <c r="J323" s="781"/>
      <c r="K323" s="783">
        <v>113.92</v>
      </c>
      <c r="L323" s="780"/>
      <c r="M323" s="781"/>
      <c r="N323" s="783">
        <v>113.92</v>
      </c>
      <c r="O323" s="780"/>
      <c r="P323" s="781"/>
      <c r="Q323" s="783">
        <v>2573.29</v>
      </c>
      <c r="R323" s="780"/>
      <c r="S323" s="781"/>
      <c r="T323" s="783">
        <v>113.92</v>
      </c>
      <c r="U323" s="780"/>
      <c r="V323" s="781"/>
      <c r="W323" s="783">
        <v>1521.99</v>
      </c>
      <c r="X323" s="780"/>
      <c r="Y323" s="781"/>
      <c r="Z323" s="783">
        <v>248.16</v>
      </c>
      <c r="AA323" s="780"/>
      <c r="AB323" s="781"/>
      <c r="AC323" s="783">
        <v>113.92</v>
      </c>
      <c r="AD323" s="780"/>
      <c r="AE323" s="781"/>
      <c r="AF323" s="783">
        <v>2264.56</v>
      </c>
      <c r="AG323" s="780"/>
      <c r="AH323" s="781"/>
      <c r="AI323" s="783">
        <v>3676.64</v>
      </c>
      <c r="AJ323" s="780"/>
      <c r="AK323" s="781"/>
      <c r="AL323" s="783">
        <v>113.92</v>
      </c>
      <c r="AM323" s="780"/>
      <c r="AN323" s="781"/>
      <c r="AO323" s="783">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39233.490000000005</v>
      </c>
      <c r="F328" s="747"/>
      <c r="G328" s="757"/>
      <c r="H328" s="771">
        <v>4232.28</v>
      </c>
      <c r="I328" s="747"/>
      <c r="J328" s="757"/>
      <c r="K328" s="771">
        <v>2361.19</v>
      </c>
      <c r="L328" s="747"/>
      <c r="M328" s="757"/>
      <c r="N328" s="771">
        <v>4182.25</v>
      </c>
      <c r="O328" s="747"/>
      <c r="P328" s="757"/>
      <c r="Q328" s="771">
        <v>2892.89</v>
      </c>
      <c r="R328" s="747"/>
      <c r="S328" s="757"/>
      <c r="T328" s="771">
        <v>3530.61</v>
      </c>
      <c r="U328" s="747"/>
      <c r="V328" s="757"/>
      <c r="W328" s="771">
        <v>4167.74</v>
      </c>
      <c r="X328" s="747"/>
      <c r="Y328" s="757"/>
      <c r="Z328" s="771">
        <v>2525.11</v>
      </c>
      <c r="AA328" s="747"/>
      <c r="AB328" s="757"/>
      <c r="AC328" s="771">
        <v>2438.31</v>
      </c>
      <c r="AD328" s="747"/>
      <c r="AE328" s="757"/>
      <c r="AF328" s="771">
        <v>3310.7</v>
      </c>
      <c r="AG328" s="747"/>
      <c r="AH328" s="757"/>
      <c r="AI328" s="771">
        <v>3147.76</v>
      </c>
      <c r="AJ328" s="747"/>
      <c r="AK328" s="757"/>
      <c r="AL328" s="771">
        <v>2051.38</v>
      </c>
      <c r="AM328" s="747"/>
      <c r="AN328" s="757"/>
      <c r="AO328" s="771">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87918.87</v>
      </c>
      <c r="F329" s="780"/>
      <c r="G329" s="781"/>
      <c r="H329" s="783">
        <v>1008.33</v>
      </c>
      <c r="I329" s="780"/>
      <c r="J329" s="781"/>
      <c r="K329" s="783">
        <v>927.2</v>
      </c>
      <c r="L329" s="780"/>
      <c r="M329" s="781"/>
      <c r="N329" s="783">
        <v>1070.1199999999999</v>
      </c>
      <c r="O329" s="780"/>
      <c r="P329" s="781"/>
      <c r="Q329" s="783">
        <v>28085.94</v>
      </c>
      <c r="R329" s="780"/>
      <c r="S329" s="781"/>
      <c r="T329" s="783">
        <v>7594.6799999999903</v>
      </c>
      <c r="U329" s="780"/>
      <c r="V329" s="781"/>
      <c r="W329" s="783">
        <v>7410.92</v>
      </c>
      <c r="X329" s="780"/>
      <c r="Y329" s="781"/>
      <c r="Z329" s="783">
        <v>7136</v>
      </c>
      <c r="AA329" s="780"/>
      <c r="AB329" s="781"/>
      <c r="AC329" s="783">
        <v>7371.69</v>
      </c>
      <c r="AD329" s="780"/>
      <c r="AE329" s="781"/>
      <c r="AF329" s="783">
        <v>7548.5</v>
      </c>
      <c r="AG329" s="780"/>
      <c r="AH329" s="781"/>
      <c r="AI329" s="783">
        <v>6074.83</v>
      </c>
      <c r="AJ329" s="780"/>
      <c r="AK329" s="781"/>
      <c r="AL329" s="783">
        <v>6537.46</v>
      </c>
      <c r="AM329" s="780"/>
      <c r="AN329" s="781"/>
      <c r="AO329" s="783">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14057.14</v>
      </c>
      <c r="F330" s="747"/>
      <c r="G330" s="757"/>
      <c r="H330" s="771">
        <v>1389.91</v>
      </c>
      <c r="I330" s="747"/>
      <c r="J330" s="757"/>
      <c r="K330" s="771">
        <v>1374.04</v>
      </c>
      <c r="L330" s="747"/>
      <c r="M330" s="757"/>
      <c r="N330" s="771">
        <v>1522.52</v>
      </c>
      <c r="O330" s="747"/>
      <c r="P330" s="757"/>
      <c r="Q330" s="771">
        <v>1272.5999999999999</v>
      </c>
      <c r="R330" s="747"/>
      <c r="S330" s="757"/>
      <c r="T330" s="771">
        <v>1440.48</v>
      </c>
      <c r="U330" s="747"/>
      <c r="V330" s="757"/>
      <c r="W330" s="771">
        <v>949.05</v>
      </c>
      <c r="X330" s="747"/>
      <c r="Y330" s="757"/>
      <c r="Z330" s="771">
        <v>1124.96</v>
      </c>
      <c r="AA330" s="747"/>
      <c r="AB330" s="757"/>
      <c r="AC330" s="771">
        <v>1277.6300000000001</v>
      </c>
      <c r="AD330" s="747"/>
      <c r="AE330" s="757"/>
      <c r="AF330" s="771">
        <v>628.41</v>
      </c>
      <c r="AG330" s="747"/>
      <c r="AH330" s="757"/>
      <c r="AI330" s="771">
        <v>958.41</v>
      </c>
      <c r="AJ330" s="747"/>
      <c r="AK330" s="757"/>
      <c r="AL330" s="771">
        <v>999.12</v>
      </c>
      <c r="AM330" s="747"/>
      <c r="AN330" s="757"/>
      <c r="AO330" s="771">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11559.459999999992</v>
      </c>
      <c r="F331" s="747"/>
      <c r="G331" s="757"/>
      <c r="H331" s="771">
        <v>7467.57</v>
      </c>
      <c r="I331" s="747"/>
      <c r="J331" s="757"/>
      <c r="K331" s="771">
        <v>7543.31</v>
      </c>
      <c r="L331" s="747"/>
      <c r="M331" s="757"/>
      <c r="N331" s="771">
        <v>7500.0599999999904</v>
      </c>
      <c r="O331" s="747"/>
      <c r="P331" s="757"/>
      <c r="Q331" s="771">
        <v>-19275.34</v>
      </c>
      <c r="R331" s="747"/>
      <c r="S331" s="757"/>
      <c r="T331" s="771">
        <v>793.09</v>
      </c>
      <c r="U331" s="747"/>
      <c r="V331" s="757"/>
      <c r="W331" s="771">
        <v>1818.31</v>
      </c>
      <c r="X331" s="747"/>
      <c r="Y331" s="757"/>
      <c r="Z331" s="771">
        <v>916.61</v>
      </c>
      <c r="AA331" s="747"/>
      <c r="AB331" s="757"/>
      <c r="AC331" s="771">
        <v>812.13</v>
      </c>
      <c r="AD331" s="747"/>
      <c r="AE331" s="757"/>
      <c r="AF331" s="771">
        <v>1075.77</v>
      </c>
      <c r="AG331" s="747"/>
      <c r="AH331" s="757"/>
      <c r="AI331" s="771">
        <v>642.45000000000005</v>
      </c>
      <c r="AJ331" s="747"/>
      <c r="AK331" s="757"/>
      <c r="AL331" s="771">
        <v>797.39</v>
      </c>
      <c r="AM331" s="747"/>
      <c r="AN331" s="757"/>
      <c r="AO331" s="771">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v>0</v>
      </c>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0.39005305682028618</v>
      </c>
      <c r="E333" s="779">
        <v>547403.82999999996</v>
      </c>
      <c r="F333" s="777" t="s">
        <v>119</v>
      </c>
      <c r="G333" s="778">
        <v>0.41974669586457825</v>
      </c>
      <c r="H333" s="779">
        <v>44964.030000000006</v>
      </c>
      <c r="I333" s="777" t="s">
        <v>119</v>
      </c>
      <c r="J333" s="778">
        <v>0.42301284299673036</v>
      </c>
      <c r="K333" s="779">
        <v>43332.55999999999</v>
      </c>
      <c r="L333" s="777" t="s">
        <v>119</v>
      </c>
      <c r="M333" s="778">
        <v>0.4366638085051387</v>
      </c>
      <c r="N333" s="779">
        <v>47503.729999999989</v>
      </c>
      <c r="O333" s="777" t="s">
        <v>119</v>
      </c>
      <c r="P333" s="778">
        <v>0.42767706707974074</v>
      </c>
      <c r="Q333" s="779">
        <v>45334.709999999992</v>
      </c>
      <c r="R333" s="777" t="s">
        <v>119</v>
      </c>
      <c r="S333" s="778">
        <v>0.38448266591444374</v>
      </c>
      <c r="T333" s="779">
        <v>46478.609999999993</v>
      </c>
      <c r="U333" s="777" t="s">
        <v>119</v>
      </c>
      <c r="V333" s="778">
        <v>0.45558002996711494</v>
      </c>
      <c r="W333" s="779">
        <v>47502.249999999993</v>
      </c>
      <c r="X333" s="777" t="s">
        <v>119</v>
      </c>
      <c r="Y333" s="778">
        <v>0.35014062018619951</v>
      </c>
      <c r="Z333" s="779">
        <v>41323.61</v>
      </c>
      <c r="AA333" s="777" t="s">
        <v>119</v>
      </c>
      <c r="AB333" s="778">
        <v>0.32799649982354678</v>
      </c>
      <c r="AC333" s="779">
        <v>39732.429999999993</v>
      </c>
      <c r="AD333" s="777" t="s">
        <v>119</v>
      </c>
      <c r="AE333" s="778">
        <v>0.42849845117305829</v>
      </c>
      <c r="AF333" s="779">
        <v>48365.7</v>
      </c>
      <c r="AG333" s="777" t="s">
        <v>119</v>
      </c>
      <c r="AH333" s="778">
        <v>0.31830540688372716</v>
      </c>
      <c r="AI333" s="779">
        <v>40327.99</v>
      </c>
      <c r="AJ333" s="777" t="s">
        <v>119</v>
      </c>
      <c r="AK333" s="778">
        <v>0.29910855840101314</v>
      </c>
      <c r="AL333" s="779">
        <v>47609.189999999995</v>
      </c>
      <c r="AM333" s="777" t="s">
        <v>119</v>
      </c>
      <c r="AN333" s="778">
        <v>0.47348684936419144</v>
      </c>
      <c r="AO333" s="779">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46937.58</v>
      </c>
      <c r="F334" s="747"/>
      <c r="G334" s="757"/>
      <c r="H334" s="771">
        <v>3998.35</v>
      </c>
      <c r="I334" s="747"/>
      <c r="J334" s="757"/>
      <c r="K334" s="771">
        <v>4496.84</v>
      </c>
      <c r="L334" s="747"/>
      <c r="M334" s="757"/>
      <c r="N334" s="771">
        <v>2542.2600000000002</v>
      </c>
      <c r="O334" s="747"/>
      <c r="P334" s="757"/>
      <c r="Q334" s="771">
        <v>3416.28</v>
      </c>
      <c r="R334" s="747"/>
      <c r="S334" s="757"/>
      <c r="T334" s="771">
        <v>2512.11</v>
      </c>
      <c r="U334" s="747"/>
      <c r="V334" s="757"/>
      <c r="W334" s="771">
        <v>4220.76</v>
      </c>
      <c r="X334" s="747"/>
      <c r="Y334" s="757"/>
      <c r="Z334" s="771">
        <v>5963.31</v>
      </c>
      <c r="AA334" s="747"/>
      <c r="AB334" s="757"/>
      <c r="AC334" s="771">
        <v>5403.41</v>
      </c>
      <c r="AD334" s="747"/>
      <c r="AE334" s="757"/>
      <c r="AF334" s="771">
        <v>3460.63</v>
      </c>
      <c r="AG334" s="747"/>
      <c r="AH334" s="757"/>
      <c r="AI334" s="771">
        <v>2622.08</v>
      </c>
      <c r="AJ334" s="747"/>
      <c r="AK334" s="757"/>
      <c r="AL334" s="771">
        <v>3984.93</v>
      </c>
      <c r="AM334" s="747"/>
      <c r="AN334" s="757"/>
      <c r="AO334" s="771">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16265.52</v>
      </c>
      <c r="F335" s="747"/>
      <c r="G335" s="757"/>
      <c r="H335" s="771">
        <v>1467.83</v>
      </c>
      <c r="I335" s="747"/>
      <c r="J335" s="757"/>
      <c r="K335" s="771">
        <v>1447.27</v>
      </c>
      <c r="L335" s="747"/>
      <c r="M335" s="757"/>
      <c r="N335" s="771">
        <v>3813.29</v>
      </c>
      <c r="O335" s="747"/>
      <c r="P335" s="757"/>
      <c r="Q335" s="771">
        <v>1915.31</v>
      </c>
      <c r="R335" s="747"/>
      <c r="S335" s="757"/>
      <c r="T335" s="771">
        <v>1812.07</v>
      </c>
      <c r="U335" s="747"/>
      <c r="V335" s="757"/>
      <c r="W335" s="771">
        <v>3208.48</v>
      </c>
      <c r="X335" s="747"/>
      <c r="Y335" s="757"/>
      <c r="Z335" s="771">
        <v>184.1</v>
      </c>
      <c r="AA335" s="747"/>
      <c r="AB335" s="757"/>
      <c r="AC335" s="771">
        <v>60.37</v>
      </c>
      <c r="AD335" s="747"/>
      <c r="AE335" s="757"/>
      <c r="AF335" s="771">
        <v>-6</v>
      </c>
      <c r="AG335" s="747"/>
      <c r="AH335" s="757"/>
      <c r="AI335" s="771">
        <v>428.9</v>
      </c>
      <c r="AJ335" s="747"/>
      <c r="AK335" s="757"/>
      <c r="AL335" s="771">
        <v>1834.86</v>
      </c>
      <c r="AM335" s="747"/>
      <c r="AN335" s="757"/>
      <c r="AO335" s="771">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11617.630000000001</v>
      </c>
      <c r="F336" s="776"/>
      <c r="G336" s="784"/>
      <c r="H336" s="775">
        <v>598.67999999999995</v>
      </c>
      <c r="I336" s="776"/>
      <c r="J336" s="784"/>
      <c r="K336" s="775">
        <v>793.02</v>
      </c>
      <c r="L336" s="776"/>
      <c r="M336" s="784"/>
      <c r="N336" s="775">
        <v>891.75</v>
      </c>
      <c r="O336" s="776"/>
      <c r="P336" s="784"/>
      <c r="Q336" s="775">
        <v>791.55</v>
      </c>
      <c r="R336" s="776"/>
      <c r="S336" s="784"/>
      <c r="T336" s="775">
        <v>1056.55</v>
      </c>
      <c r="U336" s="776"/>
      <c r="V336" s="784"/>
      <c r="W336" s="775">
        <v>1031</v>
      </c>
      <c r="X336" s="776"/>
      <c r="Y336" s="784"/>
      <c r="Z336" s="775">
        <v>959.29</v>
      </c>
      <c r="AA336" s="776"/>
      <c r="AB336" s="784"/>
      <c r="AC336" s="775">
        <v>927.84</v>
      </c>
      <c r="AD336" s="776"/>
      <c r="AE336" s="784"/>
      <c r="AF336" s="775">
        <v>1045.49</v>
      </c>
      <c r="AG336" s="776"/>
      <c r="AH336" s="784"/>
      <c r="AI336" s="775">
        <v>920.77</v>
      </c>
      <c r="AJ336" s="776"/>
      <c r="AK336" s="784"/>
      <c r="AL336" s="775">
        <v>1022.19</v>
      </c>
      <c r="AM336" s="776"/>
      <c r="AN336" s="784"/>
      <c r="AO336" s="775">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47452.229999999996</v>
      </c>
      <c r="F337" s="747"/>
      <c r="G337" s="757"/>
      <c r="H337" s="771">
        <v>3839.98</v>
      </c>
      <c r="I337" s="747"/>
      <c r="J337" s="757"/>
      <c r="K337" s="771">
        <v>3908.92</v>
      </c>
      <c r="L337" s="747"/>
      <c r="M337" s="757"/>
      <c r="N337" s="771">
        <v>3798.77</v>
      </c>
      <c r="O337" s="747"/>
      <c r="P337" s="757"/>
      <c r="Q337" s="771">
        <v>4186.4799999999996</v>
      </c>
      <c r="R337" s="747"/>
      <c r="S337" s="757"/>
      <c r="T337" s="771">
        <v>4277.7299999999996</v>
      </c>
      <c r="U337" s="747"/>
      <c r="V337" s="757"/>
      <c r="W337" s="771">
        <v>3783.42</v>
      </c>
      <c r="X337" s="747"/>
      <c r="Y337" s="757"/>
      <c r="Z337" s="771">
        <v>4034.99</v>
      </c>
      <c r="AA337" s="747"/>
      <c r="AB337" s="757"/>
      <c r="AC337" s="771">
        <v>3830.31</v>
      </c>
      <c r="AD337" s="747"/>
      <c r="AE337" s="757"/>
      <c r="AF337" s="771">
        <v>4095.17</v>
      </c>
      <c r="AG337" s="747"/>
      <c r="AH337" s="757"/>
      <c r="AI337" s="771">
        <v>4283.41</v>
      </c>
      <c r="AJ337" s="747"/>
      <c r="AK337" s="757"/>
      <c r="AL337" s="771">
        <v>3858.32</v>
      </c>
      <c r="AM337" s="747"/>
      <c r="AN337" s="757"/>
      <c r="AO337" s="771">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11594.619999999999</v>
      </c>
      <c r="F338" s="747"/>
      <c r="G338" s="757"/>
      <c r="H338" s="771">
        <v>514.72</v>
      </c>
      <c r="I338" s="747"/>
      <c r="J338" s="757"/>
      <c r="K338" s="771">
        <v>1140.8699999999999</v>
      </c>
      <c r="L338" s="747"/>
      <c r="M338" s="757"/>
      <c r="N338" s="771">
        <v>1161.45</v>
      </c>
      <c r="O338" s="747"/>
      <c r="P338" s="757"/>
      <c r="Q338" s="771">
        <v>911.08</v>
      </c>
      <c r="R338" s="747"/>
      <c r="S338" s="757"/>
      <c r="T338" s="771">
        <v>1320.64</v>
      </c>
      <c r="U338" s="747"/>
      <c r="V338" s="757"/>
      <c r="W338" s="771">
        <v>526.75</v>
      </c>
      <c r="X338" s="747"/>
      <c r="Y338" s="757"/>
      <c r="Z338" s="771">
        <v>605.16999999999996</v>
      </c>
      <c r="AA338" s="747"/>
      <c r="AB338" s="757"/>
      <c r="AC338" s="771">
        <v>831.42</v>
      </c>
      <c r="AD338" s="747"/>
      <c r="AE338" s="757"/>
      <c r="AF338" s="771">
        <v>997.22</v>
      </c>
      <c r="AG338" s="747"/>
      <c r="AH338" s="757"/>
      <c r="AI338" s="771">
        <v>1177.5</v>
      </c>
      <c r="AJ338" s="747"/>
      <c r="AK338" s="757"/>
      <c r="AL338" s="771">
        <v>1568.23</v>
      </c>
      <c r="AM338" s="747"/>
      <c r="AN338" s="757"/>
      <c r="AO338" s="771">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195002.43000000002</v>
      </c>
      <c r="F339" s="776"/>
      <c r="G339" s="784"/>
      <c r="H339" s="775">
        <v>12278.11</v>
      </c>
      <c r="I339" s="776"/>
      <c r="J339" s="784"/>
      <c r="K339" s="775">
        <v>20835.64</v>
      </c>
      <c r="L339" s="776"/>
      <c r="M339" s="784"/>
      <c r="N339" s="775">
        <v>15779.81</v>
      </c>
      <c r="O339" s="776"/>
      <c r="P339" s="784"/>
      <c r="Q339" s="775">
        <v>13813.01</v>
      </c>
      <c r="R339" s="776"/>
      <c r="S339" s="784"/>
      <c r="T339" s="775">
        <v>16362.1</v>
      </c>
      <c r="U339" s="776"/>
      <c r="V339" s="784"/>
      <c r="W339" s="775">
        <v>16475.91</v>
      </c>
      <c r="X339" s="776"/>
      <c r="Y339" s="784"/>
      <c r="Z339" s="775">
        <v>18820.55</v>
      </c>
      <c r="AA339" s="776"/>
      <c r="AB339" s="784"/>
      <c r="AC339" s="775">
        <v>13115.82</v>
      </c>
      <c r="AD339" s="776"/>
      <c r="AE339" s="784"/>
      <c r="AF339" s="775">
        <v>18074.82</v>
      </c>
      <c r="AG339" s="776"/>
      <c r="AH339" s="784"/>
      <c r="AI339" s="775">
        <v>18021.23</v>
      </c>
      <c r="AJ339" s="776"/>
      <c r="AK339" s="784"/>
      <c r="AL339" s="775">
        <v>16850.41</v>
      </c>
      <c r="AM339" s="776"/>
      <c r="AN339" s="784"/>
      <c r="AO339" s="775">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1744.87</v>
      </c>
      <c r="F341" s="747"/>
      <c r="G341" s="757"/>
      <c r="H341" s="771">
        <v>0</v>
      </c>
      <c r="I341" s="747"/>
      <c r="J341" s="757"/>
      <c r="K341" s="771">
        <v>28.92</v>
      </c>
      <c r="L341" s="747"/>
      <c r="M341" s="757"/>
      <c r="N341" s="771">
        <v>46.41</v>
      </c>
      <c r="O341" s="747"/>
      <c r="P341" s="757"/>
      <c r="Q341" s="771">
        <v>0</v>
      </c>
      <c r="R341" s="747"/>
      <c r="S341" s="757"/>
      <c r="T341" s="771">
        <v>345.67</v>
      </c>
      <c r="U341" s="747"/>
      <c r="V341" s="757"/>
      <c r="W341" s="771">
        <v>0</v>
      </c>
      <c r="X341" s="747"/>
      <c r="Y341" s="757"/>
      <c r="Z341" s="771">
        <v>428.39</v>
      </c>
      <c r="AA341" s="747"/>
      <c r="AB341" s="757"/>
      <c r="AC341" s="771">
        <v>37.25</v>
      </c>
      <c r="AD341" s="747"/>
      <c r="AE341" s="757"/>
      <c r="AF341" s="771">
        <v>374.84</v>
      </c>
      <c r="AG341" s="747"/>
      <c r="AH341" s="757"/>
      <c r="AI341" s="771">
        <v>314.76</v>
      </c>
      <c r="AJ341" s="747"/>
      <c r="AK341" s="757"/>
      <c r="AL341" s="771">
        <v>168.63</v>
      </c>
      <c r="AM341" s="747"/>
      <c r="AN341" s="757"/>
      <c r="AO341" s="771">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8703.33</v>
      </c>
      <c r="F343" s="747"/>
      <c r="G343" s="757"/>
      <c r="H343" s="771">
        <v>302.92</v>
      </c>
      <c r="I343" s="747"/>
      <c r="J343" s="757"/>
      <c r="K343" s="771">
        <v>408.49</v>
      </c>
      <c r="L343" s="747"/>
      <c r="M343" s="757"/>
      <c r="N343" s="771">
        <v>772.78</v>
      </c>
      <c r="O343" s="747"/>
      <c r="P343" s="757"/>
      <c r="Q343" s="771">
        <v>612.05999999999995</v>
      </c>
      <c r="R343" s="747"/>
      <c r="S343" s="757"/>
      <c r="T343" s="771">
        <v>419.31</v>
      </c>
      <c r="U343" s="747"/>
      <c r="V343" s="757"/>
      <c r="W343" s="771">
        <v>1123.3800000000001</v>
      </c>
      <c r="X343" s="747"/>
      <c r="Y343" s="757"/>
      <c r="Z343" s="771">
        <v>374.87</v>
      </c>
      <c r="AA343" s="747"/>
      <c r="AB343" s="757"/>
      <c r="AC343" s="771">
        <v>870.44</v>
      </c>
      <c r="AD343" s="747"/>
      <c r="AE343" s="757"/>
      <c r="AF343" s="771">
        <v>535.78</v>
      </c>
      <c r="AG343" s="747"/>
      <c r="AH343" s="757"/>
      <c r="AI343" s="771">
        <v>828.89</v>
      </c>
      <c r="AJ343" s="747"/>
      <c r="AK343" s="757"/>
      <c r="AL343" s="771">
        <v>1613.87</v>
      </c>
      <c r="AM343" s="747"/>
      <c r="AN343" s="757"/>
      <c r="AO343" s="771">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1083.0999999999999</v>
      </c>
      <c r="F344" s="747"/>
      <c r="G344" s="757"/>
      <c r="H344" s="771">
        <v>81.19</v>
      </c>
      <c r="I344" s="747"/>
      <c r="J344" s="757"/>
      <c r="K344" s="771">
        <v>87.25</v>
      </c>
      <c r="L344" s="747"/>
      <c r="M344" s="757"/>
      <c r="N344" s="771">
        <v>75.3</v>
      </c>
      <c r="O344" s="747"/>
      <c r="P344" s="757"/>
      <c r="Q344" s="771">
        <v>75.05</v>
      </c>
      <c r="R344" s="747"/>
      <c r="S344" s="757"/>
      <c r="T344" s="771">
        <v>74.930000000000007</v>
      </c>
      <c r="U344" s="747"/>
      <c r="V344" s="757"/>
      <c r="W344" s="771">
        <v>74.930000000000007</v>
      </c>
      <c r="X344" s="747"/>
      <c r="Y344" s="757"/>
      <c r="Z344" s="771">
        <v>75.7</v>
      </c>
      <c r="AA344" s="747"/>
      <c r="AB344" s="757"/>
      <c r="AC344" s="771">
        <v>192.54</v>
      </c>
      <c r="AD344" s="747"/>
      <c r="AE344" s="757"/>
      <c r="AF344" s="771">
        <v>86.44</v>
      </c>
      <c r="AG344" s="747"/>
      <c r="AH344" s="757"/>
      <c r="AI344" s="771">
        <v>101.52</v>
      </c>
      <c r="AJ344" s="747"/>
      <c r="AK344" s="757"/>
      <c r="AL344" s="771">
        <v>83.3</v>
      </c>
      <c r="AM344" s="747"/>
      <c r="AN344" s="757"/>
      <c r="AO344" s="771">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-475.76999999999992</v>
      </c>
      <c r="F345" s="747"/>
      <c r="G345" s="757"/>
      <c r="H345" s="771">
        <v>16.850000000000001</v>
      </c>
      <c r="I345" s="747"/>
      <c r="J345" s="757"/>
      <c r="K345" s="771">
        <v>-121.43</v>
      </c>
      <c r="L345" s="747"/>
      <c r="M345" s="757"/>
      <c r="N345" s="771">
        <v>66.06</v>
      </c>
      <c r="O345" s="747"/>
      <c r="P345" s="757"/>
      <c r="Q345" s="771">
        <v>53.44</v>
      </c>
      <c r="R345" s="747"/>
      <c r="S345" s="757"/>
      <c r="T345" s="771">
        <v>-192.32</v>
      </c>
      <c r="U345" s="747"/>
      <c r="V345" s="757"/>
      <c r="W345" s="771">
        <v>814.78</v>
      </c>
      <c r="X345" s="747"/>
      <c r="Y345" s="757"/>
      <c r="Z345" s="771">
        <v>1025.6199999999999</v>
      </c>
      <c r="AA345" s="747"/>
      <c r="AB345" s="757"/>
      <c r="AC345" s="771">
        <v>-163.86</v>
      </c>
      <c r="AD345" s="747"/>
      <c r="AE345" s="757"/>
      <c r="AF345" s="771">
        <v>-158.06</v>
      </c>
      <c r="AG345" s="747"/>
      <c r="AH345" s="757"/>
      <c r="AI345" s="771">
        <v>-205.28</v>
      </c>
      <c r="AJ345" s="747"/>
      <c r="AK345" s="757"/>
      <c r="AL345" s="771">
        <v>-1293.8599999999999</v>
      </c>
      <c r="AM345" s="747"/>
      <c r="AN345" s="757"/>
      <c r="AO345" s="771">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1508.2700000000002</v>
      </c>
      <c r="F346" s="747"/>
      <c r="G346" s="757"/>
      <c r="H346" s="771">
        <v>443.01</v>
      </c>
      <c r="I346" s="747"/>
      <c r="J346" s="757"/>
      <c r="K346" s="771">
        <v>221.4</v>
      </c>
      <c r="L346" s="747"/>
      <c r="M346" s="757"/>
      <c r="N346" s="771">
        <v>51.8</v>
      </c>
      <c r="O346" s="747"/>
      <c r="P346" s="757"/>
      <c r="Q346" s="771">
        <v>91.31</v>
      </c>
      <c r="R346" s="747"/>
      <c r="S346" s="757"/>
      <c r="T346" s="771">
        <v>61.33</v>
      </c>
      <c r="U346" s="747"/>
      <c r="V346" s="757"/>
      <c r="W346" s="771">
        <v>86.99</v>
      </c>
      <c r="X346" s="747"/>
      <c r="Y346" s="757"/>
      <c r="Z346" s="771">
        <v>60.49</v>
      </c>
      <c r="AA346" s="747"/>
      <c r="AB346" s="757"/>
      <c r="AC346" s="771">
        <v>88.05</v>
      </c>
      <c r="AD346" s="747"/>
      <c r="AE346" s="757"/>
      <c r="AF346" s="771">
        <v>156.15</v>
      </c>
      <c r="AG346" s="747"/>
      <c r="AH346" s="757"/>
      <c r="AI346" s="771">
        <v>93.75</v>
      </c>
      <c r="AJ346" s="747"/>
      <c r="AK346" s="757"/>
      <c r="AL346" s="771">
        <v>80.349999999999994</v>
      </c>
      <c r="AM346" s="747"/>
      <c r="AN346" s="757"/>
      <c r="AO346" s="771">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8785.5600000000013</v>
      </c>
      <c r="F347" s="747"/>
      <c r="G347" s="757"/>
      <c r="H347" s="771">
        <v>547.08000000000004</v>
      </c>
      <c r="I347" s="747"/>
      <c r="J347" s="757"/>
      <c r="K347" s="771">
        <v>377.4</v>
      </c>
      <c r="L347" s="747"/>
      <c r="M347" s="757"/>
      <c r="N347" s="771">
        <v>1842.8</v>
      </c>
      <c r="O347" s="747"/>
      <c r="P347" s="757"/>
      <c r="Q347" s="771">
        <v>2535.9699999999998</v>
      </c>
      <c r="R347" s="747"/>
      <c r="S347" s="757"/>
      <c r="T347" s="771">
        <v>2540.88</v>
      </c>
      <c r="U347" s="747"/>
      <c r="V347" s="757"/>
      <c r="W347" s="771">
        <v>-486.8</v>
      </c>
      <c r="X347" s="747"/>
      <c r="Y347" s="757"/>
      <c r="Z347" s="771">
        <v>79.75</v>
      </c>
      <c r="AA347" s="747"/>
      <c r="AB347" s="757"/>
      <c r="AC347" s="771">
        <v>315.02</v>
      </c>
      <c r="AD347" s="747"/>
      <c r="AE347" s="757"/>
      <c r="AF347" s="771">
        <v>568.47</v>
      </c>
      <c r="AG347" s="747"/>
      <c r="AH347" s="757"/>
      <c r="AI347" s="771">
        <v>67.540000000000006</v>
      </c>
      <c r="AJ347" s="747"/>
      <c r="AK347" s="757"/>
      <c r="AL347" s="771">
        <v>329.75</v>
      </c>
      <c r="AM347" s="747"/>
      <c r="AN347" s="757"/>
      <c r="AO347" s="771">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18792.920000000002</v>
      </c>
      <c r="F348" s="747"/>
      <c r="G348" s="757"/>
      <c r="H348" s="771">
        <v>1396.3</v>
      </c>
      <c r="I348" s="747"/>
      <c r="J348" s="757"/>
      <c r="K348" s="771">
        <v>1103.73</v>
      </c>
      <c r="L348" s="747"/>
      <c r="M348" s="757"/>
      <c r="N348" s="771">
        <v>158.69999999999999</v>
      </c>
      <c r="O348" s="747"/>
      <c r="P348" s="757"/>
      <c r="Q348" s="771">
        <v>1344.72</v>
      </c>
      <c r="R348" s="747"/>
      <c r="S348" s="757"/>
      <c r="T348" s="771">
        <v>3436.4</v>
      </c>
      <c r="U348" s="747"/>
      <c r="V348" s="757"/>
      <c r="W348" s="771">
        <v>1572.05</v>
      </c>
      <c r="X348" s="747"/>
      <c r="Y348" s="757"/>
      <c r="Z348" s="771">
        <v>1513.96</v>
      </c>
      <c r="AA348" s="747"/>
      <c r="AB348" s="757"/>
      <c r="AC348" s="771">
        <v>1182.18</v>
      </c>
      <c r="AD348" s="747"/>
      <c r="AE348" s="757"/>
      <c r="AF348" s="771">
        <v>1601.54</v>
      </c>
      <c r="AG348" s="747"/>
      <c r="AH348" s="757"/>
      <c r="AI348" s="771">
        <v>1780.66</v>
      </c>
      <c r="AJ348" s="747"/>
      <c r="AK348" s="757"/>
      <c r="AL348" s="771">
        <v>2277.67</v>
      </c>
      <c r="AM348" s="747"/>
      <c r="AN348" s="757"/>
      <c r="AO348" s="771">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0.26294001581748877</v>
      </c>
      <c r="E352" s="779">
        <v>369012.29</v>
      </c>
      <c r="F352" s="777" t="s">
        <v>119</v>
      </c>
      <c r="G352" s="778">
        <v>0.23790689889324176</v>
      </c>
      <c r="H352" s="779">
        <v>25485.019999999993</v>
      </c>
      <c r="I352" s="777" t="s">
        <v>119</v>
      </c>
      <c r="J352" s="778">
        <v>0.33901817422511427</v>
      </c>
      <c r="K352" s="779">
        <v>34728.320000000007</v>
      </c>
      <c r="L352" s="777" t="s">
        <v>119</v>
      </c>
      <c r="M352" s="778">
        <v>0.28496906089170976</v>
      </c>
      <c r="N352" s="779">
        <v>31001.18</v>
      </c>
      <c r="O352" s="777" t="s">
        <v>119</v>
      </c>
      <c r="P352" s="778">
        <v>0.28061927016609156</v>
      </c>
      <c r="Q352" s="779">
        <v>29746.260000000002</v>
      </c>
      <c r="R352" s="777" t="s">
        <v>119</v>
      </c>
      <c r="S352" s="778">
        <v>0.28148314818659909</v>
      </c>
      <c r="T352" s="779">
        <v>34027.4</v>
      </c>
      <c r="U352" s="777" t="s">
        <v>119</v>
      </c>
      <c r="V352" s="778">
        <v>0.31104236281192965</v>
      </c>
      <c r="W352" s="779">
        <v>32431.65</v>
      </c>
      <c r="X352" s="777" t="s">
        <v>119</v>
      </c>
      <c r="Y352" s="778">
        <v>0.28915589250774754</v>
      </c>
      <c r="Z352" s="779">
        <v>34126.19</v>
      </c>
      <c r="AA352" s="777" t="s">
        <v>119</v>
      </c>
      <c r="AB352" s="778">
        <v>0.22033602519466655</v>
      </c>
      <c r="AC352" s="779">
        <v>26690.789999999997</v>
      </c>
      <c r="AD352" s="777" t="s">
        <v>119</v>
      </c>
      <c r="AE352" s="778">
        <v>0.27316205928599835</v>
      </c>
      <c r="AF352" s="779">
        <v>30832.49</v>
      </c>
      <c r="AG352" s="777" t="s">
        <v>119</v>
      </c>
      <c r="AH352" s="778">
        <v>0.24022663716821147</v>
      </c>
      <c r="AI352" s="779">
        <v>30435.73</v>
      </c>
      <c r="AJ352" s="777" t="s">
        <v>119</v>
      </c>
      <c r="AK352" s="778">
        <v>0.20342146809199996</v>
      </c>
      <c r="AL352" s="779">
        <v>32378.649999999994</v>
      </c>
      <c r="AM352" s="777" t="s">
        <v>119</v>
      </c>
      <c r="AN352" s="778">
        <v>0.23384797465037421</v>
      </c>
      <c r="AO352" s="779">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0.65299307263777484</v>
      </c>
      <c r="E354" s="789">
        <v>916416.11999999988</v>
      </c>
      <c r="F354" s="777" t="s">
        <v>119</v>
      </c>
      <c r="G354" s="815">
        <v>0.65765359475782004</v>
      </c>
      <c r="H354" s="789">
        <v>70449.05</v>
      </c>
      <c r="I354" s="777" t="s">
        <v>119</v>
      </c>
      <c r="J354" s="815">
        <v>0.76203101722184474</v>
      </c>
      <c r="K354" s="789">
        <v>78060.88</v>
      </c>
      <c r="L354" s="777" t="s">
        <v>119</v>
      </c>
      <c r="M354" s="815">
        <v>0.72163286939684845</v>
      </c>
      <c r="N354" s="789">
        <v>78504.909999999989</v>
      </c>
      <c r="O354" s="777" t="s">
        <v>119</v>
      </c>
      <c r="P354" s="815">
        <v>0.7082963372458323</v>
      </c>
      <c r="Q354" s="789">
        <v>75080.97</v>
      </c>
      <c r="R354" s="777" t="s">
        <v>119</v>
      </c>
      <c r="S354" s="815">
        <v>0.66596581410104283</v>
      </c>
      <c r="T354" s="789">
        <v>80506.009999999995</v>
      </c>
      <c r="U354" s="777" t="s">
        <v>119</v>
      </c>
      <c r="V354" s="815">
        <v>0.76662239277904454</v>
      </c>
      <c r="W354" s="789">
        <v>79933.899999999994</v>
      </c>
      <c r="X354" s="777" t="s">
        <v>119</v>
      </c>
      <c r="Y354" s="815">
        <v>0.63929651269394705</v>
      </c>
      <c r="Z354" s="789">
        <v>75449.8</v>
      </c>
      <c r="AA354" s="777" t="s">
        <v>119</v>
      </c>
      <c r="AB354" s="815">
        <v>0.54833252501821328</v>
      </c>
      <c r="AC354" s="789">
        <v>66423.219999999987</v>
      </c>
      <c r="AD354" s="777" t="s">
        <v>119</v>
      </c>
      <c r="AE354" s="815">
        <v>0.70166051045905664</v>
      </c>
      <c r="AF354" s="789">
        <v>79198.19</v>
      </c>
      <c r="AG354" s="777" t="s">
        <v>119</v>
      </c>
      <c r="AH354" s="815">
        <v>0.55853204405193868</v>
      </c>
      <c r="AI354" s="789">
        <v>70763.72</v>
      </c>
      <c r="AJ354" s="777" t="s">
        <v>119</v>
      </c>
      <c r="AK354" s="815">
        <v>0.50253002649301315</v>
      </c>
      <c r="AL354" s="789">
        <v>79987.839999999997</v>
      </c>
      <c r="AM354" s="777" t="s">
        <v>119</v>
      </c>
      <c r="AN354" s="815">
        <v>0.70733482401456571</v>
      </c>
      <c r="AO354" s="789">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486992.51999999862</v>
      </c>
      <c r="F356" s="816"/>
      <c r="G356" s="817"/>
      <c r="H356" s="798">
        <v>36672.769999999786</v>
      </c>
      <c r="I356" s="816"/>
      <c r="J356" s="817"/>
      <c r="K356" s="798">
        <v>24377.049999999843</v>
      </c>
      <c r="L356" s="816"/>
      <c r="M356" s="817"/>
      <c r="N356" s="798">
        <v>30282.969999999972</v>
      </c>
      <c r="O356" s="816"/>
      <c r="P356" s="817"/>
      <c r="Q356" s="798">
        <v>30921.229999999763</v>
      </c>
      <c r="R356" s="816"/>
      <c r="S356" s="817"/>
      <c r="T356" s="798">
        <v>40380.089999999895</v>
      </c>
      <c r="U356" s="816"/>
      <c r="V356" s="817"/>
      <c r="W356" s="798">
        <v>24333.72999999988</v>
      </c>
      <c r="X356" s="816"/>
      <c r="Y356" s="817"/>
      <c r="Z356" s="798">
        <v>42570.239999999787</v>
      </c>
      <c r="AA356" s="816"/>
      <c r="AB356" s="817"/>
      <c r="AC356" s="798">
        <v>54713.529999999897</v>
      </c>
      <c r="AD356" s="816"/>
      <c r="AE356" s="817"/>
      <c r="AF356" s="798">
        <v>33674.329999999885</v>
      </c>
      <c r="AG356" s="816"/>
      <c r="AH356" s="817"/>
      <c r="AI356" s="798">
        <v>55932.179999999978</v>
      </c>
      <c r="AJ356" s="816"/>
      <c r="AK356" s="817"/>
      <c r="AL356" s="798">
        <v>79182.429999999877</v>
      </c>
      <c r="AM356" s="816"/>
      <c r="AN356" s="817"/>
      <c r="AO356" s="798">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3870</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3870</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2023</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73091183.97999993</v>
      </c>
      <c r="F409" s="878"/>
      <c r="G409" s="879"/>
      <c r="H409" s="880">
        <v>3999179.9999999888</v>
      </c>
      <c r="I409" s="878"/>
      <c r="J409" s="879"/>
      <c r="K409" s="880">
        <v>3439148.8599999901</v>
      </c>
      <c r="L409" s="878"/>
      <c r="M409" s="879"/>
      <c r="N409" s="880">
        <v>4656035.2599999793</v>
      </c>
      <c r="O409" s="878"/>
      <c r="P409" s="879"/>
      <c r="Q409" s="880">
        <v>3178713.4899999993</v>
      </c>
      <c r="R409" s="878"/>
      <c r="S409" s="879"/>
      <c r="T409" s="880">
        <v>5194257.959999999</v>
      </c>
      <c r="U409" s="878"/>
      <c r="V409" s="879"/>
      <c r="W409" s="880">
        <v>5520989.48999999</v>
      </c>
      <c r="X409" s="878"/>
      <c r="Y409" s="879"/>
      <c r="Z409" s="880">
        <v>4651900.0099999886</v>
      </c>
      <c r="AA409" s="878"/>
      <c r="AB409" s="879"/>
      <c r="AC409" s="880">
        <v>5316242.4199999981</v>
      </c>
      <c r="AD409" s="878"/>
      <c r="AE409" s="879"/>
      <c r="AF409" s="880">
        <v>4572850.42</v>
      </c>
      <c r="AG409" s="878"/>
      <c r="AH409" s="879"/>
      <c r="AI409" s="880">
        <v>10612462.84999999</v>
      </c>
      <c r="AJ409" s="878"/>
      <c r="AK409" s="879"/>
      <c r="AL409" s="880">
        <v>12335062.559999999</v>
      </c>
      <c r="AM409" s="878"/>
      <c r="AN409" s="879"/>
      <c r="AO409" s="880">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7457958.609999991</v>
      </c>
      <c r="F410" s="881"/>
      <c r="G410" s="882"/>
      <c r="H410" s="883">
        <v>517816.86999999959</v>
      </c>
      <c r="I410" s="881"/>
      <c r="J410" s="882"/>
      <c r="K410" s="883">
        <v>416073.91999999958</v>
      </c>
      <c r="L410" s="881"/>
      <c r="M410" s="882"/>
      <c r="N410" s="883">
        <v>588626.91999999934</v>
      </c>
      <c r="O410" s="881"/>
      <c r="P410" s="882"/>
      <c r="Q410" s="883">
        <v>569361.15999999933</v>
      </c>
      <c r="R410" s="881"/>
      <c r="S410" s="882"/>
      <c r="T410" s="883">
        <v>715448.58999999845</v>
      </c>
      <c r="U410" s="881"/>
      <c r="V410" s="882"/>
      <c r="W410" s="883">
        <v>675919.48999999906</v>
      </c>
      <c r="X410" s="881"/>
      <c r="Y410" s="882"/>
      <c r="Z410" s="883">
        <v>612382.99999999919</v>
      </c>
      <c r="AA410" s="881"/>
      <c r="AB410" s="882"/>
      <c r="AC410" s="883">
        <v>650658.82999999949</v>
      </c>
      <c r="AD410" s="881"/>
      <c r="AE410" s="882"/>
      <c r="AF410" s="883">
        <v>628292.67999999947</v>
      </c>
      <c r="AG410" s="881"/>
      <c r="AH410" s="882"/>
      <c r="AI410" s="883">
        <v>740004.24999999872</v>
      </c>
      <c r="AJ410" s="881"/>
      <c r="AK410" s="882"/>
      <c r="AL410" s="883">
        <v>822976.9299999997</v>
      </c>
      <c r="AM410" s="881"/>
      <c r="AN410" s="882"/>
      <c r="AO410" s="883">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0.33494515307471034</v>
      </c>
      <c r="D412" s="888">
        <v>716.13371338912145</v>
      </c>
      <c r="E412" s="886">
        <v>684623.83000000007</v>
      </c>
      <c r="F412" s="889"/>
      <c r="G412" s="888">
        <v>491.23102941176467</v>
      </c>
      <c r="H412" s="886">
        <v>33403.71</v>
      </c>
      <c r="I412" s="889"/>
      <c r="J412" s="888">
        <v>763.82375000000002</v>
      </c>
      <c r="K412" s="886">
        <v>36663.54</v>
      </c>
      <c r="L412" s="889"/>
      <c r="M412" s="888">
        <v>1012.7643835616439</v>
      </c>
      <c r="N412" s="886">
        <v>73931.8</v>
      </c>
      <c r="O412" s="889"/>
      <c r="P412" s="888">
        <v>1161.6527083333333</v>
      </c>
      <c r="Q412" s="886">
        <v>55759.33</v>
      </c>
      <c r="R412" s="889"/>
      <c r="S412" s="888">
        <v>973.73676056338024</v>
      </c>
      <c r="T412" s="886">
        <v>69135.31</v>
      </c>
      <c r="U412" s="889"/>
      <c r="V412" s="888">
        <v>853.46062500000005</v>
      </c>
      <c r="W412" s="886">
        <v>68276.850000000006</v>
      </c>
      <c r="X412" s="889"/>
      <c r="Y412" s="888">
        <v>930.65569444444429</v>
      </c>
      <c r="Z412" s="886">
        <v>67007.209999999992</v>
      </c>
      <c r="AA412" s="889"/>
      <c r="AB412" s="888">
        <v>798.98139240506327</v>
      </c>
      <c r="AC412" s="886">
        <v>63119.53</v>
      </c>
      <c r="AD412" s="889"/>
      <c r="AE412" s="888">
        <v>589.43313953488371</v>
      </c>
      <c r="AF412" s="886">
        <v>50691.25</v>
      </c>
      <c r="AG412" s="889"/>
      <c r="AH412" s="888">
        <v>802.9314117647059</v>
      </c>
      <c r="AI412" s="886">
        <v>68249.17</v>
      </c>
      <c r="AJ412" s="889"/>
      <c r="AK412" s="888">
        <v>488.55706422018352</v>
      </c>
      <c r="AL412" s="886">
        <v>53252.72</v>
      </c>
      <c r="AM412" s="889"/>
      <c r="AN412" s="888">
        <v>654.10739130434786</v>
      </c>
      <c r="AO412" s="886">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0.3019776972795768</v>
      </c>
      <c r="D413" s="891">
        <v>454.03748873873872</v>
      </c>
      <c r="E413" s="880">
        <v>403185.29</v>
      </c>
      <c r="F413" s="892"/>
      <c r="G413" s="891">
        <v>385.17455882352942</v>
      </c>
      <c r="H413" s="880">
        <v>26191.87</v>
      </c>
      <c r="I413" s="892"/>
      <c r="J413" s="891">
        <v>498.76270833333336</v>
      </c>
      <c r="K413" s="880">
        <v>23940.61</v>
      </c>
      <c r="L413" s="892"/>
      <c r="M413" s="891">
        <v>549.29808219178074</v>
      </c>
      <c r="N413" s="880">
        <v>40098.759999999995</v>
      </c>
      <c r="O413" s="892"/>
      <c r="P413" s="891">
        <v>578.87104166666666</v>
      </c>
      <c r="Q413" s="880">
        <v>27785.809999999998</v>
      </c>
      <c r="R413" s="892"/>
      <c r="S413" s="891">
        <v>553.62056338028162</v>
      </c>
      <c r="T413" s="880">
        <v>39307.06</v>
      </c>
      <c r="U413" s="892"/>
      <c r="V413" s="891">
        <v>443.94837500000006</v>
      </c>
      <c r="W413" s="880">
        <v>35515.870000000003</v>
      </c>
      <c r="X413" s="892"/>
      <c r="Y413" s="891">
        <v>439.10263888888886</v>
      </c>
      <c r="Z413" s="880">
        <v>31615.39</v>
      </c>
      <c r="AA413" s="892"/>
      <c r="AB413" s="891">
        <v>542.49569620253169</v>
      </c>
      <c r="AC413" s="880">
        <v>42857.16</v>
      </c>
      <c r="AD413" s="892"/>
      <c r="AE413" s="891">
        <v>433.83569767441861</v>
      </c>
      <c r="AF413" s="880">
        <v>37309.870000000003</v>
      </c>
      <c r="AG413" s="892"/>
      <c r="AH413" s="891">
        <v>436.61976470588235</v>
      </c>
      <c r="AI413" s="880">
        <v>37112.68</v>
      </c>
      <c r="AJ413" s="892"/>
      <c r="AK413" s="891">
        <v>334.64825688073398</v>
      </c>
      <c r="AL413" s="880">
        <v>36476.660000000003</v>
      </c>
      <c r="AM413" s="892"/>
      <c r="AN413" s="891">
        <v>361.9355072463768</v>
      </c>
      <c r="AO413" s="880">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77.016846846846832</v>
      </c>
      <c r="E414" s="886">
        <v>68390.959999999992</v>
      </c>
      <c r="F414" s="889"/>
      <c r="G414" s="888">
        <v>50.077058823529406</v>
      </c>
      <c r="H414" s="886">
        <v>3405.24</v>
      </c>
      <c r="I414" s="889"/>
      <c r="J414" s="888">
        <v>137.31479166666665</v>
      </c>
      <c r="K414" s="886">
        <v>6591.11</v>
      </c>
      <c r="L414" s="889"/>
      <c r="M414" s="888">
        <v>41.720547945205482</v>
      </c>
      <c r="N414" s="886">
        <v>3045.6</v>
      </c>
      <c r="O414" s="889"/>
      <c r="P414" s="888">
        <v>46.353958333333338</v>
      </c>
      <c r="Q414" s="886">
        <v>2224.9900000000002</v>
      </c>
      <c r="R414" s="889"/>
      <c r="S414" s="888">
        <v>66.744507042253517</v>
      </c>
      <c r="T414" s="886">
        <v>4738.8599999999997</v>
      </c>
      <c r="U414" s="889"/>
      <c r="V414" s="888">
        <v>69.216750000000005</v>
      </c>
      <c r="W414" s="886">
        <v>5537.34</v>
      </c>
      <c r="X414" s="889"/>
      <c r="Y414" s="888">
        <v>67.379166666666663</v>
      </c>
      <c r="Z414" s="886">
        <v>4851.3</v>
      </c>
      <c r="AA414" s="889"/>
      <c r="AB414" s="888">
        <v>79.651518987341774</v>
      </c>
      <c r="AC414" s="886">
        <v>6292.47</v>
      </c>
      <c r="AD414" s="889"/>
      <c r="AE414" s="888">
        <v>41.827906976744181</v>
      </c>
      <c r="AF414" s="886">
        <v>3597.2</v>
      </c>
      <c r="AG414" s="889"/>
      <c r="AH414" s="888">
        <v>93.197058823529417</v>
      </c>
      <c r="AI414" s="886">
        <v>7921.75</v>
      </c>
      <c r="AJ414" s="889"/>
      <c r="AK414" s="888">
        <v>112.51394495412843</v>
      </c>
      <c r="AL414" s="886">
        <v>12264.019999999999</v>
      </c>
      <c r="AM414" s="889"/>
      <c r="AN414" s="888">
        <v>114.79826086956521</v>
      </c>
      <c r="AO414" s="886">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14.472804054054052</v>
      </c>
      <c r="E415" s="886">
        <v>12851.849999999999</v>
      </c>
      <c r="F415" s="889"/>
      <c r="G415" s="888">
        <v>0.80882352941176472</v>
      </c>
      <c r="H415" s="886">
        <v>55</v>
      </c>
      <c r="I415" s="889"/>
      <c r="J415" s="888">
        <v>0</v>
      </c>
      <c r="K415" s="886">
        <v>0</v>
      </c>
      <c r="L415" s="889"/>
      <c r="M415" s="888">
        <v>-20.396027397260276</v>
      </c>
      <c r="N415" s="886">
        <v>-1488.91</v>
      </c>
      <c r="O415" s="889"/>
      <c r="P415" s="888">
        <v>4.375</v>
      </c>
      <c r="Q415" s="886">
        <v>210</v>
      </c>
      <c r="R415" s="889"/>
      <c r="S415" s="888">
        <v>6.3423943661971833</v>
      </c>
      <c r="T415" s="886">
        <v>450.31</v>
      </c>
      <c r="U415" s="889"/>
      <c r="V415" s="888">
        <v>0</v>
      </c>
      <c r="W415" s="886">
        <v>0</v>
      </c>
      <c r="X415" s="889"/>
      <c r="Y415" s="888">
        <v>9.1704166666666662</v>
      </c>
      <c r="Z415" s="886">
        <v>660.27</v>
      </c>
      <c r="AA415" s="889"/>
      <c r="AB415" s="888">
        <v>3.1829113924050629</v>
      </c>
      <c r="AC415" s="886">
        <v>251.45</v>
      </c>
      <c r="AD415" s="889"/>
      <c r="AE415" s="888">
        <v>9.0579069767441869</v>
      </c>
      <c r="AF415" s="886">
        <v>778.98</v>
      </c>
      <c r="AG415" s="889"/>
      <c r="AH415" s="888">
        <v>27.064588235294114</v>
      </c>
      <c r="AI415" s="886">
        <v>2300.4899999999998</v>
      </c>
      <c r="AJ415" s="889"/>
      <c r="AK415" s="888">
        <v>64.881009174311927</v>
      </c>
      <c r="AL415" s="886">
        <v>7072.03</v>
      </c>
      <c r="AM415" s="889"/>
      <c r="AN415" s="888">
        <v>37.133768115942033</v>
      </c>
      <c r="AO415" s="886">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110.89993243243245</v>
      </c>
      <c r="E416" s="880">
        <v>98479.140000000014</v>
      </c>
      <c r="F416" s="892"/>
      <c r="G416" s="891">
        <v>95.485441176470587</v>
      </c>
      <c r="H416" s="880">
        <v>6493.01</v>
      </c>
      <c r="I416" s="892"/>
      <c r="J416" s="891">
        <v>166.87833333333333</v>
      </c>
      <c r="K416" s="880">
        <v>8010.16</v>
      </c>
      <c r="L416" s="892"/>
      <c r="M416" s="891">
        <v>77.26178082191781</v>
      </c>
      <c r="N416" s="880">
        <v>5640.1100000000006</v>
      </c>
      <c r="O416" s="892"/>
      <c r="P416" s="891">
        <v>161.70500000000001</v>
      </c>
      <c r="Q416" s="880">
        <v>7761.84</v>
      </c>
      <c r="R416" s="892"/>
      <c r="S416" s="891">
        <v>114.65267605633802</v>
      </c>
      <c r="T416" s="880">
        <v>8140.34</v>
      </c>
      <c r="U416" s="892"/>
      <c r="V416" s="891">
        <v>101.99487500000001</v>
      </c>
      <c r="W416" s="880">
        <v>8159.59</v>
      </c>
      <c r="X416" s="892"/>
      <c r="Y416" s="891">
        <v>123.27194444444444</v>
      </c>
      <c r="Z416" s="880">
        <v>8875.58</v>
      </c>
      <c r="AA416" s="892"/>
      <c r="AB416" s="891">
        <v>108.44645569620253</v>
      </c>
      <c r="AC416" s="880">
        <v>8567.27</v>
      </c>
      <c r="AD416" s="892"/>
      <c r="AE416" s="891">
        <v>99.293488372093023</v>
      </c>
      <c r="AF416" s="880">
        <v>8539.24</v>
      </c>
      <c r="AG416" s="892"/>
      <c r="AH416" s="891">
        <v>111.43411764705881</v>
      </c>
      <c r="AI416" s="880">
        <v>9471.9</v>
      </c>
      <c r="AJ416" s="892"/>
      <c r="AK416" s="891">
        <v>104.90669724770642</v>
      </c>
      <c r="AL416" s="880">
        <v>11434.83</v>
      </c>
      <c r="AM416" s="892"/>
      <c r="AN416" s="891">
        <v>107.03289855072464</v>
      </c>
      <c r="AO416" s="880">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236.88950450450446</v>
      </c>
      <c r="E417" s="886">
        <v>210357.87999999995</v>
      </c>
      <c r="F417" s="889"/>
      <c r="G417" s="888">
        <v>111.62588235294118</v>
      </c>
      <c r="H417" s="886">
        <v>7590.56</v>
      </c>
      <c r="I417" s="889"/>
      <c r="J417" s="888">
        <v>314.77333333333331</v>
      </c>
      <c r="K417" s="886">
        <v>15109.119999999999</v>
      </c>
      <c r="L417" s="889"/>
      <c r="M417" s="888">
        <v>176.76808219178071</v>
      </c>
      <c r="N417" s="886">
        <v>12904.069999999991</v>
      </c>
      <c r="O417" s="889"/>
      <c r="P417" s="888">
        <v>368.4883333333334</v>
      </c>
      <c r="Q417" s="886">
        <v>17687.440000000002</v>
      </c>
      <c r="R417" s="889"/>
      <c r="S417" s="888">
        <v>289.73464788732377</v>
      </c>
      <c r="T417" s="886">
        <v>20571.159999999989</v>
      </c>
      <c r="U417" s="889"/>
      <c r="V417" s="888">
        <v>261.49475000000001</v>
      </c>
      <c r="W417" s="886">
        <v>20919.580000000002</v>
      </c>
      <c r="X417" s="889"/>
      <c r="Y417" s="888">
        <v>262.21513888888876</v>
      </c>
      <c r="Z417" s="886">
        <v>18879.489999999991</v>
      </c>
      <c r="AA417" s="889"/>
      <c r="AB417" s="888">
        <v>163.09050632911379</v>
      </c>
      <c r="AC417" s="886">
        <v>12884.149999999991</v>
      </c>
      <c r="AD417" s="889"/>
      <c r="AE417" s="888">
        <v>168.29313953488361</v>
      </c>
      <c r="AF417" s="886">
        <v>14473.20999999999</v>
      </c>
      <c r="AG417" s="889"/>
      <c r="AH417" s="888">
        <v>292.33129411764708</v>
      </c>
      <c r="AI417" s="886">
        <v>24848.16</v>
      </c>
      <c r="AJ417" s="889"/>
      <c r="AK417" s="888">
        <v>163.18321100917422</v>
      </c>
      <c r="AL417" s="886">
        <v>17786.96999999999</v>
      </c>
      <c r="AM417" s="889"/>
      <c r="AN417" s="888">
        <v>387.01405797101432</v>
      </c>
      <c r="AO417" s="886">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115.53834459459458</v>
      </c>
      <c r="E418" s="886">
        <v>102598.04999999999</v>
      </c>
      <c r="F418" s="889"/>
      <c r="G418" s="888">
        <v>180.3785294117647</v>
      </c>
      <c r="H418" s="886">
        <v>12265.74</v>
      </c>
      <c r="I418" s="889"/>
      <c r="J418" s="888">
        <v>181.78166666666667</v>
      </c>
      <c r="K418" s="886">
        <v>8725.52</v>
      </c>
      <c r="L418" s="889"/>
      <c r="M418" s="888">
        <v>95.617808219178087</v>
      </c>
      <c r="N418" s="886">
        <v>6980.1</v>
      </c>
      <c r="O418" s="889"/>
      <c r="P418" s="888">
        <v>81.029375000000002</v>
      </c>
      <c r="Q418" s="886">
        <v>3889.41</v>
      </c>
      <c r="R418" s="889"/>
      <c r="S418" s="888">
        <v>113.19084507042254</v>
      </c>
      <c r="T418" s="886">
        <v>8036.55</v>
      </c>
      <c r="U418" s="889"/>
      <c r="V418" s="888">
        <v>78.718625000000003</v>
      </c>
      <c r="W418" s="886">
        <v>6297.49</v>
      </c>
      <c r="X418" s="889"/>
      <c r="Y418" s="888">
        <v>81.453888888888898</v>
      </c>
      <c r="Z418" s="886">
        <v>5864.68</v>
      </c>
      <c r="AA418" s="889"/>
      <c r="AB418" s="888">
        <v>91.770379746835445</v>
      </c>
      <c r="AC418" s="886">
        <v>7249.86</v>
      </c>
      <c r="AD418" s="889"/>
      <c r="AE418" s="888">
        <v>65.783953488372092</v>
      </c>
      <c r="AF418" s="886">
        <v>5657.42</v>
      </c>
      <c r="AG418" s="889"/>
      <c r="AH418" s="888">
        <v>0</v>
      </c>
      <c r="AI418" s="886">
        <v>0</v>
      </c>
      <c r="AJ418" s="889"/>
      <c r="AK418" s="888">
        <v>183.8651376146789</v>
      </c>
      <c r="AL418" s="886">
        <v>20041.3</v>
      </c>
      <c r="AM418" s="889"/>
      <c r="AN418" s="888">
        <v>254.92724637681158</v>
      </c>
      <c r="AO418" s="886">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0.2119195188185688</v>
      </c>
      <c r="D422" s="894">
        <v>1724.9886345602924</v>
      </c>
      <c r="E422" s="895">
        <v>1580487.0000000002</v>
      </c>
      <c r="F422" s="893">
        <v>0.17265781626620252</v>
      </c>
      <c r="G422" s="896"/>
      <c r="H422" s="895">
        <v>89405.13</v>
      </c>
      <c r="I422" s="893">
        <v>0.23803477036003626</v>
      </c>
      <c r="J422" s="896"/>
      <c r="K422" s="895">
        <v>99040.06</v>
      </c>
      <c r="L422" s="893">
        <v>0.23972999739801257</v>
      </c>
      <c r="M422" s="896"/>
      <c r="N422" s="895">
        <v>141111.53</v>
      </c>
      <c r="O422" s="893">
        <v>0.20254072125327297</v>
      </c>
      <c r="P422" s="896"/>
      <c r="Q422" s="895">
        <v>115318.82</v>
      </c>
      <c r="R422" s="893">
        <v>0.21018923246462795</v>
      </c>
      <c r="S422" s="896"/>
      <c r="T422" s="895">
        <v>150379.58999999997</v>
      </c>
      <c r="U422" s="893">
        <v>0.21408869272285694</v>
      </c>
      <c r="V422" s="896"/>
      <c r="W422" s="895">
        <v>144706.71999999997</v>
      </c>
      <c r="X422" s="893">
        <v>0.22494732871421996</v>
      </c>
      <c r="Y422" s="896"/>
      <c r="Z422" s="895">
        <v>137753.91999999998</v>
      </c>
      <c r="AA422" s="893">
        <v>0.21704445323519253</v>
      </c>
      <c r="AB422" s="896"/>
      <c r="AC422" s="895">
        <v>141221.88999999998</v>
      </c>
      <c r="AD422" s="893">
        <v>0.19266048109935022</v>
      </c>
      <c r="AE422" s="896"/>
      <c r="AF422" s="895">
        <v>121047.16999999998</v>
      </c>
      <c r="AG422" s="893">
        <v>0.20257201225533536</v>
      </c>
      <c r="AH422" s="896"/>
      <c r="AI422" s="895">
        <v>149904.15</v>
      </c>
      <c r="AJ422" s="893">
        <v>0.19238513769760235</v>
      </c>
      <c r="AK422" s="896"/>
      <c r="AL422" s="895">
        <v>158328.53</v>
      </c>
      <c r="AM422" s="893">
        <v>0.25417085762597313</v>
      </c>
      <c r="AN422" s="896"/>
      <c r="AO422" s="895">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189463.65999999977</v>
      </c>
      <c r="F423" s="889"/>
      <c r="G423" s="888"/>
      <c r="H423" s="897">
        <v>21422.59</v>
      </c>
      <c r="I423" s="889"/>
      <c r="J423" s="888"/>
      <c r="K423" s="897">
        <v>17118.73</v>
      </c>
      <c r="L423" s="889"/>
      <c r="M423" s="888"/>
      <c r="N423" s="897">
        <v>16324.92</v>
      </c>
      <c r="O423" s="889"/>
      <c r="P423" s="888"/>
      <c r="Q423" s="897">
        <v>17494.309999999899</v>
      </c>
      <c r="R423" s="889"/>
      <c r="S423" s="888"/>
      <c r="T423" s="897">
        <v>20877.259999999998</v>
      </c>
      <c r="U423" s="889"/>
      <c r="V423" s="888"/>
      <c r="W423" s="897">
        <v>19731.150000000001</v>
      </c>
      <c r="X423" s="889"/>
      <c r="Y423" s="888"/>
      <c r="Z423" s="897">
        <v>13077</v>
      </c>
      <c r="AA423" s="889"/>
      <c r="AB423" s="888"/>
      <c r="AC423" s="897">
        <v>15225.4199999999</v>
      </c>
      <c r="AD423" s="889"/>
      <c r="AE423" s="888"/>
      <c r="AF423" s="897">
        <v>14442.3</v>
      </c>
      <c r="AG423" s="889"/>
      <c r="AH423" s="888"/>
      <c r="AI423" s="897">
        <v>12153.84</v>
      </c>
      <c r="AJ423" s="889"/>
      <c r="AK423" s="888"/>
      <c r="AL423" s="897">
        <v>12153.84</v>
      </c>
      <c r="AM423" s="889"/>
      <c r="AN423" s="888"/>
      <c r="AO423" s="897">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501484.98999999976</v>
      </c>
      <c r="F424" s="889"/>
      <c r="G424" s="888"/>
      <c r="H424" s="886">
        <v>37559.410000000003</v>
      </c>
      <c r="I424" s="889"/>
      <c r="J424" s="888"/>
      <c r="K424" s="886">
        <v>27821.82</v>
      </c>
      <c r="L424" s="889"/>
      <c r="M424" s="888"/>
      <c r="N424" s="886">
        <v>35693.94</v>
      </c>
      <c r="O424" s="889"/>
      <c r="P424" s="888"/>
      <c r="Q424" s="886">
        <v>34182.79</v>
      </c>
      <c r="R424" s="889"/>
      <c r="S424" s="888"/>
      <c r="T424" s="886">
        <v>46937.36</v>
      </c>
      <c r="U424" s="889"/>
      <c r="V424" s="888"/>
      <c r="W424" s="886">
        <v>37891.839999999997</v>
      </c>
      <c r="X424" s="889"/>
      <c r="Y424" s="888"/>
      <c r="Z424" s="886">
        <v>45656.84</v>
      </c>
      <c r="AA424" s="889"/>
      <c r="AB424" s="888"/>
      <c r="AC424" s="886">
        <v>45661.419999999896</v>
      </c>
      <c r="AD424" s="889"/>
      <c r="AE424" s="888"/>
      <c r="AF424" s="886">
        <v>40117.109999999899</v>
      </c>
      <c r="AG424" s="889"/>
      <c r="AH424" s="888"/>
      <c r="AI424" s="886">
        <v>34612.720000000001</v>
      </c>
      <c r="AJ424" s="889"/>
      <c r="AK424" s="888"/>
      <c r="AL424" s="886">
        <v>62760.13</v>
      </c>
      <c r="AM424" s="889"/>
      <c r="AN424" s="888"/>
      <c r="AO424" s="886">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589217.08999999985</v>
      </c>
      <c r="F425" s="892"/>
      <c r="G425" s="891"/>
      <c r="H425" s="880">
        <v>46856.34</v>
      </c>
      <c r="I425" s="892"/>
      <c r="J425" s="891"/>
      <c r="K425" s="880">
        <v>47043</v>
      </c>
      <c r="L425" s="892"/>
      <c r="M425" s="891"/>
      <c r="N425" s="880">
        <v>49703.63</v>
      </c>
      <c r="O425" s="892"/>
      <c r="P425" s="891"/>
      <c r="Q425" s="880">
        <v>43473.979999999901</v>
      </c>
      <c r="R425" s="892"/>
      <c r="S425" s="891"/>
      <c r="T425" s="880">
        <v>51414.06</v>
      </c>
      <c r="U425" s="892"/>
      <c r="V425" s="891"/>
      <c r="W425" s="880">
        <v>50801</v>
      </c>
      <c r="X425" s="892"/>
      <c r="Y425" s="891"/>
      <c r="Z425" s="880">
        <v>42545.5</v>
      </c>
      <c r="AA425" s="892"/>
      <c r="AB425" s="891"/>
      <c r="AC425" s="880">
        <v>46717.79</v>
      </c>
      <c r="AD425" s="892"/>
      <c r="AE425" s="891"/>
      <c r="AF425" s="880">
        <v>61720.47</v>
      </c>
      <c r="AG425" s="892"/>
      <c r="AH425" s="891"/>
      <c r="AI425" s="880">
        <v>47146.1</v>
      </c>
      <c r="AJ425" s="892"/>
      <c r="AK425" s="891"/>
      <c r="AL425" s="880">
        <v>49261.14</v>
      </c>
      <c r="AM425" s="892"/>
      <c r="AN425" s="891"/>
      <c r="AO425" s="880">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421862.52999999991</v>
      </c>
      <c r="F426" s="889"/>
      <c r="G426" s="888"/>
      <c r="H426" s="886">
        <v>29308.07</v>
      </c>
      <c r="I426" s="889"/>
      <c r="J426" s="888"/>
      <c r="K426" s="886">
        <v>32894.410000000003</v>
      </c>
      <c r="L426" s="889"/>
      <c r="M426" s="888"/>
      <c r="N426" s="886">
        <v>30652.9</v>
      </c>
      <c r="O426" s="889"/>
      <c r="P426" s="888"/>
      <c r="Q426" s="886">
        <v>38091.160000000003</v>
      </c>
      <c r="R426" s="889"/>
      <c r="S426" s="888"/>
      <c r="T426" s="886">
        <v>39705.81</v>
      </c>
      <c r="U426" s="889"/>
      <c r="V426" s="888"/>
      <c r="W426" s="886">
        <v>30665.71</v>
      </c>
      <c r="X426" s="889"/>
      <c r="Y426" s="888"/>
      <c r="Z426" s="886">
        <v>31114.379999999899</v>
      </c>
      <c r="AA426" s="889"/>
      <c r="AB426" s="888"/>
      <c r="AC426" s="886">
        <v>27408.46</v>
      </c>
      <c r="AD426" s="889"/>
      <c r="AE426" s="888"/>
      <c r="AF426" s="886">
        <v>37784.449999999997</v>
      </c>
      <c r="AG426" s="889"/>
      <c r="AH426" s="888"/>
      <c r="AI426" s="886">
        <v>31689.39</v>
      </c>
      <c r="AJ426" s="889"/>
      <c r="AK426" s="888"/>
      <c r="AL426" s="886">
        <v>56649.41</v>
      </c>
      <c r="AM426" s="889"/>
      <c r="AN426" s="888"/>
      <c r="AO426" s="886">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390462.77999999974</v>
      </c>
      <c r="F427" s="889"/>
      <c r="G427" s="888"/>
      <c r="H427" s="886">
        <v>31429.8</v>
      </c>
      <c r="I427" s="889"/>
      <c r="J427" s="888"/>
      <c r="K427" s="886">
        <v>25264.449999999899</v>
      </c>
      <c r="L427" s="889"/>
      <c r="M427" s="888"/>
      <c r="N427" s="886">
        <v>34061.25</v>
      </c>
      <c r="O427" s="889"/>
      <c r="P427" s="888"/>
      <c r="Q427" s="886">
        <v>32188.6</v>
      </c>
      <c r="R427" s="889"/>
      <c r="S427" s="888"/>
      <c r="T427" s="886">
        <v>34253.58</v>
      </c>
      <c r="U427" s="889"/>
      <c r="V427" s="888"/>
      <c r="W427" s="886">
        <v>38627.79</v>
      </c>
      <c r="X427" s="889"/>
      <c r="Y427" s="888"/>
      <c r="Z427" s="886">
        <v>28533.96</v>
      </c>
      <c r="AA427" s="889"/>
      <c r="AB427" s="888"/>
      <c r="AC427" s="886">
        <v>27912.47</v>
      </c>
      <c r="AD427" s="889"/>
      <c r="AE427" s="888"/>
      <c r="AF427" s="886">
        <v>32169.559999999899</v>
      </c>
      <c r="AG427" s="889"/>
      <c r="AH427" s="888"/>
      <c r="AI427" s="886">
        <v>39009.53</v>
      </c>
      <c r="AJ427" s="889"/>
      <c r="AK427" s="888"/>
      <c r="AL427" s="886">
        <v>25386.61</v>
      </c>
      <c r="AM427" s="889"/>
      <c r="AN427" s="888"/>
      <c r="AO427" s="886">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0.10003630628516677</v>
      </c>
      <c r="E431" s="880">
        <v>419826.25999999983</v>
      </c>
      <c r="F431" s="892"/>
      <c r="G431" s="898">
        <v>0.16582769039850495</v>
      </c>
      <c r="H431" s="880">
        <v>48063.06</v>
      </c>
      <c r="I431" s="892"/>
      <c r="J431" s="898">
        <v>9.0478016488894392E-2</v>
      </c>
      <c r="K431" s="880">
        <v>25105.0799999999</v>
      </c>
      <c r="L431" s="892"/>
      <c r="M431" s="898">
        <v>9.3190783950924366E-2</v>
      </c>
      <c r="N431" s="880">
        <v>32171.52</v>
      </c>
      <c r="O431" s="892"/>
      <c r="P431" s="898">
        <v>0.1029495567003921</v>
      </c>
      <c r="Q431" s="880">
        <v>33924.15</v>
      </c>
      <c r="R431" s="892"/>
      <c r="S431" s="898">
        <v>0.10659800076981646</v>
      </c>
      <c r="T431" s="880">
        <v>41286.800000000003</v>
      </c>
      <c r="U431" s="892"/>
      <c r="V431" s="898">
        <v>0.12396920737727848</v>
      </c>
      <c r="W431" s="880">
        <v>43881.119999999901</v>
      </c>
      <c r="X431" s="892"/>
      <c r="Y431" s="898">
        <v>9.6435394179970602E-2</v>
      </c>
      <c r="Z431" s="880">
        <v>33642.36</v>
      </c>
      <c r="AA431" s="892"/>
      <c r="AB431" s="898">
        <v>7.5053049499345853E-2</v>
      </c>
      <c r="AC431" s="880">
        <v>27052.6</v>
      </c>
      <c r="AD431" s="892"/>
      <c r="AE431" s="898">
        <v>9.7849344238592609E-2</v>
      </c>
      <c r="AF431" s="880">
        <v>35502.839999999997</v>
      </c>
      <c r="AG431" s="892"/>
      <c r="AH431" s="898">
        <v>0.10137571917295493</v>
      </c>
      <c r="AI431" s="880">
        <v>38413.25</v>
      </c>
      <c r="AJ431" s="892"/>
      <c r="AK431" s="898">
        <v>5.9808953886369851E-2</v>
      </c>
      <c r="AL431" s="880">
        <v>24774.34</v>
      </c>
      <c r="AM431" s="892"/>
      <c r="AN431" s="898">
        <v>0.10343783763163569</v>
      </c>
      <c r="AO431" s="880">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0.13856742129672436</v>
      </c>
      <c r="E432" s="886">
        <v>581531.28999999969</v>
      </c>
      <c r="F432" s="889"/>
      <c r="G432" s="899">
        <v>0.1518027903649137</v>
      </c>
      <c r="H432" s="886">
        <v>43998.12</v>
      </c>
      <c r="I432" s="889"/>
      <c r="J432" s="899">
        <v>0.14951753620911082</v>
      </c>
      <c r="K432" s="886">
        <v>41486.869999999901</v>
      </c>
      <c r="L432" s="889"/>
      <c r="M432" s="899">
        <v>0.12478415346038695</v>
      </c>
      <c r="N432" s="886">
        <v>43078.25</v>
      </c>
      <c r="O432" s="889"/>
      <c r="P432" s="899">
        <v>0.22232866594728107</v>
      </c>
      <c r="Q432" s="886">
        <v>73262.199999999895</v>
      </c>
      <c r="R432" s="889"/>
      <c r="S432" s="899">
        <v>0.12745125984384514</v>
      </c>
      <c r="T432" s="886">
        <v>49363.54</v>
      </c>
      <c r="U432" s="889"/>
      <c r="V432" s="899">
        <v>0.13050612781554422</v>
      </c>
      <c r="W432" s="886">
        <v>46194.979999999901</v>
      </c>
      <c r="X432" s="889"/>
      <c r="Y432" s="899">
        <v>0.14217564371628058</v>
      </c>
      <c r="Z432" s="886">
        <v>49599.26</v>
      </c>
      <c r="AA432" s="889"/>
      <c r="AB432" s="899">
        <v>0.12731766095140157</v>
      </c>
      <c r="AC432" s="886">
        <v>45891.19</v>
      </c>
      <c r="AD432" s="889"/>
      <c r="AE432" s="899">
        <v>0.12329183180982607</v>
      </c>
      <c r="AF432" s="886">
        <v>44734.18</v>
      </c>
      <c r="AG432" s="889"/>
      <c r="AH432" s="899">
        <v>0.11667207634505497</v>
      </c>
      <c r="AI432" s="886">
        <v>44209.34</v>
      </c>
      <c r="AJ432" s="889"/>
      <c r="AK432" s="899">
        <v>0.11433794612874269</v>
      </c>
      <c r="AL432" s="886">
        <v>47361.59</v>
      </c>
      <c r="AM432" s="889"/>
      <c r="AN432" s="899">
        <v>0.15038276073765539</v>
      </c>
      <c r="AO432" s="886">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5.9607420134679165E-2</v>
      </c>
      <c r="E433" s="886">
        <v>250156.77999999959</v>
      </c>
      <c r="F433" s="889"/>
      <c r="G433" s="899">
        <v>7.1203484602537129E-2</v>
      </c>
      <c r="H433" s="886">
        <v>20637.43</v>
      </c>
      <c r="I433" s="889"/>
      <c r="J433" s="899">
        <v>6.7105714602863881E-2</v>
      </c>
      <c r="K433" s="886">
        <v>18619.93</v>
      </c>
      <c r="L433" s="889"/>
      <c r="M433" s="899">
        <v>6.0675109694593311E-2</v>
      </c>
      <c r="N433" s="886">
        <v>20946.39</v>
      </c>
      <c r="O433" s="889"/>
      <c r="P433" s="899">
        <v>7.1061706764032437E-2</v>
      </c>
      <c r="Q433" s="886">
        <v>23416.3999999999</v>
      </c>
      <c r="R433" s="889"/>
      <c r="S433" s="899">
        <v>4.8557203386986027E-2</v>
      </c>
      <c r="T433" s="886">
        <v>18806.84</v>
      </c>
      <c r="U433" s="889"/>
      <c r="V433" s="899">
        <v>6.1223461223461048E-2</v>
      </c>
      <c r="W433" s="886">
        <v>21671.14</v>
      </c>
      <c r="X433" s="889"/>
      <c r="Y433" s="899">
        <v>5.8901209528604878E-2</v>
      </c>
      <c r="Z433" s="886">
        <v>20548.22</v>
      </c>
      <c r="AA433" s="889"/>
      <c r="AB433" s="899">
        <v>5.804971602156199E-2</v>
      </c>
      <c r="AC433" s="886">
        <v>20923.810000000001</v>
      </c>
      <c r="AD433" s="889"/>
      <c r="AE433" s="899">
        <v>5.80099046483427E-2</v>
      </c>
      <c r="AF433" s="886">
        <v>21047.8299999999</v>
      </c>
      <c r="AG433" s="889"/>
      <c r="AH433" s="899">
        <v>5.7885678817959349E-2</v>
      </c>
      <c r="AI433" s="886">
        <v>21934.02</v>
      </c>
      <c r="AJ433" s="889"/>
      <c r="AK433" s="899">
        <v>4.8999697265686051E-2</v>
      </c>
      <c r="AL433" s="886">
        <v>20296.879999999899</v>
      </c>
      <c r="AM433" s="889"/>
      <c r="AN433" s="899">
        <v>6.1207850731584919E-2</v>
      </c>
      <c r="AO433" s="886">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2.5114481031381371E-2</v>
      </c>
      <c r="E434" s="886">
        <v>105398.9199999999</v>
      </c>
      <c r="F434" s="889"/>
      <c r="G434" s="899">
        <v>4.9254278330440236E-2</v>
      </c>
      <c r="H434" s="886">
        <v>14275.73</v>
      </c>
      <c r="I434" s="889"/>
      <c r="J434" s="899">
        <v>5.0185892898588554E-2</v>
      </c>
      <c r="K434" s="886">
        <v>13925.16</v>
      </c>
      <c r="L434" s="889"/>
      <c r="M434" s="899">
        <v>4.1787096377253981E-2</v>
      </c>
      <c r="N434" s="886">
        <v>14425.8299999999</v>
      </c>
      <c r="O434" s="889"/>
      <c r="P434" s="899">
        <v>-3.5493921105008874E-2</v>
      </c>
      <c r="Q434" s="886">
        <v>-11696.029999999999</v>
      </c>
      <c r="R434" s="889"/>
      <c r="S434" s="899">
        <v>2.0560601774667633E-2</v>
      </c>
      <c r="T434" s="886">
        <v>7963.3899999999903</v>
      </c>
      <c r="U434" s="889"/>
      <c r="V434" s="899">
        <v>3.6865376775690573E-2</v>
      </c>
      <c r="W434" s="886">
        <v>13049.16</v>
      </c>
      <c r="X434" s="889"/>
      <c r="Y434" s="899">
        <v>2.4525349134557405E-2</v>
      </c>
      <c r="Z434" s="886">
        <v>8555.89</v>
      </c>
      <c r="AA434" s="889"/>
      <c r="AB434" s="899">
        <v>3.0033371399096894E-2</v>
      </c>
      <c r="AC434" s="886">
        <v>10825.42</v>
      </c>
      <c r="AD434" s="889"/>
      <c r="AE434" s="899">
        <v>2.7545914819010007E-2</v>
      </c>
      <c r="AF434" s="886">
        <v>9994.5300000000007</v>
      </c>
      <c r="AG434" s="889"/>
      <c r="AH434" s="899">
        <v>1.8082831971518599E-2</v>
      </c>
      <c r="AI434" s="886">
        <v>6851.94</v>
      </c>
      <c r="AJ434" s="889"/>
      <c r="AK434" s="899">
        <v>1.8763805915920976E-2</v>
      </c>
      <c r="AL434" s="886">
        <v>7772.43</v>
      </c>
      <c r="AM434" s="889"/>
      <c r="AN434" s="899">
        <v>2.716125324267123E-2</v>
      </c>
      <c r="AO434" s="886">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0.46251319970787586</v>
      </c>
      <c r="D436" s="900"/>
      <c r="E436" s="895">
        <v>3449404.299999998</v>
      </c>
      <c r="F436" s="893">
        <v>0.56690032134333557</v>
      </c>
      <c r="G436" s="900"/>
      <c r="H436" s="895">
        <v>293550.55</v>
      </c>
      <c r="I436" s="893">
        <v>0.59912298756913185</v>
      </c>
      <c r="J436" s="900"/>
      <c r="K436" s="895">
        <v>249279.44999999972</v>
      </c>
      <c r="L436" s="893">
        <v>0.47068630500283642</v>
      </c>
      <c r="M436" s="900"/>
      <c r="N436" s="895">
        <v>277058.62999999989</v>
      </c>
      <c r="O436" s="893">
        <v>0.49939753530079206</v>
      </c>
      <c r="P436" s="900"/>
      <c r="Q436" s="895">
        <v>284337.55999999959</v>
      </c>
      <c r="R436" s="893">
        <v>0.43414529617005843</v>
      </c>
      <c r="S436" s="900"/>
      <c r="T436" s="895">
        <v>310608.64000000001</v>
      </c>
      <c r="U436" s="893">
        <v>0.44755905766232634</v>
      </c>
      <c r="V436" s="900"/>
      <c r="W436" s="895">
        <v>302513.88999999978</v>
      </c>
      <c r="X436" s="893">
        <v>0.44624591146390458</v>
      </c>
      <c r="Y436" s="900"/>
      <c r="Z436" s="895">
        <v>273273.40999999992</v>
      </c>
      <c r="AA436" s="893">
        <v>0.4113040009001338</v>
      </c>
      <c r="AB436" s="900"/>
      <c r="AC436" s="895">
        <v>267618.57999999978</v>
      </c>
      <c r="AD436" s="893">
        <v>0.47352655771829139</v>
      </c>
      <c r="AE436" s="900"/>
      <c r="AF436" s="895">
        <v>297513.26999999973</v>
      </c>
      <c r="AG436" s="893">
        <v>0.37299803345724092</v>
      </c>
      <c r="AH436" s="900"/>
      <c r="AI436" s="895">
        <v>276020.13</v>
      </c>
      <c r="AJ436" s="893">
        <v>0.3723268038631411</v>
      </c>
      <c r="AK436" s="900"/>
      <c r="AL436" s="895">
        <v>306416.36999999988</v>
      </c>
      <c r="AM436" s="893">
        <v>0.59803272496518434</v>
      </c>
      <c r="AN436" s="900"/>
      <c r="AO436" s="895">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178723.49</v>
      </c>
      <c r="F437" s="901"/>
      <c r="G437" s="902"/>
      <c r="H437" s="903">
        <v>14799.06</v>
      </c>
      <c r="I437" s="901"/>
      <c r="J437" s="902"/>
      <c r="K437" s="903">
        <v>15827.06</v>
      </c>
      <c r="L437" s="901"/>
      <c r="M437" s="902"/>
      <c r="N437" s="903">
        <v>12859.72</v>
      </c>
      <c r="O437" s="901"/>
      <c r="P437" s="902"/>
      <c r="Q437" s="903">
        <v>15120.34</v>
      </c>
      <c r="R437" s="901"/>
      <c r="S437" s="902"/>
      <c r="T437" s="903">
        <v>11795.04</v>
      </c>
      <c r="U437" s="901"/>
      <c r="V437" s="902"/>
      <c r="W437" s="903">
        <v>15432.61</v>
      </c>
      <c r="X437" s="901"/>
      <c r="Y437" s="902"/>
      <c r="Z437" s="903">
        <v>18581.48</v>
      </c>
      <c r="AA437" s="901"/>
      <c r="AB437" s="902"/>
      <c r="AC437" s="903">
        <v>17430</v>
      </c>
      <c r="AD437" s="901"/>
      <c r="AE437" s="902"/>
      <c r="AF437" s="903">
        <v>13735.71</v>
      </c>
      <c r="AG437" s="901"/>
      <c r="AH437" s="902"/>
      <c r="AI437" s="903">
        <v>12394.18</v>
      </c>
      <c r="AJ437" s="901"/>
      <c r="AK437" s="902"/>
      <c r="AL437" s="903">
        <v>15086.61</v>
      </c>
      <c r="AM437" s="901"/>
      <c r="AN437" s="902"/>
      <c r="AO437" s="903">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87538.009999999791</v>
      </c>
      <c r="F438" s="889"/>
      <c r="G438" s="888"/>
      <c r="H438" s="886">
        <v>-149.41999999999999</v>
      </c>
      <c r="I438" s="889"/>
      <c r="J438" s="888"/>
      <c r="K438" s="886">
        <v>4219.9799999999996</v>
      </c>
      <c r="L438" s="889"/>
      <c r="M438" s="888"/>
      <c r="N438" s="886">
        <v>5030.17</v>
      </c>
      <c r="O438" s="889"/>
      <c r="P438" s="888"/>
      <c r="Q438" s="886">
        <v>6731.45</v>
      </c>
      <c r="R438" s="889"/>
      <c r="S438" s="888"/>
      <c r="T438" s="886">
        <v>8077.33</v>
      </c>
      <c r="U438" s="889"/>
      <c r="V438" s="888"/>
      <c r="W438" s="886">
        <v>11922.65</v>
      </c>
      <c r="X438" s="889"/>
      <c r="Y438" s="888"/>
      <c r="Z438" s="886">
        <v>6040.7</v>
      </c>
      <c r="AA438" s="889"/>
      <c r="AB438" s="888"/>
      <c r="AC438" s="886">
        <v>8864.43</v>
      </c>
      <c r="AD438" s="889"/>
      <c r="AE438" s="888"/>
      <c r="AF438" s="886">
        <v>8763.49</v>
      </c>
      <c r="AG438" s="889"/>
      <c r="AH438" s="888"/>
      <c r="AI438" s="886">
        <v>12172.0899999999</v>
      </c>
      <c r="AJ438" s="889"/>
      <c r="AK438" s="888"/>
      <c r="AL438" s="886">
        <v>14687.5199999999</v>
      </c>
      <c r="AM438" s="889"/>
      <c r="AN438" s="888"/>
      <c r="AO438" s="886">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268729.72999999981</v>
      </c>
      <c r="F439" s="892"/>
      <c r="G439" s="891"/>
      <c r="H439" s="880">
        <v>21261.18</v>
      </c>
      <c r="I439" s="892"/>
      <c r="J439" s="891"/>
      <c r="K439" s="880">
        <v>17926.02</v>
      </c>
      <c r="L439" s="892"/>
      <c r="M439" s="891"/>
      <c r="N439" s="880">
        <v>20873.650000000001</v>
      </c>
      <c r="O439" s="892"/>
      <c r="P439" s="891"/>
      <c r="Q439" s="880">
        <v>21960.5</v>
      </c>
      <c r="R439" s="892"/>
      <c r="S439" s="891"/>
      <c r="T439" s="880">
        <v>25941.01</v>
      </c>
      <c r="U439" s="892"/>
      <c r="V439" s="891"/>
      <c r="W439" s="880">
        <v>22933.759999999998</v>
      </c>
      <c r="X439" s="892"/>
      <c r="Y439" s="891"/>
      <c r="Z439" s="880">
        <v>24599.02</v>
      </c>
      <c r="AA439" s="892"/>
      <c r="AB439" s="891"/>
      <c r="AC439" s="880">
        <v>15114.1499999999</v>
      </c>
      <c r="AD439" s="892"/>
      <c r="AE439" s="891"/>
      <c r="AF439" s="880">
        <v>16360.879999999899</v>
      </c>
      <c r="AG439" s="892"/>
      <c r="AH439" s="891"/>
      <c r="AI439" s="880">
        <v>25983.25</v>
      </c>
      <c r="AJ439" s="892"/>
      <c r="AK439" s="891"/>
      <c r="AL439" s="880">
        <v>26695.439999999999</v>
      </c>
      <c r="AM439" s="892"/>
      <c r="AN439" s="891"/>
      <c r="AO439" s="880">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255651.73999999976</v>
      </c>
      <c r="F440" s="889"/>
      <c r="G440" s="888"/>
      <c r="H440" s="886">
        <v>17445.560000000001</v>
      </c>
      <c r="I440" s="889"/>
      <c r="J440" s="888"/>
      <c r="K440" s="886">
        <v>22222.57</v>
      </c>
      <c r="L440" s="889"/>
      <c r="M440" s="888"/>
      <c r="N440" s="886">
        <v>20092.71</v>
      </c>
      <c r="O440" s="889"/>
      <c r="P440" s="888"/>
      <c r="Q440" s="886">
        <v>19618.09</v>
      </c>
      <c r="R440" s="889"/>
      <c r="S440" s="888"/>
      <c r="T440" s="886">
        <v>24895.379999999899</v>
      </c>
      <c r="U440" s="889"/>
      <c r="V440" s="888"/>
      <c r="W440" s="886">
        <v>19595.53</v>
      </c>
      <c r="X440" s="889"/>
      <c r="Y440" s="888"/>
      <c r="Z440" s="886">
        <v>21285.919999999998</v>
      </c>
      <c r="AA440" s="889"/>
      <c r="AB440" s="888"/>
      <c r="AC440" s="886">
        <v>19073.02</v>
      </c>
      <c r="AD440" s="889"/>
      <c r="AE440" s="888"/>
      <c r="AF440" s="886">
        <v>22041.62</v>
      </c>
      <c r="AG440" s="889"/>
      <c r="AH440" s="888"/>
      <c r="AI440" s="886">
        <v>26004.28</v>
      </c>
      <c r="AJ440" s="889"/>
      <c r="AK440" s="888"/>
      <c r="AL440" s="886">
        <v>20657.539999999899</v>
      </c>
      <c r="AM440" s="889"/>
      <c r="AN440" s="888"/>
      <c r="AO440" s="886">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59895.049999999981</v>
      </c>
      <c r="F441" s="889"/>
      <c r="G441" s="888"/>
      <c r="H441" s="886">
        <v>2699.72</v>
      </c>
      <c r="I441" s="889"/>
      <c r="J441" s="888"/>
      <c r="K441" s="886">
        <v>5985.0199999999904</v>
      </c>
      <c r="L441" s="889"/>
      <c r="M441" s="888"/>
      <c r="N441" s="886">
        <v>6548.53</v>
      </c>
      <c r="O441" s="889"/>
      <c r="P441" s="888"/>
      <c r="Q441" s="886">
        <v>4039.21</v>
      </c>
      <c r="R441" s="889"/>
      <c r="S441" s="888"/>
      <c r="T441" s="886">
        <v>9758.67</v>
      </c>
      <c r="U441" s="889"/>
      <c r="V441" s="888"/>
      <c r="W441" s="886">
        <v>3288.06</v>
      </c>
      <c r="X441" s="889"/>
      <c r="Y441" s="888"/>
      <c r="Z441" s="886">
        <v>3781.2</v>
      </c>
      <c r="AA441" s="889"/>
      <c r="AB441" s="888"/>
      <c r="AC441" s="886">
        <v>4475.7199999999903</v>
      </c>
      <c r="AD441" s="889"/>
      <c r="AE441" s="888"/>
      <c r="AF441" s="886">
        <v>5159.8</v>
      </c>
      <c r="AG441" s="889"/>
      <c r="AH441" s="888"/>
      <c r="AI441" s="886">
        <v>5559.69</v>
      </c>
      <c r="AJ441" s="889"/>
      <c r="AK441" s="888"/>
      <c r="AL441" s="886">
        <v>5182.58</v>
      </c>
      <c r="AM441" s="889"/>
      <c r="AN441" s="888"/>
      <c r="AO441" s="886">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359526.27</v>
      </c>
      <c r="F442" s="904"/>
      <c r="G442" s="905"/>
      <c r="H442" s="906">
        <v>24007.23</v>
      </c>
      <c r="I442" s="904"/>
      <c r="J442" s="905"/>
      <c r="K442" s="906">
        <v>34713.53</v>
      </c>
      <c r="L442" s="904"/>
      <c r="M442" s="905"/>
      <c r="N442" s="906">
        <v>25879.79</v>
      </c>
      <c r="O442" s="904"/>
      <c r="P442" s="905"/>
      <c r="Q442" s="906">
        <v>26024.04</v>
      </c>
      <c r="R442" s="904"/>
      <c r="S442" s="905"/>
      <c r="T442" s="906">
        <v>28752.89</v>
      </c>
      <c r="U442" s="904"/>
      <c r="V442" s="905"/>
      <c r="W442" s="906">
        <v>28389.37</v>
      </c>
      <c r="X442" s="904"/>
      <c r="Y442" s="905"/>
      <c r="Z442" s="906">
        <v>29314.46</v>
      </c>
      <c r="AA442" s="904"/>
      <c r="AB442" s="905"/>
      <c r="AC442" s="906">
        <v>22686.11</v>
      </c>
      <c r="AD442" s="904"/>
      <c r="AE442" s="905"/>
      <c r="AF442" s="906">
        <v>29126.33</v>
      </c>
      <c r="AG442" s="904"/>
      <c r="AH442" s="905"/>
      <c r="AI442" s="906">
        <v>37487.360000000001</v>
      </c>
      <c r="AJ442" s="904"/>
      <c r="AK442" s="905"/>
      <c r="AL442" s="906">
        <v>40008.519999999997</v>
      </c>
      <c r="AM442" s="904"/>
      <c r="AN442" s="905"/>
      <c r="AO442" s="906">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82813.749999999898</v>
      </c>
      <c r="F444" s="889"/>
      <c r="G444" s="888"/>
      <c r="H444" s="886">
        <v>3871.25</v>
      </c>
      <c r="I444" s="889"/>
      <c r="J444" s="888"/>
      <c r="K444" s="886">
        <v>2331.6</v>
      </c>
      <c r="L444" s="889"/>
      <c r="M444" s="888"/>
      <c r="N444" s="886">
        <v>2052.2799999999902</v>
      </c>
      <c r="O444" s="889"/>
      <c r="P444" s="888"/>
      <c r="Q444" s="886">
        <v>8832.08</v>
      </c>
      <c r="R444" s="889"/>
      <c r="S444" s="888"/>
      <c r="T444" s="886">
        <v>6209.67</v>
      </c>
      <c r="U444" s="889"/>
      <c r="V444" s="888"/>
      <c r="W444" s="886">
        <v>4394.93</v>
      </c>
      <c r="X444" s="889"/>
      <c r="Y444" s="888"/>
      <c r="Z444" s="886">
        <v>9357.83</v>
      </c>
      <c r="AA444" s="889"/>
      <c r="AB444" s="888"/>
      <c r="AC444" s="886">
        <v>5655.76</v>
      </c>
      <c r="AD444" s="889"/>
      <c r="AE444" s="888"/>
      <c r="AF444" s="886">
        <v>11285.07</v>
      </c>
      <c r="AG444" s="889"/>
      <c r="AH444" s="888"/>
      <c r="AI444" s="886">
        <v>13486.72</v>
      </c>
      <c r="AJ444" s="889"/>
      <c r="AK444" s="888"/>
      <c r="AL444" s="886">
        <v>11236.6799999999</v>
      </c>
      <c r="AM444" s="889"/>
      <c r="AN444" s="888"/>
      <c r="AO444" s="886">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15522.959999999997</v>
      </c>
      <c r="F445" s="889"/>
      <c r="G445" s="888"/>
      <c r="H445" s="886">
        <v>5697.43</v>
      </c>
      <c r="I445" s="889"/>
      <c r="J445" s="888"/>
      <c r="K445" s="886">
        <v>860.45</v>
      </c>
      <c r="L445" s="889"/>
      <c r="M445" s="888"/>
      <c r="N445" s="886">
        <v>725.99</v>
      </c>
      <c r="O445" s="889"/>
      <c r="P445" s="888"/>
      <c r="Q445" s="886">
        <v>619.66999999999996</v>
      </c>
      <c r="R445" s="889"/>
      <c r="S445" s="888"/>
      <c r="T445" s="886">
        <v>822.42</v>
      </c>
      <c r="U445" s="889"/>
      <c r="V445" s="888"/>
      <c r="W445" s="886">
        <v>788.71</v>
      </c>
      <c r="X445" s="889"/>
      <c r="Y445" s="888"/>
      <c r="Z445" s="886">
        <v>1535.27</v>
      </c>
      <c r="AA445" s="889"/>
      <c r="AB445" s="888"/>
      <c r="AC445" s="886">
        <v>460.85</v>
      </c>
      <c r="AD445" s="889"/>
      <c r="AE445" s="888"/>
      <c r="AF445" s="886">
        <v>608.80999999999995</v>
      </c>
      <c r="AG445" s="889"/>
      <c r="AH445" s="888"/>
      <c r="AI445" s="886">
        <v>679.32</v>
      </c>
      <c r="AJ445" s="889"/>
      <c r="AK445" s="888"/>
      <c r="AL445" s="886">
        <v>1903.87</v>
      </c>
      <c r="AM445" s="889"/>
      <c r="AN445" s="888"/>
      <c r="AO445" s="886">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36129.239999999962</v>
      </c>
      <c r="F446" s="889"/>
      <c r="G446" s="888"/>
      <c r="H446" s="886">
        <v>1211.71</v>
      </c>
      <c r="I446" s="889"/>
      <c r="J446" s="888"/>
      <c r="K446" s="886">
        <v>2953.7799999999902</v>
      </c>
      <c r="L446" s="889"/>
      <c r="M446" s="888"/>
      <c r="N446" s="886">
        <v>3960.72999999999</v>
      </c>
      <c r="O446" s="889"/>
      <c r="P446" s="888"/>
      <c r="Q446" s="886">
        <v>2448.1899999999901</v>
      </c>
      <c r="R446" s="889"/>
      <c r="S446" s="888"/>
      <c r="T446" s="886">
        <v>1935.03</v>
      </c>
      <c r="U446" s="889"/>
      <c r="V446" s="888"/>
      <c r="W446" s="886">
        <v>3259.74</v>
      </c>
      <c r="X446" s="889"/>
      <c r="Y446" s="888"/>
      <c r="Z446" s="886">
        <v>1499.48</v>
      </c>
      <c r="AA446" s="889"/>
      <c r="AB446" s="888"/>
      <c r="AC446" s="886">
        <v>3628.75</v>
      </c>
      <c r="AD446" s="889"/>
      <c r="AE446" s="888"/>
      <c r="AF446" s="886">
        <v>2665.1099999999901</v>
      </c>
      <c r="AG446" s="889"/>
      <c r="AH446" s="888"/>
      <c r="AI446" s="886">
        <v>2749</v>
      </c>
      <c r="AJ446" s="889"/>
      <c r="AK446" s="888"/>
      <c r="AL446" s="886">
        <v>6455.48</v>
      </c>
      <c r="AM446" s="889"/>
      <c r="AN446" s="888"/>
      <c r="AO446" s="886">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8574.5099999999984</v>
      </c>
      <c r="F447" s="889"/>
      <c r="G447" s="888"/>
      <c r="H447" s="886">
        <v>743.31999999999903</v>
      </c>
      <c r="I447" s="889"/>
      <c r="J447" s="888"/>
      <c r="K447" s="886">
        <v>661.94999999999902</v>
      </c>
      <c r="L447" s="889"/>
      <c r="M447" s="888"/>
      <c r="N447" s="886">
        <v>578.94999999999902</v>
      </c>
      <c r="O447" s="889"/>
      <c r="P447" s="888"/>
      <c r="Q447" s="886">
        <v>718.74</v>
      </c>
      <c r="R447" s="889"/>
      <c r="S447" s="888"/>
      <c r="T447" s="886">
        <v>823.79</v>
      </c>
      <c r="U447" s="889"/>
      <c r="V447" s="888"/>
      <c r="W447" s="886">
        <v>542.27</v>
      </c>
      <c r="X447" s="889"/>
      <c r="Y447" s="888"/>
      <c r="Z447" s="886">
        <v>615.77</v>
      </c>
      <c r="AA447" s="889"/>
      <c r="AB447" s="888"/>
      <c r="AC447" s="886">
        <v>1235.51</v>
      </c>
      <c r="AD447" s="889"/>
      <c r="AE447" s="888"/>
      <c r="AF447" s="886">
        <v>668.71</v>
      </c>
      <c r="AG447" s="889"/>
      <c r="AH447" s="888"/>
      <c r="AI447" s="886">
        <v>672.4</v>
      </c>
      <c r="AJ447" s="889"/>
      <c r="AK447" s="888"/>
      <c r="AL447" s="886">
        <v>654.80999999999995</v>
      </c>
      <c r="AM447" s="889"/>
      <c r="AN447" s="888"/>
      <c r="AO447" s="886">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3924.9499999999989</v>
      </c>
      <c r="F448" s="889"/>
      <c r="G448" s="888"/>
      <c r="H448" s="886">
        <v>310.39</v>
      </c>
      <c r="I448" s="889"/>
      <c r="J448" s="888"/>
      <c r="K448" s="886">
        <v>110.729999999999</v>
      </c>
      <c r="L448" s="889"/>
      <c r="M448" s="888"/>
      <c r="N448" s="886">
        <v>291.3</v>
      </c>
      <c r="O448" s="889"/>
      <c r="P448" s="888"/>
      <c r="Q448" s="886">
        <v>631</v>
      </c>
      <c r="R448" s="889"/>
      <c r="S448" s="888"/>
      <c r="T448" s="886">
        <v>148.27000000000001</v>
      </c>
      <c r="U448" s="889"/>
      <c r="V448" s="888"/>
      <c r="W448" s="886">
        <v>929.61</v>
      </c>
      <c r="X448" s="889"/>
      <c r="Y448" s="888"/>
      <c r="Z448" s="886">
        <v>1374.07</v>
      </c>
      <c r="AA448" s="889"/>
      <c r="AB448" s="888"/>
      <c r="AC448" s="886">
        <v>96.37</v>
      </c>
      <c r="AD448" s="889"/>
      <c r="AE448" s="888"/>
      <c r="AF448" s="886">
        <v>224.46</v>
      </c>
      <c r="AG448" s="889"/>
      <c r="AH448" s="888"/>
      <c r="AI448" s="886">
        <v>439.88</v>
      </c>
      <c r="AJ448" s="889"/>
      <c r="AK448" s="888"/>
      <c r="AL448" s="886">
        <v>-874.73999999999899</v>
      </c>
      <c r="AM448" s="889"/>
      <c r="AN448" s="888"/>
      <c r="AO448" s="886">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9171.7299999999886</v>
      </c>
      <c r="F449" s="889"/>
      <c r="G449" s="888"/>
      <c r="H449" s="886">
        <v>3559.5699999999902</v>
      </c>
      <c r="I449" s="889"/>
      <c r="J449" s="888"/>
      <c r="K449" s="886">
        <v>2257.0500000000002</v>
      </c>
      <c r="L449" s="889"/>
      <c r="M449" s="888"/>
      <c r="N449" s="886">
        <v>207.18</v>
      </c>
      <c r="O449" s="889"/>
      <c r="P449" s="888"/>
      <c r="Q449" s="886">
        <v>441.219999999999</v>
      </c>
      <c r="R449" s="889"/>
      <c r="S449" s="888"/>
      <c r="T449" s="886">
        <v>245.38</v>
      </c>
      <c r="U449" s="889"/>
      <c r="V449" s="888"/>
      <c r="W449" s="886">
        <v>347.95</v>
      </c>
      <c r="X449" s="889"/>
      <c r="Y449" s="888"/>
      <c r="Z449" s="886">
        <v>270.76</v>
      </c>
      <c r="AA449" s="889"/>
      <c r="AB449" s="888"/>
      <c r="AC449" s="886">
        <v>352.19</v>
      </c>
      <c r="AD449" s="889"/>
      <c r="AE449" s="888"/>
      <c r="AF449" s="886">
        <v>749.64</v>
      </c>
      <c r="AG449" s="889"/>
      <c r="AH449" s="888"/>
      <c r="AI449" s="886">
        <v>375.01</v>
      </c>
      <c r="AJ449" s="889"/>
      <c r="AK449" s="888"/>
      <c r="AL449" s="886">
        <v>71.3</v>
      </c>
      <c r="AM449" s="889"/>
      <c r="AN449" s="888"/>
      <c r="AO449" s="886">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102741.10999999987</v>
      </c>
      <c r="F450" s="889"/>
      <c r="G450" s="888"/>
      <c r="H450" s="886">
        <v>6520.72</v>
      </c>
      <c r="I450" s="889"/>
      <c r="J450" s="888"/>
      <c r="K450" s="886">
        <v>10407.59</v>
      </c>
      <c r="L450" s="889"/>
      <c r="M450" s="888"/>
      <c r="N450" s="886">
        <v>17051.86</v>
      </c>
      <c r="O450" s="889"/>
      <c r="P450" s="888"/>
      <c r="Q450" s="886">
        <v>11935.449999999901</v>
      </c>
      <c r="R450" s="889"/>
      <c r="S450" s="888"/>
      <c r="T450" s="886">
        <v>9031.02</v>
      </c>
      <c r="U450" s="889"/>
      <c r="V450" s="888"/>
      <c r="W450" s="886">
        <v>3572.32</v>
      </c>
      <c r="X450" s="889"/>
      <c r="Y450" s="888"/>
      <c r="Z450" s="886">
        <v>5842.54</v>
      </c>
      <c r="AA450" s="889"/>
      <c r="AB450" s="888"/>
      <c r="AC450" s="886">
        <v>8172.67</v>
      </c>
      <c r="AD450" s="889"/>
      <c r="AE450" s="888"/>
      <c r="AF450" s="886">
        <v>8691.65</v>
      </c>
      <c r="AG450" s="889"/>
      <c r="AH450" s="888"/>
      <c r="AI450" s="886">
        <v>5853.87</v>
      </c>
      <c r="AJ450" s="889"/>
      <c r="AK450" s="888"/>
      <c r="AL450" s="886">
        <v>11744.14</v>
      </c>
      <c r="AM450" s="889"/>
      <c r="AN450" s="888"/>
      <c r="AO450" s="886">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93995.029999999897</v>
      </c>
      <c r="F451" s="889"/>
      <c r="G451" s="888"/>
      <c r="H451" s="886">
        <v>6981.61</v>
      </c>
      <c r="I451" s="889"/>
      <c r="J451" s="888"/>
      <c r="K451" s="886">
        <v>5518.71</v>
      </c>
      <c r="L451" s="889"/>
      <c r="M451" s="888"/>
      <c r="N451" s="886">
        <v>793.51</v>
      </c>
      <c r="O451" s="889"/>
      <c r="P451" s="888"/>
      <c r="Q451" s="886">
        <v>6723.6</v>
      </c>
      <c r="R451" s="889"/>
      <c r="S451" s="888"/>
      <c r="T451" s="886">
        <v>17196.879999999899</v>
      </c>
      <c r="U451" s="889"/>
      <c r="V451" s="888"/>
      <c r="W451" s="886">
        <v>7860.32</v>
      </c>
      <c r="X451" s="889"/>
      <c r="Y451" s="888"/>
      <c r="Z451" s="886">
        <v>7569.85</v>
      </c>
      <c r="AA451" s="889"/>
      <c r="AB451" s="888"/>
      <c r="AC451" s="886">
        <v>5910.77</v>
      </c>
      <c r="AD451" s="889"/>
      <c r="AE451" s="888"/>
      <c r="AF451" s="886">
        <v>8007.9</v>
      </c>
      <c r="AG451" s="889"/>
      <c r="AH451" s="888"/>
      <c r="AI451" s="886">
        <v>8918.27</v>
      </c>
      <c r="AJ451" s="889"/>
      <c r="AK451" s="888"/>
      <c r="AL451" s="886">
        <v>11388.47</v>
      </c>
      <c r="AM451" s="889"/>
      <c r="AN451" s="888"/>
      <c r="AO451" s="886">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89"/>
      <c r="D454" s="888"/>
      <c r="E454" s="886">
        <v>0</v>
      </c>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0.20956640439172411</v>
      </c>
      <c r="D455" s="896"/>
      <c r="E455" s="895">
        <v>1562937.5699999987</v>
      </c>
      <c r="F455" s="893">
        <v>0.21042058749457138</v>
      </c>
      <c r="G455" s="896"/>
      <c r="H455" s="895">
        <v>108959.33</v>
      </c>
      <c r="I455" s="893">
        <v>0.30282128714051604</v>
      </c>
      <c r="J455" s="896"/>
      <c r="K455" s="895">
        <v>125996.03999999998</v>
      </c>
      <c r="L455" s="893">
        <v>0.19867655730050557</v>
      </c>
      <c r="M455" s="896"/>
      <c r="N455" s="895">
        <v>116946.36999999998</v>
      </c>
      <c r="O455" s="893">
        <v>0.22102593018463018</v>
      </c>
      <c r="P455" s="896"/>
      <c r="Q455" s="895">
        <v>125843.5799999999</v>
      </c>
      <c r="R455" s="893">
        <v>0.2035544999816131</v>
      </c>
      <c r="S455" s="896"/>
      <c r="T455" s="895">
        <v>145632.7799999998</v>
      </c>
      <c r="U455" s="893">
        <v>0.18235578618986145</v>
      </c>
      <c r="V455" s="896"/>
      <c r="W455" s="895">
        <v>123257.83000000002</v>
      </c>
      <c r="X455" s="893">
        <v>0.21500980595477043</v>
      </c>
      <c r="Y455" s="896"/>
      <c r="Z455" s="895">
        <v>131668.35</v>
      </c>
      <c r="AA455" s="893">
        <v>0.17391034253696361</v>
      </c>
      <c r="AB455" s="896"/>
      <c r="AC455" s="895">
        <v>113156.29999999989</v>
      </c>
      <c r="AD455" s="893">
        <v>0.20386864924162415</v>
      </c>
      <c r="AE455" s="896"/>
      <c r="AF455" s="895">
        <v>128089.17999999989</v>
      </c>
      <c r="AG455" s="893">
        <v>0.20645194943137171</v>
      </c>
      <c r="AH455" s="896"/>
      <c r="AI455" s="895">
        <v>152775.31999999989</v>
      </c>
      <c r="AJ455" s="893">
        <v>0.20036797386288796</v>
      </c>
      <c r="AK455" s="896"/>
      <c r="AL455" s="895">
        <v>164898.21999999971</v>
      </c>
      <c r="AM455" s="893">
        <v>0.24157425738712035</v>
      </c>
      <c r="AN455" s="896"/>
      <c r="AO455" s="895">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312000</v>
      </c>
      <c r="F456" s="889"/>
      <c r="G456" s="888"/>
      <c r="H456" s="897">
        <v>26000</v>
      </c>
      <c r="I456" s="889"/>
      <c r="J456" s="888"/>
      <c r="K456" s="897">
        <v>26000</v>
      </c>
      <c r="L456" s="889"/>
      <c r="M456" s="888"/>
      <c r="N456" s="897">
        <v>26000</v>
      </c>
      <c r="O456" s="889"/>
      <c r="P456" s="888"/>
      <c r="Q456" s="897">
        <v>26000</v>
      </c>
      <c r="R456" s="889"/>
      <c r="S456" s="888"/>
      <c r="T456" s="897">
        <v>26000</v>
      </c>
      <c r="U456" s="889"/>
      <c r="V456" s="888"/>
      <c r="W456" s="897">
        <v>26000</v>
      </c>
      <c r="X456" s="889"/>
      <c r="Y456" s="888"/>
      <c r="Z456" s="897">
        <v>26000</v>
      </c>
      <c r="AA456" s="889"/>
      <c r="AB456" s="888"/>
      <c r="AC456" s="897">
        <v>26000</v>
      </c>
      <c r="AD456" s="889"/>
      <c r="AE456" s="888"/>
      <c r="AF456" s="897">
        <v>26000</v>
      </c>
      <c r="AG456" s="889"/>
      <c r="AH456" s="888"/>
      <c r="AI456" s="897">
        <v>26000</v>
      </c>
      <c r="AJ456" s="889"/>
      <c r="AK456" s="888"/>
      <c r="AL456" s="897">
        <v>26000</v>
      </c>
      <c r="AM456" s="889"/>
      <c r="AN456" s="888"/>
      <c r="AO456" s="897">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59826.75</v>
      </c>
      <c r="F457" s="889"/>
      <c r="G457" s="888"/>
      <c r="H457" s="897">
        <v>4930</v>
      </c>
      <c r="I457" s="889"/>
      <c r="J457" s="888"/>
      <c r="K457" s="897">
        <v>4930</v>
      </c>
      <c r="L457" s="889"/>
      <c r="M457" s="888"/>
      <c r="N457" s="897">
        <v>4930</v>
      </c>
      <c r="O457" s="889"/>
      <c r="P457" s="888"/>
      <c r="Q457" s="897">
        <v>4930</v>
      </c>
      <c r="R457" s="889"/>
      <c r="S457" s="888"/>
      <c r="T457" s="897">
        <v>5589</v>
      </c>
      <c r="U457" s="889"/>
      <c r="V457" s="888"/>
      <c r="W457" s="897">
        <v>4937.75</v>
      </c>
      <c r="X457" s="889"/>
      <c r="Y457" s="888"/>
      <c r="Z457" s="897">
        <v>4930</v>
      </c>
      <c r="AA457" s="889"/>
      <c r="AB457" s="888"/>
      <c r="AC457" s="897">
        <v>4930</v>
      </c>
      <c r="AD457" s="889"/>
      <c r="AE457" s="888"/>
      <c r="AF457" s="897">
        <v>4930</v>
      </c>
      <c r="AG457" s="889"/>
      <c r="AH457" s="888"/>
      <c r="AI457" s="897">
        <v>4930</v>
      </c>
      <c r="AJ457" s="889"/>
      <c r="AK457" s="888"/>
      <c r="AL457" s="897">
        <v>4930</v>
      </c>
      <c r="AM457" s="889"/>
      <c r="AN457" s="888"/>
      <c r="AO457" s="897">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39984.999999999884</v>
      </c>
      <c r="F458" s="892"/>
      <c r="G458" s="891"/>
      <c r="H458" s="909">
        <v>3279.99999999999</v>
      </c>
      <c r="I458" s="892"/>
      <c r="J458" s="891"/>
      <c r="K458" s="909">
        <v>3904.99999999999</v>
      </c>
      <c r="L458" s="892"/>
      <c r="M458" s="891"/>
      <c r="N458" s="909">
        <v>3279.99999999999</v>
      </c>
      <c r="O458" s="892"/>
      <c r="P458" s="891"/>
      <c r="Q458" s="909">
        <v>3279.99999999999</v>
      </c>
      <c r="R458" s="892"/>
      <c r="S458" s="891"/>
      <c r="T458" s="909">
        <v>3279.99999999999</v>
      </c>
      <c r="U458" s="892"/>
      <c r="V458" s="891"/>
      <c r="W458" s="909">
        <v>3279.99999999999</v>
      </c>
      <c r="X458" s="892"/>
      <c r="Y458" s="891"/>
      <c r="Z458" s="909">
        <v>3279.99999999999</v>
      </c>
      <c r="AA458" s="892"/>
      <c r="AB458" s="891"/>
      <c r="AC458" s="909">
        <v>3279.99999999999</v>
      </c>
      <c r="AD458" s="892"/>
      <c r="AE458" s="891"/>
      <c r="AF458" s="909">
        <v>3279.99999999999</v>
      </c>
      <c r="AG458" s="892"/>
      <c r="AH458" s="891"/>
      <c r="AI458" s="909">
        <v>3279.99999999999</v>
      </c>
      <c r="AJ458" s="892"/>
      <c r="AK458" s="891"/>
      <c r="AL458" s="909">
        <v>3279.99999999999</v>
      </c>
      <c r="AM458" s="892"/>
      <c r="AN458" s="891"/>
      <c r="AO458" s="909">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51252</v>
      </c>
      <c r="F460" s="892"/>
      <c r="G460" s="891"/>
      <c r="H460" s="909">
        <v>4271</v>
      </c>
      <c r="I460" s="892"/>
      <c r="J460" s="891"/>
      <c r="K460" s="909">
        <v>4271</v>
      </c>
      <c r="L460" s="892"/>
      <c r="M460" s="891"/>
      <c r="N460" s="909">
        <v>4271</v>
      </c>
      <c r="O460" s="892"/>
      <c r="P460" s="891"/>
      <c r="Q460" s="909">
        <v>4271</v>
      </c>
      <c r="R460" s="892"/>
      <c r="S460" s="891"/>
      <c r="T460" s="909">
        <v>4271</v>
      </c>
      <c r="U460" s="892"/>
      <c r="V460" s="891"/>
      <c r="W460" s="909">
        <v>4271</v>
      </c>
      <c r="X460" s="892"/>
      <c r="Y460" s="891"/>
      <c r="Z460" s="909">
        <v>4271</v>
      </c>
      <c r="AA460" s="892"/>
      <c r="AB460" s="891"/>
      <c r="AC460" s="909">
        <v>4271</v>
      </c>
      <c r="AD460" s="892"/>
      <c r="AE460" s="891"/>
      <c r="AF460" s="909">
        <v>4271</v>
      </c>
      <c r="AG460" s="892"/>
      <c r="AH460" s="891"/>
      <c r="AI460" s="909">
        <v>4271</v>
      </c>
      <c r="AJ460" s="892"/>
      <c r="AK460" s="891"/>
      <c r="AL460" s="909">
        <v>4271</v>
      </c>
      <c r="AM460" s="892"/>
      <c r="AN460" s="891"/>
      <c r="AO460" s="909">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27353.499999999982</v>
      </c>
      <c r="F461" s="889"/>
      <c r="G461" s="888"/>
      <c r="H461" s="897">
        <v>3401.36</v>
      </c>
      <c r="I461" s="889"/>
      <c r="J461" s="888"/>
      <c r="K461" s="897">
        <v>1500</v>
      </c>
      <c r="L461" s="889"/>
      <c r="M461" s="888"/>
      <c r="N461" s="897">
        <v>5591.8899999999903</v>
      </c>
      <c r="O461" s="889"/>
      <c r="P461" s="888"/>
      <c r="Q461" s="897">
        <v>1478.46999999999</v>
      </c>
      <c r="R461" s="889"/>
      <c r="S461" s="888"/>
      <c r="T461" s="897">
        <v>4881.34</v>
      </c>
      <c r="U461" s="889"/>
      <c r="V461" s="888"/>
      <c r="W461" s="897">
        <v>-898.86</v>
      </c>
      <c r="X461" s="889"/>
      <c r="Y461" s="888"/>
      <c r="Z461" s="897">
        <v>3629.42</v>
      </c>
      <c r="AA461" s="889"/>
      <c r="AB461" s="888"/>
      <c r="AC461" s="897">
        <v>1881.92</v>
      </c>
      <c r="AD461" s="889"/>
      <c r="AE461" s="888"/>
      <c r="AF461" s="897">
        <v>41.97</v>
      </c>
      <c r="AG461" s="889"/>
      <c r="AH461" s="888"/>
      <c r="AI461" s="897">
        <v>3137.5</v>
      </c>
      <c r="AJ461" s="889"/>
      <c r="AK461" s="888"/>
      <c r="AL461" s="897">
        <v>137.27000000000001</v>
      </c>
      <c r="AM461" s="889"/>
      <c r="AN461" s="888"/>
      <c r="AO461" s="897">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79580.73</v>
      </c>
      <c r="F462" s="889"/>
      <c r="G462" s="888"/>
      <c r="H462" s="897">
        <v>6550.12</v>
      </c>
      <c r="I462" s="889"/>
      <c r="J462" s="888"/>
      <c r="K462" s="897">
        <v>7270.12</v>
      </c>
      <c r="L462" s="889"/>
      <c r="M462" s="888"/>
      <c r="N462" s="897">
        <v>6550.12</v>
      </c>
      <c r="O462" s="889"/>
      <c r="P462" s="888"/>
      <c r="Q462" s="897">
        <v>6550.12</v>
      </c>
      <c r="R462" s="889"/>
      <c r="S462" s="888"/>
      <c r="T462" s="897">
        <v>6828.57</v>
      </c>
      <c r="U462" s="889"/>
      <c r="V462" s="888"/>
      <c r="W462" s="897">
        <v>6550.12</v>
      </c>
      <c r="X462" s="889"/>
      <c r="Y462" s="888"/>
      <c r="Z462" s="897">
        <v>6550.12</v>
      </c>
      <c r="AA462" s="889"/>
      <c r="AB462" s="888"/>
      <c r="AC462" s="897">
        <v>6550.12</v>
      </c>
      <c r="AD462" s="889"/>
      <c r="AE462" s="888"/>
      <c r="AF462" s="897">
        <v>6550.12</v>
      </c>
      <c r="AG462" s="889"/>
      <c r="AH462" s="888"/>
      <c r="AI462" s="897">
        <v>6784.54</v>
      </c>
      <c r="AJ462" s="889"/>
      <c r="AK462" s="888"/>
      <c r="AL462" s="897">
        <v>6296.54</v>
      </c>
      <c r="AM462" s="889"/>
      <c r="AN462" s="888"/>
      <c r="AO462" s="897">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26007.289999999994</v>
      </c>
      <c r="F463" s="892"/>
      <c r="G463" s="891"/>
      <c r="H463" s="909">
        <v>4120.4399999999996</v>
      </c>
      <c r="I463" s="892"/>
      <c r="J463" s="891"/>
      <c r="K463" s="909">
        <v>0</v>
      </c>
      <c r="L463" s="892"/>
      <c r="M463" s="891"/>
      <c r="N463" s="909">
        <v>0</v>
      </c>
      <c r="O463" s="892"/>
      <c r="P463" s="891"/>
      <c r="Q463" s="909">
        <v>1935.3</v>
      </c>
      <c r="R463" s="892"/>
      <c r="S463" s="891"/>
      <c r="T463" s="909">
        <v>4533.54</v>
      </c>
      <c r="U463" s="892"/>
      <c r="V463" s="891"/>
      <c r="W463" s="909">
        <v>0</v>
      </c>
      <c r="X463" s="892"/>
      <c r="Y463" s="891"/>
      <c r="Z463" s="909">
        <v>448.8</v>
      </c>
      <c r="AA463" s="892"/>
      <c r="AB463" s="891"/>
      <c r="AC463" s="909">
        <v>5794.15</v>
      </c>
      <c r="AD463" s="892"/>
      <c r="AE463" s="891"/>
      <c r="AF463" s="909">
        <v>480</v>
      </c>
      <c r="AG463" s="892"/>
      <c r="AH463" s="891"/>
      <c r="AI463" s="909">
        <v>3317.64</v>
      </c>
      <c r="AJ463" s="892"/>
      <c r="AK463" s="891"/>
      <c r="AL463" s="909">
        <v>3263.48</v>
      </c>
      <c r="AM463" s="892"/>
      <c r="AN463" s="891"/>
      <c r="AO463" s="909">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6895.5300000000007</v>
      </c>
      <c r="F464" s="889"/>
      <c r="G464" s="888"/>
      <c r="H464" s="897">
        <v>0</v>
      </c>
      <c r="I464" s="889"/>
      <c r="J464" s="888"/>
      <c r="K464" s="897">
        <v>0</v>
      </c>
      <c r="L464" s="889"/>
      <c r="M464" s="888"/>
      <c r="N464" s="897">
        <v>308.88</v>
      </c>
      <c r="O464" s="889"/>
      <c r="P464" s="888"/>
      <c r="Q464" s="897">
        <v>548.94000000000005</v>
      </c>
      <c r="R464" s="889"/>
      <c r="S464" s="888"/>
      <c r="T464" s="897">
        <v>1369.06</v>
      </c>
      <c r="U464" s="889"/>
      <c r="V464" s="888"/>
      <c r="W464" s="897">
        <v>0</v>
      </c>
      <c r="X464" s="889"/>
      <c r="Y464" s="888"/>
      <c r="Z464" s="897">
        <v>561.12</v>
      </c>
      <c r="AA464" s="889"/>
      <c r="AB464" s="888"/>
      <c r="AC464" s="897">
        <v>1462.22</v>
      </c>
      <c r="AD464" s="889"/>
      <c r="AE464" s="888"/>
      <c r="AF464" s="897">
        <v>1060.92</v>
      </c>
      <c r="AG464" s="889"/>
      <c r="AH464" s="888"/>
      <c r="AI464" s="897">
        <v>515.29</v>
      </c>
      <c r="AJ464" s="889"/>
      <c r="AK464" s="888"/>
      <c r="AL464" s="897">
        <v>515.29</v>
      </c>
      <c r="AM464" s="889"/>
      <c r="AN464" s="888"/>
      <c r="AO464" s="897">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8.0839923030895003E-2</v>
      </c>
      <c r="D469" s="896"/>
      <c r="E469" s="895">
        <v>602900.79999999993</v>
      </c>
      <c r="F469" s="893">
        <v>0.10148939334479397</v>
      </c>
      <c r="G469" s="896"/>
      <c r="H469" s="895">
        <v>52552.92</v>
      </c>
      <c r="I469" s="893">
        <v>0.11506638051238598</v>
      </c>
      <c r="J469" s="896"/>
      <c r="K469" s="895">
        <v>47876.119999999995</v>
      </c>
      <c r="L469" s="893">
        <v>8.6526606700216904E-2</v>
      </c>
      <c r="M469" s="896"/>
      <c r="N469" s="895">
        <v>50931.889999999985</v>
      </c>
      <c r="O469" s="893">
        <v>8.6050530738696757E-2</v>
      </c>
      <c r="P469" s="896"/>
      <c r="Q469" s="895">
        <v>48993.829999999987</v>
      </c>
      <c r="R469" s="893">
        <v>7.9324371860178128E-2</v>
      </c>
      <c r="S469" s="896"/>
      <c r="T469" s="895">
        <v>56752.509999999995</v>
      </c>
      <c r="U469" s="893">
        <v>6.5303650291250001E-2</v>
      </c>
      <c r="V469" s="896"/>
      <c r="W469" s="895">
        <v>44140.009999999995</v>
      </c>
      <c r="X469" s="893">
        <v>8.1110122260088971E-2</v>
      </c>
      <c r="Y469" s="896"/>
      <c r="Z469" s="895">
        <v>49670.46</v>
      </c>
      <c r="AA469" s="893">
        <v>8.3253169714149644E-2</v>
      </c>
      <c r="AB469" s="896"/>
      <c r="AC469" s="895">
        <v>54169.409999999996</v>
      </c>
      <c r="AD469" s="893">
        <v>7.4191553528842699E-2</v>
      </c>
      <c r="AE469" s="896"/>
      <c r="AF469" s="895">
        <v>46614.009999999995</v>
      </c>
      <c r="AG469" s="893">
        <v>7.0588743240326102E-2</v>
      </c>
      <c r="AH469" s="896"/>
      <c r="AI469" s="895">
        <v>52235.969999999994</v>
      </c>
      <c r="AJ469" s="893">
        <v>5.9167612389815119E-2</v>
      </c>
      <c r="AK469" s="896"/>
      <c r="AL469" s="895">
        <v>48693.579999999994</v>
      </c>
      <c r="AM469" s="893">
        <v>9.6599691192843146E-2</v>
      </c>
      <c r="AN469" s="896"/>
      <c r="AO469" s="895">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412768.32999999961</v>
      </c>
      <c r="F470" s="910"/>
      <c r="G470" s="911"/>
      <c r="H470" s="912">
        <v>31595.71999999999</v>
      </c>
      <c r="I470" s="910"/>
      <c r="J470" s="911"/>
      <c r="K470" s="912">
        <v>31086.879999999976</v>
      </c>
      <c r="L470" s="910"/>
      <c r="M470" s="911"/>
      <c r="N470" s="912">
        <v>32210.329999999976</v>
      </c>
      <c r="O470" s="910"/>
      <c r="P470" s="911"/>
      <c r="Q470" s="912">
        <v>36389.159999999887</v>
      </c>
      <c r="R470" s="910"/>
      <c r="S470" s="911"/>
      <c r="T470" s="912">
        <v>46171.129999999903</v>
      </c>
      <c r="U470" s="910"/>
      <c r="V470" s="911"/>
      <c r="W470" s="912">
        <v>24983.910000000003</v>
      </c>
      <c r="X470" s="910"/>
      <c r="Y470" s="911"/>
      <c r="Z470" s="912">
        <v>31846.77</v>
      </c>
      <c r="AA470" s="910"/>
      <c r="AB470" s="911"/>
      <c r="AC470" s="912">
        <v>29988.589999999993</v>
      </c>
      <c r="AD470" s="910"/>
      <c r="AE470" s="911"/>
      <c r="AF470" s="912">
        <v>38061.149999999994</v>
      </c>
      <c r="AG470" s="910"/>
      <c r="AH470" s="911"/>
      <c r="AI470" s="912">
        <v>38734.160000000003</v>
      </c>
      <c r="AJ470" s="910"/>
      <c r="AK470" s="911"/>
      <c r="AL470" s="912">
        <v>47762.589999999902</v>
      </c>
      <c r="AM470" s="910"/>
      <c r="AN470" s="911"/>
      <c r="AO470" s="912">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0.96483904594906367</v>
      </c>
      <c r="D471" s="896"/>
      <c r="E471" s="895">
        <v>7195729.6699999962</v>
      </c>
      <c r="F471" s="893">
        <v>1.0514681184489036</v>
      </c>
      <c r="G471" s="896"/>
      <c r="H471" s="895">
        <v>544467.93000000005</v>
      </c>
      <c r="I471" s="893">
        <v>1.2550454255820702</v>
      </c>
      <c r="J471" s="896"/>
      <c r="K471" s="895">
        <v>522191.66999999969</v>
      </c>
      <c r="L471" s="893">
        <v>0.99561946640157162</v>
      </c>
      <c r="M471" s="896"/>
      <c r="N471" s="895">
        <v>586048.41999999993</v>
      </c>
      <c r="O471" s="893">
        <v>1.0090147174773918</v>
      </c>
      <c r="P471" s="896"/>
      <c r="Q471" s="895">
        <v>574493.78999999946</v>
      </c>
      <c r="R471" s="893">
        <v>0.9272134004764776</v>
      </c>
      <c r="S471" s="896"/>
      <c r="T471" s="895">
        <v>663373.51999999979</v>
      </c>
      <c r="U471" s="893">
        <v>0.90930718686629464</v>
      </c>
      <c r="V471" s="896"/>
      <c r="W471" s="895">
        <v>614618.44999999972</v>
      </c>
      <c r="X471" s="893">
        <v>0.96731316839298398</v>
      </c>
      <c r="Y471" s="896"/>
      <c r="Z471" s="895">
        <v>592366.1399999999</v>
      </c>
      <c r="AA471" s="893">
        <v>0.88551196638643948</v>
      </c>
      <c r="AB471" s="896"/>
      <c r="AC471" s="895">
        <v>576166.17999999959</v>
      </c>
      <c r="AD471" s="893">
        <v>0.94424724158810847</v>
      </c>
      <c r="AE471" s="896"/>
      <c r="AF471" s="895">
        <v>593263.62999999966</v>
      </c>
      <c r="AG471" s="893">
        <v>0.85261073838427404</v>
      </c>
      <c r="AH471" s="896"/>
      <c r="AI471" s="895">
        <v>630935.56999999983</v>
      </c>
      <c r="AJ471" s="893">
        <v>0.82424752781344657</v>
      </c>
      <c r="AK471" s="896"/>
      <c r="AL471" s="895">
        <v>678336.6999999996</v>
      </c>
      <c r="AM471" s="893">
        <v>1.1903775311711209</v>
      </c>
      <c r="AN471" s="896"/>
      <c r="AO471" s="895">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507447.12000000005</v>
      </c>
      <c r="F472" s="913"/>
      <c r="G472" s="914"/>
      <c r="H472" s="915">
        <v>34076.78</v>
      </c>
      <c r="I472" s="913"/>
      <c r="J472" s="914"/>
      <c r="K472" s="915">
        <v>49402.39</v>
      </c>
      <c r="L472" s="913"/>
      <c r="M472" s="914"/>
      <c r="N472" s="915">
        <v>18031.02</v>
      </c>
      <c r="O472" s="913"/>
      <c r="P472" s="914"/>
      <c r="Q472" s="915">
        <v>130416.22</v>
      </c>
      <c r="R472" s="913"/>
      <c r="S472" s="914"/>
      <c r="T472" s="915">
        <v>12636.76</v>
      </c>
      <c r="U472" s="913"/>
      <c r="V472" s="914"/>
      <c r="W472" s="915">
        <v>46212.49</v>
      </c>
      <c r="X472" s="913"/>
      <c r="Y472" s="914"/>
      <c r="Z472" s="915">
        <v>58975.7</v>
      </c>
      <c r="AA472" s="913"/>
      <c r="AB472" s="914"/>
      <c r="AC472" s="915">
        <v>20948.240000000002</v>
      </c>
      <c r="AD472" s="913"/>
      <c r="AE472" s="914"/>
      <c r="AF472" s="915">
        <v>47782.21</v>
      </c>
      <c r="AG472" s="913"/>
      <c r="AH472" s="914"/>
      <c r="AI472" s="915">
        <v>18795.23</v>
      </c>
      <c r="AJ472" s="913"/>
      <c r="AK472" s="914"/>
      <c r="AL472" s="915">
        <v>780.32</v>
      </c>
      <c r="AM472" s="913"/>
      <c r="AN472" s="914"/>
      <c r="AO472" s="915">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679516.07</v>
      </c>
      <c r="F473" s="916"/>
      <c r="G473" s="917"/>
      <c r="H473" s="886">
        <v>49875</v>
      </c>
      <c r="I473" s="916"/>
      <c r="J473" s="917"/>
      <c r="K473" s="886">
        <v>15765</v>
      </c>
      <c r="L473" s="916"/>
      <c r="M473" s="917"/>
      <c r="N473" s="886">
        <v>49529.35</v>
      </c>
      <c r="O473" s="916"/>
      <c r="P473" s="917"/>
      <c r="Q473" s="886">
        <v>39086.080000000002</v>
      </c>
      <c r="R473" s="916"/>
      <c r="S473" s="917"/>
      <c r="T473" s="886">
        <v>67424.75</v>
      </c>
      <c r="U473" s="916"/>
      <c r="V473" s="917"/>
      <c r="W473" s="886">
        <v>63469.55</v>
      </c>
      <c r="X473" s="916"/>
      <c r="Y473" s="917"/>
      <c r="Z473" s="886">
        <v>42698.55</v>
      </c>
      <c r="AA473" s="916"/>
      <c r="AB473" s="917"/>
      <c r="AC473" s="886">
        <v>59882.85</v>
      </c>
      <c r="AD473" s="916"/>
      <c r="AE473" s="917"/>
      <c r="AF473" s="886">
        <v>58938</v>
      </c>
      <c r="AG473" s="916"/>
      <c r="AH473" s="917"/>
      <c r="AI473" s="886">
        <v>77258.09</v>
      </c>
      <c r="AJ473" s="916"/>
      <c r="AK473" s="917"/>
      <c r="AL473" s="886">
        <v>100428</v>
      </c>
      <c r="AM473" s="916"/>
      <c r="AN473" s="917"/>
      <c r="AO473" s="886">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3860</v>
      </c>
      <c r="C474" s="916"/>
      <c r="D474" s="917"/>
      <c r="E474" s="886">
        <v>31556</v>
      </c>
      <c r="F474" s="916"/>
      <c r="G474" s="917"/>
      <c r="H474" s="886">
        <v>0</v>
      </c>
      <c r="I474" s="916"/>
      <c r="J474" s="917"/>
      <c r="K474" s="886">
        <v>0</v>
      </c>
      <c r="L474" s="916"/>
      <c r="M474" s="917"/>
      <c r="N474" s="886">
        <v>0</v>
      </c>
      <c r="O474" s="916"/>
      <c r="P474" s="917"/>
      <c r="Q474" s="886">
        <v>0</v>
      </c>
      <c r="R474" s="916"/>
      <c r="S474" s="917"/>
      <c r="T474" s="886">
        <v>0</v>
      </c>
      <c r="U474" s="916"/>
      <c r="V474" s="917"/>
      <c r="W474" s="886">
        <v>0</v>
      </c>
      <c r="X474" s="916"/>
      <c r="Y474" s="917"/>
      <c r="Z474" s="886">
        <v>0</v>
      </c>
      <c r="AA474" s="916"/>
      <c r="AB474" s="917"/>
      <c r="AC474" s="886">
        <v>0</v>
      </c>
      <c r="AD474" s="916"/>
      <c r="AE474" s="917"/>
      <c r="AF474" s="886">
        <v>0</v>
      </c>
      <c r="AG474" s="916"/>
      <c r="AH474" s="917"/>
      <c r="AI474" s="886">
        <v>0</v>
      </c>
      <c r="AJ474" s="916"/>
      <c r="AK474" s="917"/>
      <c r="AL474" s="886">
        <v>0</v>
      </c>
      <c r="AM474" s="916"/>
      <c r="AN474" s="917"/>
      <c r="AO474" s="886">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399858.9</v>
      </c>
      <c r="F483" s="918"/>
      <c r="G483" s="917"/>
      <c r="H483" s="886">
        <v>27306</v>
      </c>
      <c r="I483" s="918"/>
      <c r="J483" s="917"/>
      <c r="K483" s="886">
        <v>18119</v>
      </c>
      <c r="L483" s="918"/>
      <c r="M483" s="917"/>
      <c r="N483" s="886">
        <v>29520</v>
      </c>
      <c r="O483" s="918"/>
      <c r="P483" s="917"/>
      <c r="Q483" s="886">
        <v>20244</v>
      </c>
      <c r="R483" s="918"/>
      <c r="S483" s="917"/>
      <c r="T483" s="886">
        <v>32220</v>
      </c>
      <c r="U483" s="918"/>
      <c r="V483" s="917"/>
      <c r="W483" s="886">
        <v>34938</v>
      </c>
      <c r="X483" s="918"/>
      <c r="Y483" s="917"/>
      <c r="Z483" s="886">
        <v>33906</v>
      </c>
      <c r="AA483" s="918"/>
      <c r="AB483" s="917"/>
      <c r="AC483" s="886">
        <v>43757</v>
      </c>
      <c r="AD483" s="918"/>
      <c r="AE483" s="917"/>
      <c r="AF483" s="886">
        <v>40734</v>
      </c>
      <c r="AG483" s="918"/>
      <c r="AH483" s="917"/>
      <c r="AI483" s="886">
        <v>39298</v>
      </c>
      <c r="AJ483" s="918"/>
      <c r="AK483" s="917"/>
      <c r="AL483" s="886">
        <v>49621.9</v>
      </c>
      <c r="AM483" s="918"/>
      <c r="AN483" s="917"/>
      <c r="AO483" s="886">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0.21700014368945417</v>
      </c>
      <c r="D484" s="919"/>
      <c r="E484" s="895">
        <v>1618378.0899999999</v>
      </c>
      <c r="F484" s="893">
        <v>0.21485931889395588</v>
      </c>
      <c r="G484" s="919"/>
      <c r="H484" s="895">
        <v>111257.78</v>
      </c>
      <c r="I484" s="893">
        <v>0.2001720992269837</v>
      </c>
      <c r="J484" s="919"/>
      <c r="K484" s="895">
        <v>83286.39</v>
      </c>
      <c r="L484" s="893">
        <v>0.16492682665617825</v>
      </c>
      <c r="M484" s="919"/>
      <c r="N484" s="895">
        <v>97080.37</v>
      </c>
      <c r="O484" s="893">
        <v>0.33326175603548408</v>
      </c>
      <c r="P484" s="919"/>
      <c r="Q484" s="895">
        <v>189746.3</v>
      </c>
      <c r="R484" s="893">
        <v>0.15693861385623842</v>
      </c>
      <c r="S484" s="919"/>
      <c r="T484" s="895">
        <v>112281.51</v>
      </c>
      <c r="U484" s="893">
        <v>0.21396045259769061</v>
      </c>
      <c r="V484" s="919"/>
      <c r="W484" s="895">
        <v>144620.04</v>
      </c>
      <c r="X484" s="893">
        <v>0.2213978017025296</v>
      </c>
      <c r="Y484" s="919"/>
      <c r="Z484" s="895">
        <v>135580.25</v>
      </c>
      <c r="AA484" s="893">
        <v>0.19147990353101041</v>
      </c>
      <c r="AB484" s="919"/>
      <c r="AC484" s="895">
        <v>124588.09</v>
      </c>
      <c r="AD484" s="893">
        <v>0.2346903198044582</v>
      </c>
      <c r="AE484" s="919"/>
      <c r="AF484" s="895">
        <v>147454.21</v>
      </c>
      <c r="AG484" s="893">
        <v>0.1829061387147442</v>
      </c>
      <c r="AH484" s="919"/>
      <c r="AI484" s="895">
        <v>135351.32</v>
      </c>
      <c r="AJ484" s="893">
        <v>0.18327393454394894</v>
      </c>
      <c r="AK484" s="919"/>
      <c r="AL484" s="895">
        <v>150830.22</v>
      </c>
      <c r="AM484" s="893">
        <v>0.35799971702317418</v>
      </c>
      <c r="AN484" s="919"/>
      <c r="AO484" s="895">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211320.06999999986</v>
      </c>
      <c r="F485" s="920"/>
      <c r="G485" s="921"/>
      <c r="H485" s="922">
        <v>20002.799999999988</v>
      </c>
      <c r="I485" s="920"/>
      <c r="J485" s="921"/>
      <c r="K485" s="922">
        <v>14605.999999999989</v>
      </c>
      <c r="L485" s="920"/>
      <c r="M485" s="921"/>
      <c r="N485" s="922">
        <v>18381.769999999979</v>
      </c>
      <c r="O485" s="920"/>
      <c r="P485" s="921"/>
      <c r="Q485" s="922">
        <v>16443.709999999981</v>
      </c>
      <c r="R485" s="920"/>
      <c r="S485" s="921"/>
      <c r="T485" s="922">
        <v>23923.939999999991</v>
      </c>
      <c r="U485" s="920"/>
      <c r="V485" s="921"/>
      <c r="W485" s="922">
        <v>11589.88999999999</v>
      </c>
      <c r="X485" s="920"/>
      <c r="Y485" s="921"/>
      <c r="Z485" s="922">
        <v>17120.339999999989</v>
      </c>
      <c r="AA485" s="920"/>
      <c r="AB485" s="921"/>
      <c r="AC485" s="922">
        <v>21619.28999999999</v>
      </c>
      <c r="AD485" s="920"/>
      <c r="AE485" s="921"/>
      <c r="AF485" s="922">
        <v>14063.88999999999</v>
      </c>
      <c r="AG485" s="920"/>
      <c r="AH485" s="921"/>
      <c r="AI485" s="922">
        <v>19451.429999999989</v>
      </c>
      <c r="AJ485" s="920"/>
      <c r="AK485" s="921"/>
      <c r="AL485" s="922">
        <v>16397.03999999999</v>
      </c>
      <c r="AM485" s="920"/>
      <c r="AN485" s="921"/>
      <c r="AO485" s="922">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2.5729601404658988E-2</v>
      </c>
      <c r="E486" s="925">
        <v>1880607.0299999947</v>
      </c>
      <c r="F486" s="926" t="s">
        <v>219</v>
      </c>
      <c r="G486" s="927">
        <v>2.1156016983481556E-2</v>
      </c>
      <c r="H486" s="928">
        <v>84606.719999999536</v>
      </c>
      <c r="I486" s="926" t="s">
        <v>219</v>
      </c>
      <c r="J486" s="927">
        <v>-6.6386658238457826E-3</v>
      </c>
      <c r="K486" s="928">
        <v>-22831.360000000117</v>
      </c>
      <c r="L486" s="926" t="s">
        <v>219</v>
      </c>
      <c r="M486" s="927">
        <v>2.1404234382881339E-2</v>
      </c>
      <c r="N486" s="928">
        <v>99658.869999999413</v>
      </c>
      <c r="O486" s="926" t="s">
        <v>219</v>
      </c>
      <c r="P486" s="927">
        <v>5.807810945553319E-2</v>
      </c>
      <c r="Q486" s="928">
        <v>184613.66999999987</v>
      </c>
      <c r="R486" s="926" t="s">
        <v>219</v>
      </c>
      <c r="S486" s="927">
        <v>3.164197490106916E-2</v>
      </c>
      <c r="T486" s="928">
        <v>164356.57999999868</v>
      </c>
      <c r="U486" s="926" t="s">
        <v>219</v>
      </c>
      <c r="V486" s="927">
        <v>3.7297857634574071E-2</v>
      </c>
      <c r="W486" s="928">
        <v>205921.07999999935</v>
      </c>
      <c r="X486" s="926" t="s">
        <v>219</v>
      </c>
      <c r="Y486" s="927">
        <v>3.3448077057872894E-2</v>
      </c>
      <c r="Z486" s="928">
        <v>155597.10999999929</v>
      </c>
      <c r="AA486" s="926" t="s">
        <v>219</v>
      </c>
      <c r="AB486" s="927">
        <v>3.7447641448976658E-2</v>
      </c>
      <c r="AC486" s="928">
        <v>199080.7399999999</v>
      </c>
      <c r="AD486" s="926" t="s">
        <v>219</v>
      </c>
      <c r="AE486" s="927">
        <v>3.9905801248578739E-2</v>
      </c>
      <c r="AF486" s="928">
        <v>182483.25999999981</v>
      </c>
      <c r="AG486" s="926" t="s">
        <v>219</v>
      </c>
      <c r="AH486" s="927">
        <v>2.3031411601125099E-2</v>
      </c>
      <c r="AI486" s="928">
        <v>244419.99999999889</v>
      </c>
      <c r="AJ486" s="926" t="s">
        <v>219</v>
      </c>
      <c r="AK486" s="927">
        <v>2.3953705022798043E-2</v>
      </c>
      <c r="AL486" s="928">
        <v>295470.45000000007</v>
      </c>
      <c r="AM486" s="926" t="s">
        <v>219</v>
      </c>
      <c r="AN486" s="927">
        <v>9.0728956966248629E-3</v>
      </c>
      <c r="AO486" s="928">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3870</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2.5729601404658988E-2</v>
      </c>
      <c r="E492" s="932">
        <v>1880607.0299999947</v>
      </c>
      <c r="F492" s="933" t="s">
        <v>219</v>
      </c>
      <c r="G492" s="931">
        <v>2.1156016983481556E-2</v>
      </c>
      <c r="H492" s="934">
        <v>84606.719999999536</v>
      </c>
      <c r="I492" s="933" t="s">
        <v>219</v>
      </c>
      <c r="J492" s="931">
        <v>-6.6386658238457826E-3</v>
      </c>
      <c r="K492" s="934">
        <v>-22831.360000000117</v>
      </c>
      <c r="L492" s="933" t="s">
        <v>219</v>
      </c>
      <c r="M492" s="931">
        <v>2.1404234382881339E-2</v>
      </c>
      <c r="N492" s="934">
        <v>99658.869999999413</v>
      </c>
      <c r="O492" s="933" t="s">
        <v>219</v>
      </c>
      <c r="P492" s="931">
        <v>5.807810945553319E-2</v>
      </c>
      <c r="Q492" s="934">
        <v>184613.66999999987</v>
      </c>
      <c r="R492" s="933" t="s">
        <v>219</v>
      </c>
      <c r="S492" s="931">
        <v>3.164197490106916E-2</v>
      </c>
      <c r="T492" s="934">
        <v>164356.57999999868</v>
      </c>
      <c r="U492" s="933" t="s">
        <v>219</v>
      </c>
      <c r="V492" s="931">
        <v>3.7297857634574071E-2</v>
      </c>
      <c r="W492" s="934">
        <v>205921.07999999935</v>
      </c>
      <c r="X492" s="933" t="s">
        <v>219</v>
      </c>
      <c r="Y492" s="931">
        <v>3.3448077057872894E-2</v>
      </c>
      <c r="Z492" s="934">
        <v>155597.10999999929</v>
      </c>
      <c r="AA492" s="933" t="s">
        <v>219</v>
      </c>
      <c r="AB492" s="931">
        <v>3.7447641448976658E-2</v>
      </c>
      <c r="AC492" s="934">
        <v>199080.7399999999</v>
      </c>
      <c r="AD492" s="933" t="s">
        <v>219</v>
      </c>
      <c r="AE492" s="931">
        <v>3.9905801248578739E-2</v>
      </c>
      <c r="AF492" s="934">
        <v>182483.25999999981</v>
      </c>
      <c r="AG492" s="933" t="s">
        <v>219</v>
      </c>
      <c r="AH492" s="931">
        <v>2.3031411601125099E-2</v>
      </c>
      <c r="AI492" s="934">
        <v>244419.99999999889</v>
      </c>
      <c r="AJ492" s="933" t="s">
        <v>219</v>
      </c>
      <c r="AK492" s="931">
        <v>2.3953705022798043E-2</v>
      </c>
      <c r="AL492" s="934">
        <v>295470.45000000007</v>
      </c>
      <c r="AM492" s="933" t="s">
        <v>219</v>
      </c>
      <c r="AN492" s="931">
        <v>9.0728956966248629E-3</v>
      </c>
      <c r="AO492" s="934">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51774</v>
      </c>
      <c r="F494" s="889"/>
      <c r="G494" s="888"/>
      <c r="H494" s="897">
        <v>4314.5</v>
      </c>
      <c r="I494" s="889"/>
      <c r="J494" s="888"/>
      <c r="K494" s="897">
        <v>4314.5</v>
      </c>
      <c r="L494" s="889"/>
      <c r="M494" s="888"/>
      <c r="N494" s="897">
        <v>4314.5</v>
      </c>
      <c r="O494" s="889"/>
      <c r="P494" s="888"/>
      <c r="Q494" s="897">
        <v>4314.5</v>
      </c>
      <c r="R494" s="889"/>
      <c r="S494" s="888"/>
      <c r="T494" s="897">
        <v>4314.5</v>
      </c>
      <c r="U494" s="889"/>
      <c r="V494" s="888"/>
      <c r="W494" s="897">
        <v>4314.5</v>
      </c>
      <c r="X494" s="889"/>
      <c r="Y494" s="888"/>
      <c r="Z494" s="897">
        <v>4314.5</v>
      </c>
      <c r="AA494" s="889"/>
      <c r="AB494" s="888"/>
      <c r="AC494" s="897">
        <v>4314.5</v>
      </c>
      <c r="AD494" s="889"/>
      <c r="AE494" s="888"/>
      <c r="AF494" s="897">
        <v>4314.5</v>
      </c>
      <c r="AG494" s="889"/>
      <c r="AH494" s="888"/>
      <c r="AI494" s="897">
        <v>4314.5</v>
      </c>
      <c r="AJ494" s="889"/>
      <c r="AK494" s="888"/>
      <c r="AL494" s="897">
        <v>4314.5</v>
      </c>
      <c r="AM494" s="889"/>
      <c r="AN494" s="888"/>
      <c r="AO494" s="897">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-2098.77</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3866</v>
      </c>
      <c r="C499" s="810"/>
      <c r="D499" s="810"/>
      <c r="E499" s="938"/>
      <c r="F499" s="941"/>
      <c r="G499" s="810"/>
      <c r="H499" s="886"/>
      <c r="I499" s="941"/>
      <c r="J499" s="810"/>
      <c r="K499" s="886"/>
      <c r="L499" s="941"/>
      <c r="M499" s="810"/>
      <c r="N499" s="886"/>
      <c r="O499" s="941"/>
      <c r="P499" s="810"/>
      <c r="Q499" s="886"/>
      <c r="R499" s="941"/>
      <c r="S499" s="810"/>
      <c r="T499" s="886"/>
      <c r="U499" s="941"/>
      <c r="V499" s="810"/>
      <c r="W499" s="886"/>
      <c r="X499" s="941"/>
      <c r="Y499" s="810"/>
      <c r="Z499" s="886"/>
      <c r="AA499" s="941"/>
      <c r="AB499" s="810"/>
      <c r="AC499" s="886"/>
      <c r="AD499" s="941"/>
      <c r="AE499" s="810"/>
      <c r="AF499" s="886"/>
      <c r="AG499" s="941"/>
      <c r="AH499" s="810"/>
      <c r="AI499" s="886"/>
      <c r="AJ499" s="941"/>
      <c r="AK499" s="810"/>
      <c r="AL499" s="886"/>
      <c r="AM499" s="941"/>
      <c r="AN499" s="810"/>
      <c r="AO499" s="886"/>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2.5049967729363857E-2</v>
      </c>
      <c r="E501" s="944">
        <v>1830931.7999999947</v>
      </c>
      <c r="F501" s="945" t="s">
        <v>219</v>
      </c>
      <c r="G501" s="943">
        <v>2.0077170820018045E-2</v>
      </c>
      <c r="H501" s="946">
        <v>80292.219999999536</v>
      </c>
      <c r="I501" s="945" t="s">
        <v>219</v>
      </c>
      <c r="J501" s="943">
        <v>-7.8931913403714072E-3</v>
      </c>
      <c r="K501" s="946">
        <v>-27145.860000000117</v>
      </c>
      <c r="L501" s="945" t="s">
        <v>219</v>
      </c>
      <c r="M501" s="943">
        <v>2.047758762033083E-2</v>
      </c>
      <c r="N501" s="946">
        <v>95344.369999999413</v>
      </c>
      <c r="O501" s="945" t="s">
        <v>219</v>
      </c>
      <c r="P501" s="943">
        <v>5.6720799331933469E-2</v>
      </c>
      <c r="Q501" s="946">
        <v>180299.16999999987</v>
      </c>
      <c r="R501" s="945" t="s">
        <v>219</v>
      </c>
      <c r="S501" s="943">
        <v>3.0811346150393867E-2</v>
      </c>
      <c r="T501" s="946">
        <v>160042.07999999868</v>
      </c>
      <c r="U501" s="945" t="s">
        <v>219</v>
      </c>
      <c r="V501" s="943">
        <v>3.6516385398878873E-2</v>
      </c>
      <c r="W501" s="946">
        <v>201606.57999999935</v>
      </c>
      <c r="X501" s="945" t="s">
        <v>219</v>
      </c>
      <c r="Y501" s="943">
        <v>3.2520606563940235E-2</v>
      </c>
      <c r="Z501" s="946">
        <v>151282.60999999929</v>
      </c>
      <c r="AA501" s="945" t="s">
        <v>219</v>
      </c>
      <c r="AB501" s="943">
        <v>3.663607198710099E-2</v>
      </c>
      <c r="AC501" s="946">
        <v>194766.2399999999</v>
      </c>
      <c r="AD501" s="945" t="s">
        <v>219</v>
      </c>
      <c r="AE501" s="943">
        <v>3.8962297830857064E-2</v>
      </c>
      <c r="AF501" s="946">
        <v>178168.75999999981</v>
      </c>
      <c r="AG501" s="945" t="s">
        <v>219</v>
      </c>
      <c r="AH501" s="943">
        <v>2.262486129692309E-2</v>
      </c>
      <c r="AI501" s="946">
        <v>240105.49999999889</v>
      </c>
      <c r="AJ501" s="945" t="s">
        <v>219</v>
      </c>
      <c r="AK501" s="943">
        <v>2.3603929739615372E-2</v>
      </c>
      <c r="AL501" s="946">
        <v>291155.95000000007</v>
      </c>
      <c r="AM501" s="945" t="s">
        <v>219</v>
      </c>
      <c r="AN501" s="943">
        <v>8.8424347551670224E-3</v>
      </c>
      <c r="AO501" s="946">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S10" sqref="S10"/>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3869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216" t="s">
        <v>228</v>
      </c>
      <c r="B4" s="1216"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7"/>
      <c r="B5" s="1217"/>
      <c r="C5" s="1218" t="s">
        <v>248</v>
      </c>
      <c r="D5" s="1219"/>
      <c r="E5" s="103">
        <f t="shared" ref="E5:S5" si="0">+SUM(E6:E20)</f>
        <v>108661.51000000001</v>
      </c>
      <c r="F5" s="104">
        <f t="shared" si="0"/>
        <v>83000</v>
      </c>
      <c r="G5" s="104">
        <f t="shared" si="0"/>
        <v>25661.509999999995</v>
      </c>
      <c r="H5" s="105">
        <f t="shared" si="0"/>
        <v>4849.8699999999953</v>
      </c>
      <c r="I5" s="106">
        <f t="shared" si="0"/>
        <v>11606.23</v>
      </c>
      <c r="J5" s="106">
        <f t="shared" si="0"/>
        <v>10913</v>
      </c>
      <c r="K5" s="106">
        <f t="shared" si="0"/>
        <v>12548.99</v>
      </c>
      <c r="L5" s="106">
        <f t="shared" si="0"/>
        <v>3237.68</v>
      </c>
      <c r="M5" s="106">
        <f t="shared" si="0"/>
        <v>239.97</v>
      </c>
      <c r="N5" s="106">
        <f t="shared" si="0"/>
        <v>3662.98</v>
      </c>
      <c r="O5" s="106">
        <f t="shared" si="0"/>
        <v>19304.900000000001</v>
      </c>
      <c r="P5" s="106">
        <f t="shared" si="0"/>
        <v>0</v>
      </c>
      <c r="Q5" s="106">
        <f t="shared" si="0"/>
        <v>4292.47</v>
      </c>
      <c r="R5" s="106">
        <f t="shared" si="0"/>
        <v>33920</v>
      </c>
      <c r="S5" s="106">
        <f t="shared" si="0"/>
        <v>4085.4199999999996</v>
      </c>
      <c r="T5" s="107"/>
      <c r="U5" s="3"/>
      <c r="V5" s="3"/>
      <c r="W5" s="3"/>
      <c r="X5" s="1" t="s">
        <v>66</v>
      </c>
      <c r="Y5" s="3"/>
      <c r="Z5" s="3"/>
    </row>
    <row r="6" spans="1:26" ht="30" customHeight="1">
      <c r="A6" s="108" t="str">
        <f>+Parametres!$B$1</f>
        <v>Volks</v>
      </c>
      <c r="B6" s="109" t="s">
        <v>249</v>
      </c>
      <c r="C6" t="s">
        <v>3893</v>
      </c>
      <c r="D6" s="110"/>
      <c r="E6" s="111">
        <f t="shared" ref="E6:E20" si="1">+SUM(H6:S6)</f>
        <v>43823.09</v>
      </c>
      <c r="F6" s="111">
        <v>51000</v>
      </c>
      <c r="G6" s="111">
        <f t="shared" ref="G6:G20" si="2">+E6-F6</f>
        <v>-7176.9100000000035</v>
      </c>
      <c r="H6" s="112"/>
      <c r="I6" s="111">
        <v>9903.09</v>
      </c>
      <c r="J6" s="111"/>
      <c r="K6" s="111"/>
      <c r="L6" s="111"/>
      <c r="M6" s="111"/>
      <c r="N6" s="111"/>
      <c r="O6" s="111"/>
      <c r="P6" s="111"/>
      <c r="Q6" s="111"/>
      <c r="R6" s="111">
        <v>33920</v>
      </c>
      <c r="S6" s="111"/>
      <c r="T6" s="113"/>
      <c r="U6" s="3"/>
      <c r="V6" s="3"/>
      <c r="W6" s="3"/>
      <c r="X6" s="3" t="s">
        <v>68</v>
      </c>
      <c r="Y6" s="3"/>
      <c r="Z6" s="3"/>
    </row>
    <row r="7" spans="1:26" ht="30" customHeight="1">
      <c r="A7" s="113" t="str">
        <f>+Parametres!$B$1</f>
        <v>Volks</v>
      </c>
      <c r="B7" s="114" t="s">
        <v>250</v>
      </c>
      <c r="C7" t="s">
        <v>3894</v>
      </c>
      <c r="D7" s="110"/>
      <c r="E7" s="112">
        <f t="shared" si="1"/>
        <v>9114.9399999999969</v>
      </c>
      <c r="F7" s="111">
        <v>22000</v>
      </c>
      <c r="G7" s="111">
        <f t="shared" si="2"/>
        <v>-12885.060000000003</v>
      </c>
      <c r="H7" s="112">
        <v>4849.8699999999953</v>
      </c>
      <c r="I7" s="111">
        <v>1703.14</v>
      </c>
      <c r="J7" s="111"/>
      <c r="K7" s="111"/>
      <c r="L7" s="111">
        <v>780.68</v>
      </c>
      <c r="M7" s="111"/>
      <c r="N7" s="111">
        <v>3662.98</v>
      </c>
      <c r="O7" s="111">
        <v>1041.25</v>
      </c>
      <c r="P7" s="111"/>
      <c r="Q7" s="111"/>
      <c r="R7" s="111"/>
      <c r="S7" s="111">
        <v>-2922.98</v>
      </c>
      <c r="T7" s="113"/>
      <c r="U7" s="3"/>
      <c r="V7" s="3"/>
      <c r="W7" s="3"/>
      <c r="X7" s="3" t="s">
        <v>70</v>
      </c>
      <c r="Y7" s="3"/>
      <c r="Z7" s="3"/>
    </row>
    <row r="8" spans="1:26" ht="30" customHeight="1">
      <c r="A8" s="113" t="str">
        <f>+Parametres!$B$1</f>
        <v>Volks</v>
      </c>
      <c r="B8" s="114" t="s">
        <v>250</v>
      </c>
      <c r="C8" t="s">
        <v>3895</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3928</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3929</v>
      </c>
      <c r="D10" s="110"/>
      <c r="E10" s="112">
        <f t="shared" si="1"/>
        <v>35308.480000000003</v>
      </c>
      <c r="F10" s="111"/>
      <c r="G10" s="111">
        <f t="shared" si="2"/>
        <v>35308.480000000003</v>
      </c>
      <c r="H10" s="112"/>
      <c r="I10" s="111"/>
      <c r="J10" s="111">
        <v>498</v>
      </c>
      <c r="K10" s="111">
        <v>2548.9899999999998</v>
      </c>
      <c r="L10" s="111">
        <v>2457</v>
      </c>
      <c r="M10" s="111">
        <v>239.97</v>
      </c>
      <c r="N10" s="111"/>
      <c r="O10" s="111">
        <v>18263.650000000001</v>
      </c>
      <c r="P10" s="111"/>
      <c r="Q10" s="111">
        <v>4292.47</v>
      </c>
      <c r="R10" s="111"/>
      <c r="S10" s="111">
        <v>7008.4</v>
      </c>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disablePrompts="1"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4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3342</v>
      </c>
      <c r="B3" s="1067" t="s">
        <v>278</v>
      </c>
      <c r="C3" s="1067" t="s">
        <v>267</v>
      </c>
      <c r="D3" s="1067" t="s">
        <v>282</v>
      </c>
      <c r="E3" s="1069">
        <v>24454.46</v>
      </c>
      <c r="F3" s="1065"/>
      <c r="G3" s="1067" t="s">
        <v>3343</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3420</v>
      </c>
      <c r="B4" s="1067" t="s">
        <v>268</v>
      </c>
      <c r="C4" s="1067" t="s">
        <v>267</v>
      </c>
      <c r="D4" s="1067" t="s">
        <v>269</v>
      </c>
      <c r="E4" s="1069">
        <v>37735.15</v>
      </c>
      <c r="F4" s="1065"/>
      <c r="G4" s="1067" t="s">
        <v>3421</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3422</v>
      </c>
      <c r="B5" s="1067" t="s">
        <v>266</v>
      </c>
      <c r="C5" s="1067" t="s">
        <v>267</v>
      </c>
      <c r="D5" s="1067" t="s">
        <v>3409</v>
      </c>
      <c r="E5" s="1069">
        <v>29929.55</v>
      </c>
      <c r="F5" s="1065"/>
      <c r="G5" s="1067" t="s">
        <v>3423</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3442</v>
      </c>
      <c r="B6" s="1067" t="s">
        <v>266</v>
      </c>
      <c r="C6" s="1067" t="s">
        <v>267</v>
      </c>
      <c r="D6" s="1067" t="s">
        <v>262</v>
      </c>
      <c r="E6" s="1069">
        <v>31306.12</v>
      </c>
      <c r="F6" s="1065"/>
      <c r="G6" s="1067" t="s">
        <v>3443</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3549</v>
      </c>
      <c r="B7" s="1067" t="s">
        <v>3550</v>
      </c>
      <c r="C7" s="1067" t="s">
        <v>3544</v>
      </c>
      <c r="D7" s="1067" t="s">
        <v>3545</v>
      </c>
      <c r="E7" s="1069">
        <v>17680.419999999998</v>
      </c>
      <c r="F7" s="1065"/>
      <c r="G7" s="1067" t="s">
        <v>3551</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3464</v>
      </c>
      <c r="B8" s="1067" t="s">
        <v>268</v>
      </c>
      <c r="C8" s="1067" t="s">
        <v>267</v>
      </c>
      <c r="D8" s="1067" t="s">
        <v>260</v>
      </c>
      <c r="E8" s="1069">
        <v>28635.15</v>
      </c>
      <c r="F8" s="1069">
        <v>-31332.799999999999</v>
      </c>
      <c r="G8" s="1067" t="s">
        <v>3465</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3460</v>
      </c>
      <c r="B9" s="1067" t="s">
        <v>259</v>
      </c>
      <c r="C9" s="1067" t="s">
        <v>267</v>
      </c>
      <c r="D9" s="1067" t="s">
        <v>260</v>
      </c>
      <c r="E9" s="1069">
        <v>38815.25</v>
      </c>
      <c r="F9" s="1065"/>
      <c r="G9" s="1067" t="s">
        <v>3461</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3462</v>
      </c>
      <c r="B10" s="1067" t="s">
        <v>278</v>
      </c>
      <c r="C10" s="1067" t="s">
        <v>267</v>
      </c>
      <c r="D10" s="1067" t="s">
        <v>260</v>
      </c>
      <c r="E10" s="1069">
        <v>31315.25</v>
      </c>
      <c r="F10" s="1069">
        <v>-24944.54</v>
      </c>
      <c r="G10" s="1067" t="s">
        <v>3463</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3467</v>
      </c>
      <c r="B11" s="1067" t="s">
        <v>275</v>
      </c>
      <c r="C11" s="1067" t="s">
        <v>267</v>
      </c>
      <c r="D11" s="1067" t="s">
        <v>277</v>
      </c>
      <c r="E11" s="1069">
        <v>21280.25</v>
      </c>
      <c r="F11" s="1069">
        <v>-10962</v>
      </c>
      <c r="G11" s="1067" t="s">
        <v>3468</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3469</v>
      </c>
      <c r="B12" s="1067" t="s">
        <v>266</v>
      </c>
      <c r="C12" s="1067" t="s">
        <v>3470</v>
      </c>
      <c r="D12" s="1067" t="s">
        <v>3471</v>
      </c>
      <c r="E12" s="1069">
        <v>17550</v>
      </c>
      <c r="F12" s="1065"/>
      <c r="G12" s="1067" t="s">
        <v>3472</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3535</v>
      </c>
      <c r="B13" s="1067" t="s">
        <v>275</v>
      </c>
      <c r="C13" s="1067" t="s">
        <v>267</v>
      </c>
      <c r="D13" s="1067" t="s">
        <v>279</v>
      </c>
      <c r="E13" s="1069">
        <v>27280.25</v>
      </c>
      <c r="F13" s="1069">
        <v>-17480.23</v>
      </c>
      <c r="G13" s="1067" t="s">
        <v>3536</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3512</v>
      </c>
      <c r="B14" s="1067" t="s">
        <v>259</v>
      </c>
      <c r="C14" s="1067" t="s">
        <v>267</v>
      </c>
      <c r="D14" s="1067" t="s">
        <v>269</v>
      </c>
      <c r="E14" s="1069">
        <v>44105.05</v>
      </c>
      <c r="F14" s="1069">
        <v>-38250</v>
      </c>
      <c r="G14" s="1067" t="s">
        <v>3513</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3526</v>
      </c>
      <c r="B15" s="1067" t="s">
        <v>278</v>
      </c>
      <c r="C15" s="1067" t="s">
        <v>267</v>
      </c>
      <c r="D15" s="1067" t="s">
        <v>269</v>
      </c>
      <c r="E15" s="1069">
        <v>36415.129999999997</v>
      </c>
      <c r="F15" s="1069">
        <v>-26892</v>
      </c>
      <c r="G15" s="1067" t="s">
        <v>3527</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3520</v>
      </c>
      <c r="B16" s="1067" t="s">
        <v>278</v>
      </c>
      <c r="C16" s="1067" t="s">
        <v>267</v>
      </c>
      <c r="D16" s="1067" t="s">
        <v>260</v>
      </c>
      <c r="E16" s="1069">
        <v>27935.05</v>
      </c>
      <c r="F16" s="1065"/>
      <c r="G16" s="1067" t="s">
        <v>3521</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3546</v>
      </c>
      <c r="B17" s="1067" t="s">
        <v>280</v>
      </c>
      <c r="C17" s="1067" t="s">
        <v>3352</v>
      </c>
      <c r="D17" s="1067" t="s">
        <v>3547</v>
      </c>
      <c r="E17" s="1069">
        <v>20050</v>
      </c>
      <c r="F17" s="1065"/>
      <c r="G17" s="1067" t="s">
        <v>3548</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3539</v>
      </c>
      <c r="B18" s="1067" t="s">
        <v>266</v>
      </c>
      <c r="C18" s="1067" t="s">
        <v>267</v>
      </c>
      <c r="D18" s="1067" t="s">
        <v>260</v>
      </c>
      <c r="E18" s="1069">
        <v>20497.05</v>
      </c>
      <c r="F18" s="1065"/>
      <c r="G18" s="1067" t="s">
        <v>3540</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3522</v>
      </c>
      <c r="B19" s="1067" t="s">
        <v>278</v>
      </c>
      <c r="C19" s="1067" t="s">
        <v>267</v>
      </c>
      <c r="D19" s="1067" t="s">
        <v>260</v>
      </c>
      <c r="E19" s="1069">
        <v>28075.78</v>
      </c>
      <c r="F19" s="1069">
        <v>-23850</v>
      </c>
      <c r="G19" s="1067" t="s">
        <v>3523</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3533</v>
      </c>
      <c r="B20" s="1067" t="s">
        <v>275</v>
      </c>
      <c r="C20" s="1067" t="s">
        <v>267</v>
      </c>
      <c r="D20" s="1067" t="s">
        <v>260</v>
      </c>
      <c r="E20" s="1069">
        <v>26815.25</v>
      </c>
      <c r="F20" s="1065"/>
      <c r="G20" s="1067" t="s">
        <v>3534</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3583</v>
      </c>
      <c r="B21" s="1067" t="s">
        <v>268</v>
      </c>
      <c r="C21" s="1067" t="s">
        <v>267</v>
      </c>
      <c r="D21" s="1067" t="s">
        <v>260</v>
      </c>
      <c r="E21" s="1069">
        <v>28447.25</v>
      </c>
      <c r="F21" s="1069">
        <v>-24418.799999999999</v>
      </c>
      <c r="G21" s="1067" t="s">
        <v>3584</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3537</v>
      </c>
      <c r="B22" s="1067" t="s">
        <v>275</v>
      </c>
      <c r="C22" s="1067" t="s">
        <v>267</v>
      </c>
      <c r="D22" s="1067" t="s">
        <v>262</v>
      </c>
      <c r="E22" s="1069">
        <v>29352</v>
      </c>
      <c r="F22" s="1065"/>
      <c r="G22" s="1067" t="s">
        <v>3538</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3542</v>
      </c>
      <c r="B23" s="1067" t="s">
        <v>266</v>
      </c>
      <c r="C23" s="1067" t="s">
        <v>267</v>
      </c>
      <c r="D23" s="1067" t="s">
        <v>273</v>
      </c>
      <c r="E23" s="1069">
        <v>18787.5</v>
      </c>
      <c r="F23" s="1065"/>
      <c r="G23" s="1067" t="s">
        <v>3543</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3524</v>
      </c>
      <c r="B24" s="1067" t="s">
        <v>278</v>
      </c>
      <c r="C24" s="1067" t="s">
        <v>267</v>
      </c>
      <c r="D24" s="1067" t="s">
        <v>277</v>
      </c>
      <c r="E24" s="1069">
        <v>18043.82</v>
      </c>
      <c r="F24" s="1065"/>
      <c r="G24" s="1067" t="s">
        <v>3525</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3516</v>
      </c>
      <c r="B25" s="1067" t="s">
        <v>268</v>
      </c>
      <c r="C25" s="1067" t="s">
        <v>267</v>
      </c>
      <c r="D25" s="1067" t="s">
        <v>262</v>
      </c>
      <c r="E25" s="1069">
        <v>40209.65</v>
      </c>
      <c r="F25" s="1065"/>
      <c r="G25" s="1067" t="s">
        <v>3517</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3518</v>
      </c>
      <c r="B26" s="1067" t="s">
        <v>278</v>
      </c>
      <c r="C26" s="1067" t="s">
        <v>267</v>
      </c>
      <c r="D26" s="1067" t="s">
        <v>260</v>
      </c>
      <c r="E26" s="1069">
        <v>30620.3</v>
      </c>
      <c r="F26" s="1065"/>
      <c r="G26" s="1067" t="s">
        <v>3519</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3531</v>
      </c>
      <c r="B27" s="1067" t="s">
        <v>278</v>
      </c>
      <c r="C27" s="1067" t="s">
        <v>3474</v>
      </c>
      <c r="D27" s="1067" t="s">
        <v>3475</v>
      </c>
      <c r="E27" s="1069">
        <v>28211.38</v>
      </c>
      <c r="F27" s="1065"/>
      <c r="G27" s="1067" t="s">
        <v>3532</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3528</v>
      </c>
      <c r="B28" s="1067" t="s">
        <v>278</v>
      </c>
      <c r="C28" s="1067" t="s">
        <v>3435</v>
      </c>
      <c r="D28" s="1067" t="s">
        <v>3529</v>
      </c>
      <c r="E28" s="1069">
        <v>23550</v>
      </c>
      <c r="F28" s="1065"/>
      <c r="G28" s="1067" t="s">
        <v>3530</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3585</v>
      </c>
      <c r="B29" s="1067" t="s">
        <v>259</v>
      </c>
      <c r="C29" s="1067" t="s">
        <v>267</v>
      </c>
      <c r="D29" s="1067" t="s">
        <v>260</v>
      </c>
      <c r="E29" s="1069">
        <v>36524.6</v>
      </c>
      <c r="F29" s="1065"/>
      <c r="G29" s="1067" t="s">
        <v>3586</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3587</v>
      </c>
      <c r="B30" s="1067" t="s">
        <v>278</v>
      </c>
      <c r="C30" s="1067" t="s">
        <v>267</v>
      </c>
      <c r="D30" s="1067" t="s">
        <v>260</v>
      </c>
      <c r="E30" s="1069">
        <v>24346.21</v>
      </c>
      <c r="F30" s="1069">
        <v>-16047.88</v>
      </c>
      <c r="G30" s="1067" t="s">
        <v>3588</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3589</v>
      </c>
      <c r="B31" s="1067" t="s">
        <v>275</v>
      </c>
      <c r="C31" s="1067" t="s">
        <v>267</v>
      </c>
      <c r="D31" s="1067" t="s">
        <v>273</v>
      </c>
      <c r="E31" s="1069">
        <v>18530.25</v>
      </c>
      <c r="F31" s="1065"/>
      <c r="G31" s="1067" t="s">
        <v>3590</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3514</v>
      </c>
      <c r="B32" s="1067" t="s">
        <v>268</v>
      </c>
      <c r="C32" s="1067" t="s">
        <v>267</v>
      </c>
      <c r="D32" s="1067" t="s">
        <v>260</v>
      </c>
      <c r="E32" s="1069">
        <v>29670.31</v>
      </c>
      <c r="F32" s="1069">
        <v>-25505.1</v>
      </c>
      <c r="G32" s="1067" t="s">
        <v>3515</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3591</v>
      </c>
      <c r="B33" s="1067" t="s">
        <v>278</v>
      </c>
      <c r="C33" s="1067" t="s">
        <v>267</v>
      </c>
      <c r="D33" s="1067" t="s">
        <v>277</v>
      </c>
      <c r="E33" s="1069">
        <v>22965.200000000001</v>
      </c>
      <c r="F33" s="1065"/>
      <c r="G33" s="1067" t="s">
        <v>3592</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3752</v>
      </c>
      <c r="B34" s="1067" t="s">
        <v>268</v>
      </c>
      <c r="C34" s="1067" t="s">
        <v>267</v>
      </c>
      <c r="D34" s="1067" t="s">
        <v>260</v>
      </c>
      <c r="E34" s="1069">
        <v>31666.799999999999</v>
      </c>
      <c r="F34" s="1069">
        <v>-33046.589999999997</v>
      </c>
      <c r="G34" s="1067" t="s">
        <v>3753</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3593</v>
      </c>
      <c r="B35" s="1067" t="s">
        <v>275</v>
      </c>
      <c r="C35" s="1067" t="s">
        <v>267</v>
      </c>
      <c r="D35" s="1067" t="s">
        <v>260</v>
      </c>
      <c r="E35" s="1069">
        <v>24846.26</v>
      </c>
      <c r="F35" s="1065"/>
      <c r="G35" s="1067" t="s">
        <v>3594</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3595</v>
      </c>
      <c r="B36" s="1067" t="s">
        <v>278</v>
      </c>
      <c r="C36" s="1067" t="s">
        <v>267</v>
      </c>
      <c r="D36" s="1067" t="s">
        <v>277</v>
      </c>
      <c r="E36" s="1069">
        <v>19323.740000000002</v>
      </c>
      <c r="F36" s="1065"/>
      <c r="G36" s="1067" t="s">
        <v>3596</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3597</v>
      </c>
      <c r="B37" s="1067" t="s">
        <v>275</v>
      </c>
      <c r="C37" s="1067" t="s">
        <v>267</v>
      </c>
      <c r="D37" s="1067" t="s">
        <v>273</v>
      </c>
      <c r="E37" s="1069">
        <v>18294.75</v>
      </c>
      <c r="F37" s="1065"/>
      <c r="G37" s="1067" t="s">
        <v>3598</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3599</v>
      </c>
      <c r="B38" s="1067" t="s">
        <v>266</v>
      </c>
      <c r="C38" s="1067" t="s">
        <v>267</v>
      </c>
      <c r="D38" s="1067" t="s">
        <v>273</v>
      </c>
      <c r="E38" s="1069">
        <v>16745.3</v>
      </c>
      <c r="F38" s="1065"/>
      <c r="G38" s="1067" t="s">
        <v>3600</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3601</v>
      </c>
      <c r="B39" s="1067" t="s">
        <v>259</v>
      </c>
      <c r="C39" s="1067" t="s">
        <v>267</v>
      </c>
      <c r="D39" s="1067" t="s">
        <v>262</v>
      </c>
      <c r="E39" s="1069">
        <v>49927.29</v>
      </c>
      <c r="F39" s="1065"/>
      <c r="G39" s="1067" t="s">
        <v>3602</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3603</v>
      </c>
      <c r="B40" s="1067" t="s">
        <v>278</v>
      </c>
      <c r="C40" s="1067" t="s">
        <v>267</v>
      </c>
      <c r="D40" s="1067" t="s">
        <v>260</v>
      </c>
      <c r="E40" s="1069">
        <v>24483.1</v>
      </c>
      <c r="F40" s="1069">
        <v>-18876</v>
      </c>
      <c r="G40" s="1067" t="s">
        <v>3604</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3605</v>
      </c>
      <c r="B41" s="1067" t="s">
        <v>275</v>
      </c>
      <c r="C41" s="1067" t="s">
        <v>267</v>
      </c>
      <c r="D41" s="1067" t="s">
        <v>273</v>
      </c>
      <c r="E41" s="1069">
        <v>21779.599999999999</v>
      </c>
      <c r="F41" s="1065"/>
      <c r="G41" s="1067" t="s">
        <v>3606</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3607</v>
      </c>
      <c r="B42" s="1067" t="s">
        <v>268</v>
      </c>
      <c r="C42" s="1067" t="s">
        <v>267</v>
      </c>
      <c r="D42" s="1067" t="s">
        <v>273</v>
      </c>
      <c r="E42" s="1069">
        <v>21350</v>
      </c>
      <c r="F42" s="1065"/>
      <c r="G42" s="1067" t="s">
        <v>3608</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3609</v>
      </c>
      <c r="B43" s="1067" t="s">
        <v>275</v>
      </c>
      <c r="C43" s="1067" t="s">
        <v>267</v>
      </c>
      <c r="D43" s="1067" t="s">
        <v>277</v>
      </c>
      <c r="E43" s="1069">
        <v>17488.18</v>
      </c>
      <c r="F43" s="1065"/>
      <c r="G43" s="1067" t="s">
        <v>3610</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3611</v>
      </c>
      <c r="B44" s="1067" t="s">
        <v>278</v>
      </c>
      <c r="C44" s="1067" t="s">
        <v>267</v>
      </c>
      <c r="D44" s="1067" t="s">
        <v>277</v>
      </c>
      <c r="E44" s="1069">
        <v>18370.25</v>
      </c>
      <c r="F44" s="1065"/>
      <c r="G44" s="1067" t="s">
        <v>3612</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3613</v>
      </c>
      <c r="B45" s="1067" t="s">
        <v>266</v>
      </c>
      <c r="C45" s="1067" t="s">
        <v>267</v>
      </c>
      <c r="D45" s="1067" t="s">
        <v>260</v>
      </c>
      <c r="E45" s="1069">
        <v>20165.3</v>
      </c>
      <c r="F45" s="1065"/>
      <c r="G45" s="1067" t="s">
        <v>3614</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3754</v>
      </c>
      <c r="B46" s="1067" t="s">
        <v>3341</v>
      </c>
      <c r="C46" s="1067" t="s">
        <v>3474</v>
      </c>
      <c r="D46" s="1067" t="s">
        <v>3755</v>
      </c>
      <c r="E46" s="1069">
        <v>15050</v>
      </c>
      <c r="F46" s="1065"/>
      <c r="G46" s="1067" t="s">
        <v>3756</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3615</v>
      </c>
      <c r="B47" s="1067" t="s">
        <v>278</v>
      </c>
      <c r="C47" s="1067" t="s">
        <v>267</v>
      </c>
      <c r="D47" s="1067" t="s">
        <v>277</v>
      </c>
      <c r="E47" s="1069">
        <v>21360.2</v>
      </c>
      <c r="F47" s="1065"/>
      <c r="G47" s="1067" t="s">
        <v>3616</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3617</v>
      </c>
      <c r="B48" s="1067" t="s">
        <v>268</v>
      </c>
      <c r="C48" s="1067" t="s">
        <v>267</v>
      </c>
      <c r="D48" s="1067" t="s">
        <v>277</v>
      </c>
      <c r="E48" s="1069">
        <v>25003.85</v>
      </c>
      <c r="F48" s="1069">
        <v>-21330</v>
      </c>
      <c r="G48" s="1067" t="s">
        <v>3618</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3619</v>
      </c>
      <c r="B49" s="1067" t="s">
        <v>278</v>
      </c>
      <c r="C49" s="1067" t="s">
        <v>267</v>
      </c>
      <c r="D49" s="1067" t="s">
        <v>260</v>
      </c>
      <c r="E49" s="1069">
        <v>24894.97</v>
      </c>
      <c r="F49" s="1065"/>
      <c r="G49" s="1067" t="s">
        <v>3620</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3621</v>
      </c>
      <c r="B50" s="1067" t="s">
        <v>275</v>
      </c>
      <c r="C50" s="1067" t="s">
        <v>267</v>
      </c>
      <c r="D50" s="1067" t="s">
        <v>260</v>
      </c>
      <c r="E50" s="1069">
        <v>27870.3</v>
      </c>
      <c r="F50" s="1065"/>
      <c r="G50" s="1067" t="s">
        <v>3622</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3623</v>
      </c>
      <c r="B51" s="1067" t="s">
        <v>268</v>
      </c>
      <c r="C51" s="1067" t="s">
        <v>267</v>
      </c>
      <c r="D51" s="1067" t="s">
        <v>277</v>
      </c>
      <c r="E51" s="1069">
        <v>24530.400000000001</v>
      </c>
      <c r="F51" s="1065"/>
      <c r="G51" s="1067" t="s">
        <v>3624</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3625</v>
      </c>
      <c r="B52" s="1067" t="s">
        <v>3626</v>
      </c>
      <c r="C52" s="1067" t="s">
        <v>267</v>
      </c>
      <c r="D52" s="1067" t="s">
        <v>3627</v>
      </c>
      <c r="E52" s="1069">
        <v>4314.03</v>
      </c>
      <c r="F52" s="1065"/>
      <c r="G52" s="1067" t="s">
        <v>3628</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3631</v>
      </c>
      <c r="B53" s="1067" t="s">
        <v>268</v>
      </c>
      <c r="C53" s="1067" t="s">
        <v>267</v>
      </c>
      <c r="D53" s="1067" t="s">
        <v>277</v>
      </c>
      <c r="E53" s="1069">
        <v>24447.5</v>
      </c>
      <c r="F53" s="1065"/>
      <c r="G53" s="1067" t="s">
        <v>3632</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3633</v>
      </c>
      <c r="B54" s="1067" t="s">
        <v>275</v>
      </c>
      <c r="C54" s="1067" t="s">
        <v>267</v>
      </c>
      <c r="D54" s="1067" t="s">
        <v>273</v>
      </c>
      <c r="E54" s="1069">
        <v>20373.45</v>
      </c>
      <c r="F54" s="1069">
        <v>-12553.38</v>
      </c>
      <c r="G54" s="1067" t="s">
        <v>3634</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3639</v>
      </c>
      <c r="B55" s="1067" t="s">
        <v>268</v>
      </c>
      <c r="C55" s="1067" t="s">
        <v>267</v>
      </c>
      <c r="D55" s="1067" t="s">
        <v>279</v>
      </c>
      <c r="E55" s="1069">
        <v>32388.2</v>
      </c>
      <c r="F55" s="1065"/>
      <c r="G55" s="1067" t="s">
        <v>3640</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3643</v>
      </c>
      <c r="B56" s="1067" t="s">
        <v>278</v>
      </c>
      <c r="C56" s="1067" t="s">
        <v>267</v>
      </c>
      <c r="D56" s="1067" t="s">
        <v>3644</v>
      </c>
      <c r="E56" s="1069">
        <v>23491.599999999999</v>
      </c>
      <c r="F56" s="1065"/>
      <c r="G56" s="1067" t="s">
        <v>3645</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3646</v>
      </c>
      <c r="B57" s="1067" t="s">
        <v>268</v>
      </c>
      <c r="C57" s="1067" t="s">
        <v>267</v>
      </c>
      <c r="D57" s="1067" t="s">
        <v>260</v>
      </c>
      <c r="E57" s="1069">
        <v>29343.25</v>
      </c>
      <c r="F57" s="1065"/>
      <c r="G57" s="1067" t="s">
        <v>3647</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3648</v>
      </c>
      <c r="B58" s="1067" t="s">
        <v>278</v>
      </c>
      <c r="C58" s="1067" t="s">
        <v>267</v>
      </c>
      <c r="D58" s="1067" t="s">
        <v>260</v>
      </c>
      <c r="E58" s="1069">
        <v>29950</v>
      </c>
      <c r="F58" s="1065"/>
      <c r="G58" s="1067" t="s">
        <v>3649</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3650</v>
      </c>
      <c r="B59" s="1067" t="s">
        <v>275</v>
      </c>
      <c r="C59" s="1067" t="s">
        <v>267</v>
      </c>
      <c r="D59" s="1067" t="s">
        <v>260</v>
      </c>
      <c r="E59" s="1069">
        <v>21448.99</v>
      </c>
      <c r="F59" s="1069">
        <v>-18000</v>
      </c>
      <c r="G59" s="1067" t="s">
        <v>3651</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3652</v>
      </c>
      <c r="B60" s="1067" t="s">
        <v>275</v>
      </c>
      <c r="C60" s="1067" t="s">
        <v>267</v>
      </c>
      <c r="D60" s="1067" t="s">
        <v>3541</v>
      </c>
      <c r="E60" s="1069">
        <v>23680.2</v>
      </c>
      <c r="F60" s="1065"/>
      <c r="G60" s="1067" t="s">
        <v>3653</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3654</v>
      </c>
      <c r="B61" s="1067" t="s">
        <v>275</v>
      </c>
      <c r="C61" s="1067" t="s">
        <v>267</v>
      </c>
      <c r="D61" s="1067" t="s">
        <v>273</v>
      </c>
      <c r="E61" s="1069">
        <v>19433.849999999999</v>
      </c>
      <c r="F61" s="1065"/>
      <c r="G61" s="1067" t="s">
        <v>3655</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3656</v>
      </c>
      <c r="B62" s="1067" t="s">
        <v>275</v>
      </c>
      <c r="C62" s="1067" t="s">
        <v>3435</v>
      </c>
      <c r="D62" s="1067" t="s">
        <v>3529</v>
      </c>
      <c r="E62" s="1069">
        <v>17516.849999999999</v>
      </c>
      <c r="F62" s="1065"/>
      <c r="G62" s="1067" t="s">
        <v>3657</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3637</v>
      </c>
      <c r="B63" s="1067" t="s">
        <v>268</v>
      </c>
      <c r="C63" s="1067" t="s">
        <v>267</v>
      </c>
      <c r="D63" s="1067" t="s">
        <v>260</v>
      </c>
      <c r="E63" s="1069">
        <v>28418.09</v>
      </c>
      <c r="F63" s="1065"/>
      <c r="G63" s="1067" t="s">
        <v>3638</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3641</v>
      </c>
      <c r="B64" s="1067" t="s">
        <v>278</v>
      </c>
      <c r="C64" s="1067" t="s">
        <v>267</v>
      </c>
      <c r="D64" s="1067" t="s">
        <v>260</v>
      </c>
      <c r="E64" s="1069">
        <v>26650</v>
      </c>
      <c r="F64" s="1065"/>
      <c r="G64" s="1067" t="s">
        <v>3642</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3757</v>
      </c>
      <c r="B65" s="1067" t="s">
        <v>275</v>
      </c>
      <c r="C65" s="1067" t="s">
        <v>267</v>
      </c>
      <c r="D65" s="1067" t="s">
        <v>260</v>
      </c>
      <c r="E65" s="1069">
        <v>22943.200000000001</v>
      </c>
      <c r="F65" s="1069">
        <v>-14910</v>
      </c>
      <c r="G65" s="1067" t="s">
        <v>3758</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3759</v>
      </c>
      <c r="B66" s="1067" t="s">
        <v>3440</v>
      </c>
      <c r="C66" s="1067" t="s">
        <v>267</v>
      </c>
      <c r="D66" s="1067" t="s">
        <v>3574</v>
      </c>
      <c r="E66" s="1069">
        <v>56282.9</v>
      </c>
      <c r="F66" s="1069">
        <v>-53444.44</v>
      </c>
      <c r="G66" s="1067" t="s">
        <v>3760</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3761</v>
      </c>
      <c r="B67" s="1067" t="s">
        <v>264</v>
      </c>
      <c r="C67" s="1067" t="s">
        <v>267</v>
      </c>
      <c r="D67" s="1067" t="s">
        <v>260</v>
      </c>
      <c r="E67" s="1069">
        <v>37343.25</v>
      </c>
      <c r="F67" s="1069">
        <v>-31500</v>
      </c>
      <c r="G67" s="1067" t="s">
        <v>3762</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3763</v>
      </c>
      <c r="B68" s="1067" t="s">
        <v>268</v>
      </c>
      <c r="C68" s="1067" t="s">
        <v>267</v>
      </c>
      <c r="D68" s="1067" t="s">
        <v>260</v>
      </c>
      <c r="E68" s="1069">
        <v>27555.439999999999</v>
      </c>
      <c r="F68" s="1069">
        <v>-26142.19</v>
      </c>
      <c r="G68" s="1067" t="s">
        <v>3764</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3629</v>
      </c>
      <c r="B69" s="1067" t="s">
        <v>275</v>
      </c>
      <c r="C69" s="1067" t="s">
        <v>267</v>
      </c>
      <c r="D69" s="1067" t="s">
        <v>277</v>
      </c>
      <c r="E69" s="1069">
        <v>15050</v>
      </c>
      <c r="F69" s="1065"/>
      <c r="G69" s="1067" t="s">
        <v>3630</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3765</v>
      </c>
      <c r="B70" s="1067" t="s">
        <v>278</v>
      </c>
      <c r="C70" s="1067" t="s">
        <v>267</v>
      </c>
      <c r="D70" s="1067" t="s">
        <v>282</v>
      </c>
      <c r="E70" s="1069">
        <v>24148.3</v>
      </c>
      <c r="F70" s="1069">
        <v>-13011</v>
      </c>
      <c r="G70" s="1067" t="s">
        <v>3766</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3767</v>
      </c>
      <c r="B71" s="1067" t="s">
        <v>280</v>
      </c>
      <c r="C71" s="1067" t="s">
        <v>267</v>
      </c>
      <c r="D71" s="1067" t="s">
        <v>260</v>
      </c>
      <c r="E71" s="1069">
        <v>17323.25</v>
      </c>
      <c r="F71" s="1069">
        <v>-14400</v>
      </c>
      <c r="G71" s="1067" t="s">
        <v>3768</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3769</v>
      </c>
      <c r="B72" s="1067" t="s">
        <v>278</v>
      </c>
      <c r="C72" s="1067" t="s">
        <v>267</v>
      </c>
      <c r="D72" s="1067" t="s">
        <v>260</v>
      </c>
      <c r="E72" s="1069">
        <v>24729.89</v>
      </c>
      <c r="F72" s="1069">
        <v>-21121.07</v>
      </c>
      <c r="G72" s="1067" t="s">
        <v>3770</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3771</v>
      </c>
      <c r="B73" s="1067" t="s">
        <v>264</v>
      </c>
      <c r="C73" s="1067" t="s">
        <v>3636</v>
      </c>
      <c r="D73" s="1067" t="s">
        <v>3772</v>
      </c>
      <c r="E73" s="1069">
        <v>39801.279999999999</v>
      </c>
      <c r="F73" s="1065"/>
      <c r="G73" s="1067" t="s">
        <v>3773</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3774</v>
      </c>
      <c r="B74" s="1067" t="s">
        <v>278</v>
      </c>
      <c r="C74" s="1067" t="s">
        <v>267</v>
      </c>
      <c r="D74" s="1067" t="s">
        <v>260</v>
      </c>
      <c r="E74" s="1069">
        <v>27897</v>
      </c>
      <c r="F74" s="1069">
        <v>-21259.15</v>
      </c>
      <c r="G74" s="1067" t="s">
        <v>3775</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3776</v>
      </c>
      <c r="B75" s="1067" t="s">
        <v>268</v>
      </c>
      <c r="C75" s="1067" t="s">
        <v>267</v>
      </c>
      <c r="D75" s="1067" t="s">
        <v>260</v>
      </c>
      <c r="E75" s="1069">
        <v>29849.7</v>
      </c>
      <c r="F75" s="1069">
        <v>-25650</v>
      </c>
      <c r="G75" s="1067" t="s">
        <v>3777</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3778</v>
      </c>
      <c r="B76" s="1067" t="s">
        <v>268</v>
      </c>
      <c r="C76" s="1067" t="s">
        <v>267</v>
      </c>
      <c r="D76" s="1067" t="s">
        <v>277</v>
      </c>
      <c r="E76" s="1069">
        <v>22734.85</v>
      </c>
      <c r="F76" s="1065"/>
      <c r="G76" s="1067" t="s">
        <v>3779</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3780</v>
      </c>
      <c r="B77" s="1067" t="s">
        <v>278</v>
      </c>
      <c r="C77" s="1067" t="s">
        <v>267</v>
      </c>
      <c r="D77" s="1067" t="s">
        <v>260</v>
      </c>
      <c r="E77" s="1069">
        <v>23937.85</v>
      </c>
      <c r="F77" s="1065"/>
      <c r="G77" s="1067" t="s">
        <v>3781</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3782</v>
      </c>
      <c r="B78" s="1067" t="s">
        <v>278</v>
      </c>
      <c r="C78" s="1067" t="s">
        <v>3783</v>
      </c>
      <c r="D78" s="1067" t="s">
        <v>3784</v>
      </c>
      <c r="E78" s="1069">
        <v>37860.379999999997</v>
      </c>
      <c r="F78" s="1065"/>
      <c r="G78" s="1067" t="s">
        <v>3785</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3786</v>
      </c>
      <c r="B79" s="1067" t="s">
        <v>275</v>
      </c>
      <c r="C79" s="1067" t="s">
        <v>267</v>
      </c>
      <c r="D79" s="1067" t="s">
        <v>273</v>
      </c>
      <c r="E79" s="1069">
        <v>17250</v>
      </c>
      <c r="F79" s="1069">
        <v>-10994</v>
      </c>
      <c r="G79" s="1067" t="s">
        <v>3787</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3788</v>
      </c>
      <c r="B80" s="1067" t="s">
        <v>3341</v>
      </c>
      <c r="C80" s="1067" t="s">
        <v>267</v>
      </c>
      <c r="D80" s="1067" t="s">
        <v>265</v>
      </c>
      <c r="E80" s="1069">
        <v>9050</v>
      </c>
      <c r="F80" s="1065"/>
      <c r="G80" s="1067" t="s">
        <v>3789</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3790</v>
      </c>
      <c r="B81" s="1067" t="s">
        <v>3550</v>
      </c>
      <c r="C81" s="1067" t="s">
        <v>3435</v>
      </c>
      <c r="D81" s="1067" t="s">
        <v>3791</v>
      </c>
      <c r="E81" s="1069">
        <v>10550</v>
      </c>
      <c r="F81" s="1065"/>
      <c r="G81" s="1067" t="s">
        <v>3792</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3793</v>
      </c>
      <c r="B82" s="1067" t="s">
        <v>259</v>
      </c>
      <c r="C82" s="1067" t="s">
        <v>267</v>
      </c>
      <c r="D82" s="1067" t="s">
        <v>3574</v>
      </c>
      <c r="E82" s="1069">
        <v>48197.8</v>
      </c>
      <c r="F82" s="1069">
        <v>-42300</v>
      </c>
      <c r="G82" s="1067" t="s">
        <v>3794</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3795</v>
      </c>
      <c r="B83" s="1067" t="s">
        <v>275</v>
      </c>
      <c r="C83" s="1067" t="s">
        <v>267</v>
      </c>
      <c r="D83" s="1067" t="s">
        <v>277</v>
      </c>
      <c r="E83" s="1069">
        <v>21402.85</v>
      </c>
      <c r="F83" s="1065"/>
      <c r="G83" s="1067" t="s">
        <v>3796</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3797</v>
      </c>
      <c r="B84" s="1067" t="s">
        <v>275</v>
      </c>
      <c r="C84" s="1067" t="s">
        <v>267</v>
      </c>
      <c r="D84" s="1067" t="s">
        <v>273</v>
      </c>
      <c r="E84" s="1069">
        <v>18179.95</v>
      </c>
      <c r="F84" s="1065"/>
      <c r="G84" s="1067" t="s">
        <v>3798</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3799</v>
      </c>
      <c r="B85" s="1067" t="s">
        <v>3473</v>
      </c>
      <c r="C85" s="1067" t="s">
        <v>3800</v>
      </c>
      <c r="D85" s="1067" t="s">
        <v>3801</v>
      </c>
      <c r="E85" s="1069">
        <v>22550</v>
      </c>
      <c r="F85" s="1065"/>
      <c r="G85" s="1067" t="s">
        <v>3802</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3803</v>
      </c>
      <c r="B86" s="1067" t="s">
        <v>3444</v>
      </c>
      <c r="C86" s="1067" t="s">
        <v>3433</v>
      </c>
      <c r="D86" s="1067" t="s">
        <v>3804</v>
      </c>
      <c r="E86" s="1069">
        <v>5450</v>
      </c>
      <c r="F86" s="1065"/>
      <c r="G86" s="1067" t="s">
        <v>3805</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3806</v>
      </c>
      <c r="B87" s="1067" t="s">
        <v>275</v>
      </c>
      <c r="C87" s="1067" t="s">
        <v>267</v>
      </c>
      <c r="D87" s="1067" t="s">
        <v>260</v>
      </c>
      <c r="E87" s="1069">
        <v>20650</v>
      </c>
      <c r="F87" s="1065"/>
      <c r="G87" s="1067" t="s">
        <v>3807</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3808</v>
      </c>
      <c r="B88" s="1067" t="s">
        <v>3341</v>
      </c>
      <c r="C88" s="1067" t="s">
        <v>267</v>
      </c>
      <c r="D88" s="1067" t="s">
        <v>260</v>
      </c>
      <c r="E88" s="1069">
        <v>8550</v>
      </c>
      <c r="F88" s="1065"/>
      <c r="G88" s="1067" t="s">
        <v>3809</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3810</v>
      </c>
      <c r="B89" s="1067" t="s">
        <v>278</v>
      </c>
      <c r="C89" s="1067" t="s">
        <v>267</v>
      </c>
      <c r="D89" s="1067" t="s">
        <v>260</v>
      </c>
      <c r="E89" s="1069">
        <v>25550</v>
      </c>
      <c r="F89" s="1065"/>
      <c r="G89" s="1067" t="s">
        <v>3811</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3812</v>
      </c>
      <c r="B90" s="1067" t="s">
        <v>278</v>
      </c>
      <c r="C90" s="1067" t="s">
        <v>3434</v>
      </c>
      <c r="D90" s="1067" t="s">
        <v>3813</v>
      </c>
      <c r="E90" s="1069">
        <v>28550</v>
      </c>
      <c r="F90" s="1065"/>
      <c r="G90" s="1067" t="s">
        <v>3814</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3815</v>
      </c>
      <c r="B91" s="1067" t="s">
        <v>275</v>
      </c>
      <c r="C91" s="1067" t="s">
        <v>267</v>
      </c>
      <c r="D91" s="1067" t="s">
        <v>273</v>
      </c>
      <c r="E91" s="1069">
        <v>17050</v>
      </c>
      <c r="F91" s="1065"/>
      <c r="G91" s="1067" t="s">
        <v>3816</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3817</v>
      </c>
      <c r="B92" s="1067" t="s">
        <v>259</v>
      </c>
      <c r="C92" s="1067" t="s">
        <v>267</v>
      </c>
      <c r="D92" s="1067" t="s">
        <v>260</v>
      </c>
      <c r="E92" s="1069">
        <v>31300</v>
      </c>
      <c r="F92" s="1065"/>
      <c r="G92" s="1067" t="s">
        <v>3818</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3819</v>
      </c>
      <c r="B93" s="1067" t="s">
        <v>264</v>
      </c>
      <c r="C93" s="1067" t="s">
        <v>267</v>
      </c>
      <c r="D93" s="1067" t="s">
        <v>262</v>
      </c>
      <c r="E93" s="1069">
        <v>47388.75</v>
      </c>
      <c r="F93" s="1065"/>
      <c r="G93" s="1067" t="s">
        <v>3820</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3821</v>
      </c>
      <c r="B94" s="1067" t="s">
        <v>268</v>
      </c>
      <c r="C94" s="1067" t="s">
        <v>267</v>
      </c>
      <c r="D94" s="1067" t="s">
        <v>277</v>
      </c>
      <c r="E94" s="1069">
        <v>24050</v>
      </c>
      <c r="F94" s="1065"/>
      <c r="G94" s="1067" t="s">
        <v>3822</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3823</v>
      </c>
      <c r="B95" s="1067" t="s">
        <v>278</v>
      </c>
      <c r="C95" s="1067" t="s">
        <v>267</v>
      </c>
      <c r="D95" s="1067" t="s">
        <v>260</v>
      </c>
      <c r="E95" s="1069">
        <v>29837.9</v>
      </c>
      <c r="F95" s="1065"/>
      <c r="G95" s="1067" t="s">
        <v>3824</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3825</v>
      </c>
      <c r="B96" s="1067" t="s">
        <v>278</v>
      </c>
      <c r="C96" s="1067" t="s">
        <v>267</v>
      </c>
      <c r="D96" s="1067" t="s">
        <v>277</v>
      </c>
      <c r="E96" s="1069">
        <v>18250</v>
      </c>
      <c r="F96" s="1065"/>
      <c r="G96" s="1067" t="s">
        <v>3826</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3827</v>
      </c>
      <c r="B97" s="1067" t="s">
        <v>268</v>
      </c>
      <c r="C97" s="1067" t="s">
        <v>267</v>
      </c>
      <c r="D97" s="1067" t="s">
        <v>260</v>
      </c>
      <c r="E97" s="1069">
        <v>24300</v>
      </c>
      <c r="F97" s="1065"/>
      <c r="G97" s="1067" t="s">
        <v>3828</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3829</v>
      </c>
      <c r="B98" s="1067" t="s">
        <v>278</v>
      </c>
      <c r="C98" s="1067" t="s">
        <v>267</v>
      </c>
      <c r="D98" s="1067" t="s">
        <v>277</v>
      </c>
      <c r="E98" s="1069">
        <v>16550</v>
      </c>
      <c r="F98" s="1065"/>
      <c r="G98" s="1067" t="s">
        <v>3830</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3831</v>
      </c>
      <c r="B99" s="1067" t="s">
        <v>278</v>
      </c>
      <c r="C99" s="1067" t="s">
        <v>3352</v>
      </c>
      <c r="D99" s="1067" t="s">
        <v>3832</v>
      </c>
      <c r="E99" s="1069">
        <v>53050</v>
      </c>
      <c r="F99" s="1065"/>
      <c r="G99" s="1067" t="s">
        <v>3833</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3834</v>
      </c>
      <c r="B100" s="1067" t="s">
        <v>280</v>
      </c>
      <c r="C100" s="1067" t="s">
        <v>3835</v>
      </c>
      <c r="D100" s="1067" t="s">
        <v>3836</v>
      </c>
      <c r="E100" s="1069">
        <v>10300</v>
      </c>
      <c r="F100" s="1065"/>
      <c r="G100" s="1067" t="s">
        <v>3837</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3838</v>
      </c>
      <c r="B101" s="1067" t="s">
        <v>3635</v>
      </c>
      <c r="C101" s="1067" t="s">
        <v>267</v>
      </c>
      <c r="D101" s="1067" t="s">
        <v>3644</v>
      </c>
      <c r="E101" s="1069">
        <v>2550</v>
      </c>
      <c r="F101" s="1065"/>
      <c r="G101" s="1067" t="s">
        <v>3839</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3840</v>
      </c>
      <c r="B102" s="1067" t="s">
        <v>3635</v>
      </c>
      <c r="C102" s="1067" t="s">
        <v>3466</v>
      </c>
      <c r="D102" s="1067" t="s">
        <v>3841</v>
      </c>
      <c r="E102" s="1069">
        <v>2300</v>
      </c>
      <c r="F102" s="1065"/>
      <c r="G102" s="1067" t="s">
        <v>3842</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3843</v>
      </c>
      <c r="B103" s="1067" t="s">
        <v>264</v>
      </c>
      <c r="C103" s="1067" t="s">
        <v>267</v>
      </c>
      <c r="D103" s="1067" t="s">
        <v>260</v>
      </c>
      <c r="E103" s="1069">
        <v>36050</v>
      </c>
      <c r="F103" s="1065"/>
      <c r="G103" s="1067" t="s">
        <v>3844</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3845</v>
      </c>
      <c r="B104" s="1067" t="s">
        <v>259</v>
      </c>
      <c r="C104" s="1067" t="s">
        <v>267</v>
      </c>
      <c r="D104" s="1067" t="s">
        <v>260</v>
      </c>
      <c r="E104" s="1069">
        <v>33550</v>
      </c>
      <c r="F104" s="1065"/>
      <c r="G104" s="1067" t="s">
        <v>3846</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3847</v>
      </c>
      <c r="B105" s="1067" t="s">
        <v>259</v>
      </c>
      <c r="C105" s="1067" t="s">
        <v>3544</v>
      </c>
      <c r="D105" s="1067" t="s">
        <v>3848</v>
      </c>
      <c r="E105" s="1069">
        <v>20750</v>
      </c>
      <c r="F105" s="1065"/>
      <c r="G105" s="1067" t="s">
        <v>3849</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3850</v>
      </c>
      <c r="B106" s="1067" t="s">
        <v>268</v>
      </c>
      <c r="C106" s="1067" t="s">
        <v>267</v>
      </c>
      <c r="D106" s="1067" t="s">
        <v>260</v>
      </c>
      <c r="E106" s="1069">
        <v>26050</v>
      </c>
      <c r="F106" s="1065"/>
      <c r="G106" s="1067" t="s">
        <v>3851</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3852</v>
      </c>
      <c r="B107" s="1067" t="s">
        <v>268</v>
      </c>
      <c r="C107" s="1067" t="s">
        <v>3544</v>
      </c>
      <c r="D107" s="1067" t="s">
        <v>3545</v>
      </c>
      <c r="E107" s="1069">
        <v>29050</v>
      </c>
      <c r="F107" s="1065"/>
      <c r="G107" s="1067" t="s">
        <v>3853</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3854</v>
      </c>
      <c r="B108" s="1067" t="s">
        <v>275</v>
      </c>
      <c r="C108" s="1067" t="s">
        <v>3470</v>
      </c>
      <c r="D108" s="1067" t="s">
        <v>3855</v>
      </c>
      <c r="E108" s="1069">
        <v>35550</v>
      </c>
      <c r="F108" s="1065"/>
      <c r="G108" s="1067" t="s">
        <v>3856</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3857</v>
      </c>
      <c r="B109" s="1067" t="s">
        <v>3341</v>
      </c>
      <c r="C109" s="1067" t="s">
        <v>267</v>
      </c>
      <c r="D109" s="1067" t="s">
        <v>265</v>
      </c>
      <c r="E109" s="1069">
        <v>4050</v>
      </c>
      <c r="F109" s="1065"/>
      <c r="G109" s="1067" t="s">
        <v>3858</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3410</v>
      </c>
      <c r="B113" s="1049" t="s">
        <v>275</v>
      </c>
      <c r="C113" s="1049" t="s">
        <v>3411</v>
      </c>
      <c r="D113" s="1049" t="s">
        <v>3658</v>
      </c>
      <c r="E113" s="1047">
        <v>36739.79</v>
      </c>
      <c r="F113" s="1046"/>
      <c r="G113" s="1049" t="s">
        <v>3412</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3445</v>
      </c>
      <c r="B114" s="1049" t="s">
        <v>3444</v>
      </c>
      <c r="C114" s="1049" t="s">
        <v>267</v>
      </c>
      <c r="D114" s="1049" t="s">
        <v>1411</v>
      </c>
      <c r="E114" s="1047">
        <v>11948.62</v>
      </c>
      <c r="F114" s="1046"/>
      <c r="G114" s="1049" t="s">
        <v>3446</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3438</v>
      </c>
      <c r="B2" s="1058" t="s">
        <v>264</v>
      </c>
      <c r="C2" s="1058" t="s">
        <v>267</v>
      </c>
      <c r="D2" s="1058" t="s">
        <v>265</v>
      </c>
      <c r="E2" s="1060">
        <v>33666.97</v>
      </c>
      <c r="F2" s="1060">
        <v>-31504.85</v>
      </c>
      <c r="G2" s="1058" t="s">
        <v>3439</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3436</v>
      </c>
      <c r="B3" s="1058" t="s">
        <v>3440</v>
      </c>
      <c r="C3" s="1058" t="s">
        <v>267</v>
      </c>
      <c r="D3" s="1058" t="s">
        <v>262</v>
      </c>
      <c r="E3" s="1060">
        <v>56706.1</v>
      </c>
      <c r="F3" s="1060">
        <v>-57628.2</v>
      </c>
      <c r="G3" s="1058" t="s">
        <v>3437</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3457</v>
      </c>
      <c r="B4" s="1058" t="s">
        <v>264</v>
      </c>
      <c r="C4" s="1058" t="s">
        <v>267</v>
      </c>
      <c r="D4" s="1058" t="s">
        <v>265</v>
      </c>
      <c r="E4" s="1060">
        <v>31163.98</v>
      </c>
      <c r="F4" s="1060">
        <v>-32628.75</v>
      </c>
      <c r="G4" s="1058" t="s">
        <v>3458</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3455</v>
      </c>
      <c r="B5" s="1058" t="s">
        <v>264</v>
      </c>
      <c r="C5" s="1058" t="s">
        <v>267</v>
      </c>
      <c r="D5" s="1058" t="s">
        <v>976</v>
      </c>
      <c r="E5" s="1060">
        <v>38081.07</v>
      </c>
      <c r="F5" s="1060">
        <v>-39936.75</v>
      </c>
      <c r="G5" s="1058" t="s">
        <v>3456</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3451</v>
      </c>
      <c r="B6" s="1058" t="s">
        <v>3440</v>
      </c>
      <c r="C6" s="1058" t="s">
        <v>267</v>
      </c>
      <c r="D6" s="1058" t="s">
        <v>262</v>
      </c>
      <c r="E6" s="1060">
        <v>50511.98</v>
      </c>
      <c r="F6" s="1060">
        <v>-51427.95</v>
      </c>
      <c r="G6" s="1058" t="s">
        <v>3452</v>
      </c>
      <c r="H6" s="1055">
        <v>108</v>
      </c>
      <c r="I6" s="138"/>
      <c r="J6" s="138"/>
      <c r="K6" s="139" t="s">
        <v>3320</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3449</v>
      </c>
      <c r="B7" s="1058" t="s">
        <v>3440</v>
      </c>
      <c r="C7" s="1058" t="s">
        <v>267</v>
      </c>
      <c r="D7" s="1058" t="s">
        <v>3459</v>
      </c>
      <c r="E7" s="1060">
        <v>54659.17</v>
      </c>
      <c r="F7" s="1060">
        <v>-57051.75</v>
      </c>
      <c r="G7" s="1058" t="s">
        <v>3450</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3453</v>
      </c>
      <c r="B8" s="1058" t="s">
        <v>3440</v>
      </c>
      <c r="C8" s="1058" t="s">
        <v>267</v>
      </c>
      <c r="D8" s="1058" t="s">
        <v>3459</v>
      </c>
      <c r="E8" s="1060">
        <v>48328.17</v>
      </c>
      <c r="F8" s="1060">
        <v>-51136.05</v>
      </c>
      <c r="G8" s="1058" t="s">
        <v>3454</v>
      </c>
      <c r="H8" s="1055">
        <v>97</v>
      </c>
      <c r="I8" s="138"/>
      <c r="J8" s="138"/>
      <c r="K8" s="138"/>
      <c r="L8" s="4"/>
      <c r="M8" s="144"/>
      <c r="N8" s="138"/>
      <c r="O8" s="138"/>
      <c r="P8" s="138"/>
      <c r="Q8" s="138"/>
      <c r="R8" s="138"/>
      <c r="S8" s="138"/>
      <c r="T8" s="138"/>
      <c r="U8" s="138"/>
      <c r="V8" s="138"/>
      <c r="W8" s="138"/>
      <c r="X8" s="138"/>
      <c r="Y8" s="138"/>
      <c r="Z8" s="138"/>
    </row>
    <row r="9" spans="1:26" ht="14.25" customHeight="1">
      <c r="A9" s="1058" t="s">
        <v>3447</v>
      </c>
      <c r="B9" s="1058" t="s">
        <v>3440</v>
      </c>
      <c r="C9" s="1058" t="s">
        <v>267</v>
      </c>
      <c r="D9" s="1058" t="s">
        <v>3459</v>
      </c>
      <c r="E9" s="1060">
        <v>57229.1</v>
      </c>
      <c r="F9" s="1056"/>
      <c r="G9" s="1058" t="s">
        <v>3448</v>
      </c>
      <c r="H9" s="1055">
        <v>93</v>
      </c>
      <c r="I9" s="138"/>
      <c r="J9" s="138"/>
      <c r="K9" s="139" t="s">
        <v>3344</v>
      </c>
      <c r="L9" s="1004">
        <v>0</v>
      </c>
      <c r="M9" s="1004">
        <v>0</v>
      </c>
      <c r="N9" s="138"/>
      <c r="O9" s="138"/>
      <c r="P9" s="138"/>
      <c r="Q9" s="138"/>
      <c r="R9" s="138"/>
      <c r="S9" s="138"/>
      <c r="T9" s="138"/>
      <c r="U9" s="138"/>
      <c r="V9" s="138"/>
      <c r="W9" s="138"/>
      <c r="X9" s="138"/>
      <c r="Y9" s="138"/>
      <c r="Z9" s="138"/>
    </row>
    <row r="10" spans="1:26" ht="14.25" customHeight="1">
      <c r="A10" s="1058" t="s">
        <v>3482</v>
      </c>
      <c r="B10" s="1058" t="s">
        <v>3440</v>
      </c>
      <c r="C10" s="1058" t="s">
        <v>267</v>
      </c>
      <c r="D10" s="1058" t="s">
        <v>262</v>
      </c>
      <c r="E10" s="1060">
        <v>58141.01</v>
      </c>
      <c r="F10" s="1056"/>
      <c r="G10" s="1058" t="s">
        <v>3483</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3486</v>
      </c>
      <c r="B11" s="1058" t="s">
        <v>3440</v>
      </c>
      <c r="C11" s="1058" t="s">
        <v>267</v>
      </c>
      <c r="D11" s="1058" t="s">
        <v>262</v>
      </c>
      <c r="E11" s="1060">
        <v>48171.23</v>
      </c>
      <c r="F11" s="1056"/>
      <c r="G11" s="1058" t="s">
        <v>3487</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3496</v>
      </c>
      <c r="B12" s="1058" t="s">
        <v>3440</v>
      </c>
      <c r="C12" s="1058" t="s">
        <v>267</v>
      </c>
      <c r="D12" s="1058" t="s">
        <v>3459</v>
      </c>
      <c r="E12" s="1060">
        <v>56292.01</v>
      </c>
      <c r="F12" s="1060">
        <v>-57051.75</v>
      </c>
      <c r="G12" s="1058" t="s">
        <v>3497</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3484</v>
      </c>
      <c r="B13" s="1058" t="s">
        <v>3440</v>
      </c>
      <c r="C13" s="1058" t="s">
        <v>267</v>
      </c>
      <c r="D13" s="1058" t="s">
        <v>262</v>
      </c>
      <c r="E13" s="1060">
        <v>56073.919999999998</v>
      </c>
      <c r="F13" s="1060">
        <v>-58869.3</v>
      </c>
      <c r="G13" s="1058" t="s">
        <v>3485</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3500</v>
      </c>
      <c r="B14" s="1058" t="s">
        <v>3440</v>
      </c>
      <c r="C14" s="1058" t="s">
        <v>267</v>
      </c>
      <c r="D14" s="1058" t="s">
        <v>279</v>
      </c>
      <c r="E14" s="1060">
        <v>37397</v>
      </c>
      <c r="F14" s="1060">
        <v>-39440.1</v>
      </c>
      <c r="G14" s="1058" t="s">
        <v>3501</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3488</v>
      </c>
      <c r="B15" s="1058" t="s">
        <v>3440</v>
      </c>
      <c r="C15" s="1058" t="s">
        <v>267</v>
      </c>
      <c r="D15" s="1058" t="s">
        <v>3459</v>
      </c>
      <c r="E15" s="1060">
        <v>56197.99</v>
      </c>
      <c r="F15" s="1060">
        <v>-58834.65</v>
      </c>
      <c r="G15" s="1058" t="s">
        <v>3489</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3478</v>
      </c>
      <c r="B16" s="1058" t="s">
        <v>264</v>
      </c>
      <c r="C16" s="1058" t="s">
        <v>267</v>
      </c>
      <c r="D16" s="1058" t="s">
        <v>976</v>
      </c>
      <c r="E16" s="1060">
        <v>32135.51</v>
      </c>
      <c r="F16" s="1060">
        <v>-34034.699999999997</v>
      </c>
      <c r="G16" s="1058" t="s">
        <v>3479</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3490</v>
      </c>
      <c r="B17" s="1058" t="s">
        <v>3440</v>
      </c>
      <c r="C17" s="1058" t="s">
        <v>267</v>
      </c>
      <c r="D17" s="1058" t="s">
        <v>3459</v>
      </c>
      <c r="E17" s="1060">
        <v>55950.97</v>
      </c>
      <c r="F17" s="1060">
        <v>-58834.65</v>
      </c>
      <c r="G17" s="1058" t="s">
        <v>3491</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3492</v>
      </c>
      <c r="B18" s="1058" t="s">
        <v>3440</v>
      </c>
      <c r="C18" s="1058" t="s">
        <v>267</v>
      </c>
      <c r="D18" s="1058" t="s">
        <v>3459</v>
      </c>
      <c r="E18" s="1060">
        <v>55950.97</v>
      </c>
      <c r="F18" s="1060">
        <v>-58834.65</v>
      </c>
      <c r="G18" s="1058" t="s">
        <v>3493</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3510</v>
      </c>
      <c r="B19" s="1058" t="s">
        <v>3440</v>
      </c>
      <c r="C19" s="1058" t="s">
        <v>267</v>
      </c>
      <c r="D19" s="1058" t="s">
        <v>265</v>
      </c>
      <c r="E19" s="1060">
        <v>26927</v>
      </c>
      <c r="F19" s="1060">
        <v>-28367.85</v>
      </c>
      <c r="G19" s="1058" t="s">
        <v>3511</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3476</v>
      </c>
      <c r="B20" s="1058" t="s">
        <v>264</v>
      </c>
      <c r="C20" s="1058" t="s">
        <v>267</v>
      </c>
      <c r="D20" s="1058" t="s">
        <v>976</v>
      </c>
      <c r="E20" s="1060">
        <v>37610</v>
      </c>
      <c r="F20" s="1060">
        <v>-39461.1</v>
      </c>
      <c r="G20" s="1058" t="s">
        <v>3477</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3494</v>
      </c>
      <c r="B21" s="1058" t="s">
        <v>3440</v>
      </c>
      <c r="C21" s="1058" t="s">
        <v>267</v>
      </c>
      <c r="D21" s="1058" t="s">
        <v>3459</v>
      </c>
      <c r="E21" s="1060">
        <v>55950.97</v>
      </c>
      <c r="F21" s="1060">
        <v>-58834.65</v>
      </c>
      <c r="G21" s="1058" t="s">
        <v>3495</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3508</v>
      </c>
      <c r="B22" s="1058" t="s">
        <v>3440</v>
      </c>
      <c r="C22" s="1058" t="s">
        <v>267</v>
      </c>
      <c r="D22" s="1058" t="s">
        <v>265</v>
      </c>
      <c r="E22" s="1060">
        <v>29531</v>
      </c>
      <c r="F22" s="1060">
        <v>-31102.05</v>
      </c>
      <c r="G22" s="1058" t="s">
        <v>3509</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3498</v>
      </c>
      <c r="B23" s="1058" t="s">
        <v>3440</v>
      </c>
      <c r="C23" s="1058" t="s">
        <v>267</v>
      </c>
      <c r="D23" s="1058" t="s">
        <v>3459</v>
      </c>
      <c r="E23" s="1060">
        <v>54250</v>
      </c>
      <c r="F23" s="1060">
        <v>-57051.75</v>
      </c>
      <c r="G23" s="1058" t="s">
        <v>3499</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3502</v>
      </c>
      <c r="B24" s="1058" t="s">
        <v>3440</v>
      </c>
      <c r="C24" s="1058" t="s">
        <v>267</v>
      </c>
      <c r="D24" s="1058" t="s">
        <v>279</v>
      </c>
      <c r="E24" s="1060">
        <v>37506.9</v>
      </c>
      <c r="F24" s="1060">
        <v>-39440.1</v>
      </c>
      <c r="G24" s="1058" t="s">
        <v>3503</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3504</v>
      </c>
      <c r="B25" s="1058" t="s">
        <v>3440</v>
      </c>
      <c r="C25" s="1058" t="s">
        <v>267</v>
      </c>
      <c r="D25" s="1058" t="s">
        <v>3441</v>
      </c>
      <c r="E25" s="1060">
        <v>32637</v>
      </c>
      <c r="F25" s="1060">
        <v>-34363.35</v>
      </c>
      <c r="G25" s="1058" t="s">
        <v>3505</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3480</v>
      </c>
      <c r="B26" s="1058" t="s">
        <v>264</v>
      </c>
      <c r="C26" s="1058" t="s">
        <v>267</v>
      </c>
      <c r="D26" s="1058" t="s">
        <v>976</v>
      </c>
      <c r="E26" s="1060">
        <v>28066.02</v>
      </c>
      <c r="F26" s="1060">
        <v>-28951.65</v>
      </c>
      <c r="G26" s="1058" t="s">
        <v>3481</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3506</v>
      </c>
      <c r="B27" s="1058" t="s">
        <v>3440</v>
      </c>
      <c r="C27" s="1058" t="s">
        <v>267</v>
      </c>
      <c r="D27" s="1058" t="s">
        <v>265</v>
      </c>
      <c r="E27" s="1060">
        <v>32017.87</v>
      </c>
      <c r="F27" s="1060">
        <v>-33204.15</v>
      </c>
      <c r="G27" s="1058" t="s">
        <v>3507</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3557</v>
      </c>
      <c r="B28" s="1058" t="s">
        <v>3440</v>
      </c>
      <c r="C28" s="1058" t="s">
        <v>267</v>
      </c>
      <c r="D28" s="1058" t="s">
        <v>3441</v>
      </c>
      <c r="E28" s="1060">
        <v>31816.52</v>
      </c>
      <c r="F28" s="1056"/>
      <c r="G28" s="1058" t="s">
        <v>3564</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3688</v>
      </c>
      <c r="B29" s="1058" t="s">
        <v>3440</v>
      </c>
      <c r="C29" s="1058" t="s">
        <v>267</v>
      </c>
      <c r="D29" s="1058" t="s">
        <v>3441</v>
      </c>
      <c r="E29" s="1060">
        <v>31513</v>
      </c>
      <c r="F29" s="1056"/>
      <c r="G29" s="1058" t="s">
        <v>3689</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3561</v>
      </c>
      <c r="B30" s="1058" t="s">
        <v>3440</v>
      </c>
      <c r="C30" s="1058" t="s">
        <v>267</v>
      </c>
      <c r="D30" s="1058" t="s">
        <v>262</v>
      </c>
      <c r="E30" s="1060">
        <v>48894</v>
      </c>
      <c r="F30" s="1060">
        <v>-51427.95</v>
      </c>
      <c r="G30" s="1058" t="s">
        <v>3567</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3576</v>
      </c>
      <c r="B31" s="1058" t="s">
        <v>3440</v>
      </c>
      <c r="C31" s="1058" t="s">
        <v>267</v>
      </c>
      <c r="D31" s="1058" t="s">
        <v>3459</v>
      </c>
      <c r="E31" s="1060">
        <v>55948</v>
      </c>
      <c r="F31" s="1060">
        <v>-58834.65</v>
      </c>
      <c r="G31" s="1058" t="s">
        <v>3566</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3690</v>
      </c>
      <c r="B32" s="1058" t="s">
        <v>3440</v>
      </c>
      <c r="C32" s="1058" t="s">
        <v>267</v>
      </c>
      <c r="D32" s="1058" t="s">
        <v>3459</v>
      </c>
      <c r="E32" s="1060">
        <v>54236.5</v>
      </c>
      <c r="F32" s="1056"/>
      <c r="G32" s="1058" t="s">
        <v>3691</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3580</v>
      </c>
      <c r="B33" s="1058" t="s">
        <v>3440</v>
      </c>
      <c r="C33" s="1058" t="s">
        <v>267</v>
      </c>
      <c r="D33" s="1058" t="s">
        <v>976</v>
      </c>
      <c r="E33" s="1060">
        <v>32864</v>
      </c>
      <c r="F33" s="1060">
        <v>-34706.699999999997</v>
      </c>
      <c r="G33" s="1058" t="s">
        <v>3565</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3568</v>
      </c>
      <c r="B34" s="1058" t="s">
        <v>3440</v>
      </c>
      <c r="C34" s="1058" t="s">
        <v>267</v>
      </c>
      <c r="D34" s="1058" t="s">
        <v>262</v>
      </c>
      <c r="E34" s="1060">
        <v>55259.97</v>
      </c>
      <c r="F34" s="1060">
        <v>-58109.1</v>
      </c>
      <c r="G34" s="1058" t="s">
        <v>3569</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3560</v>
      </c>
      <c r="B35" s="1058" t="s">
        <v>3440</v>
      </c>
      <c r="C35" s="1058" t="s">
        <v>267</v>
      </c>
      <c r="D35" s="1058" t="s">
        <v>3459</v>
      </c>
      <c r="E35" s="1060">
        <v>53794.97</v>
      </c>
      <c r="F35" s="1060">
        <v>-56570.85</v>
      </c>
      <c r="G35" s="1058" t="s">
        <v>3570</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3563</v>
      </c>
      <c r="B36" s="1058" t="s">
        <v>3440</v>
      </c>
      <c r="C36" s="1058" t="s">
        <v>267</v>
      </c>
      <c r="D36" s="1058" t="s">
        <v>265</v>
      </c>
      <c r="E36" s="1060">
        <v>28629</v>
      </c>
      <c r="F36" s="1056"/>
      <c r="G36" s="1058" t="s">
        <v>3572</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3559</v>
      </c>
      <c r="B37" s="1058" t="s">
        <v>3440</v>
      </c>
      <c r="C37" s="1058" t="s">
        <v>267</v>
      </c>
      <c r="D37" s="1058" t="s">
        <v>262</v>
      </c>
      <c r="E37" s="1060">
        <v>54801.97</v>
      </c>
      <c r="F37" s="1060">
        <v>-57628.2</v>
      </c>
      <c r="G37" s="1058" t="s">
        <v>3575</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3573</v>
      </c>
      <c r="B38" s="1058" t="s">
        <v>3440</v>
      </c>
      <c r="C38" s="1058" t="s">
        <v>267</v>
      </c>
      <c r="D38" s="1058" t="s">
        <v>262</v>
      </c>
      <c r="E38" s="1060">
        <v>58249.97</v>
      </c>
      <c r="F38" s="1056"/>
      <c r="G38" s="1058" t="s">
        <v>3577</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3556</v>
      </c>
      <c r="B39" s="1058" t="s">
        <v>3440</v>
      </c>
      <c r="C39" s="1058" t="s">
        <v>267</v>
      </c>
      <c r="D39" s="1058" t="s">
        <v>260</v>
      </c>
      <c r="E39" s="1060">
        <v>45175.95</v>
      </c>
      <c r="F39" s="1060">
        <v>-47526.15</v>
      </c>
      <c r="G39" s="1058" t="s">
        <v>3578</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3558</v>
      </c>
      <c r="B40" s="1058" t="s">
        <v>3440</v>
      </c>
      <c r="C40" s="1058" t="s">
        <v>267</v>
      </c>
      <c r="D40" s="1058" t="s">
        <v>260</v>
      </c>
      <c r="E40" s="1060">
        <v>44101</v>
      </c>
      <c r="F40" s="1060">
        <v>-46474.05</v>
      </c>
      <c r="G40" s="1058" t="s">
        <v>3579</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3571</v>
      </c>
      <c r="B41" s="1058" t="s">
        <v>3440</v>
      </c>
      <c r="C41" s="1058" t="s">
        <v>267</v>
      </c>
      <c r="D41" s="1058" t="s">
        <v>262</v>
      </c>
      <c r="E41" s="1060">
        <v>54806.97</v>
      </c>
      <c r="F41" s="1060">
        <v>-57628.2</v>
      </c>
      <c r="G41" s="1058" t="s">
        <v>3582</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3562</v>
      </c>
      <c r="B42" s="1058" t="s">
        <v>3440</v>
      </c>
      <c r="C42" s="1058" t="s">
        <v>267</v>
      </c>
      <c r="D42" s="1058" t="s">
        <v>976</v>
      </c>
      <c r="E42" s="1060">
        <v>38195</v>
      </c>
      <c r="F42" s="1060">
        <v>-40225.5</v>
      </c>
      <c r="G42" s="1058" t="s">
        <v>3581</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3692</v>
      </c>
      <c r="B43" s="1058" t="s">
        <v>3440</v>
      </c>
      <c r="C43" s="1058" t="s">
        <v>267</v>
      </c>
      <c r="D43" s="1058" t="s">
        <v>3459</v>
      </c>
      <c r="E43" s="1060">
        <v>56348.1</v>
      </c>
      <c r="F43" s="1060">
        <v>-58834.65</v>
      </c>
      <c r="G43" s="1058" t="s">
        <v>3693</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3694</v>
      </c>
      <c r="B44" s="1058" t="s">
        <v>3440</v>
      </c>
      <c r="C44" s="1058" t="s">
        <v>267</v>
      </c>
      <c r="D44" s="1058" t="s">
        <v>260</v>
      </c>
      <c r="E44" s="1060">
        <v>45762.95</v>
      </c>
      <c r="F44" s="1056"/>
      <c r="G44" s="1058" t="s">
        <v>3695</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3696</v>
      </c>
      <c r="B45" s="1058" t="s">
        <v>3440</v>
      </c>
      <c r="C45" s="1058" t="s">
        <v>267</v>
      </c>
      <c r="D45" s="1058" t="s">
        <v>976</v>
      </c>
      <c r="E45" s="1060">
        <v>37908</v>
      </c>
      <c r="F45" s="1060">
        <v>-39749.85</v>
      </c>
      <c r="G45" s="1058" t="s">
        <v>3697</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3698</v>
      </c>
      <c r="B46" s="1058" t="s">
        <v>3440</v>
      </c>
      <c r="C46" s="1058" t="s">
        <v>267</v>
      </c>
      <c r="D46" s="1058" t="s">
        <v>976</v>
      </c>
      <c r="E46" s="1060">
        <v>32705</v>
      </c>
      <c r="F46" s="1060">
        <v>-34423.199999999997</v>
      </c>
      <c r="G46" s="1058" t="s">
        <v>3699</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3700</v>
      </c>
      <c r="B47" s="1058" t="s">
        <v>3440</v>
      </c>
      <c r="C47" s="1058" t="s">
        <v>267</v>
      </c>
      <c r="D47" s="1058" t="s">
        <v>976</v>
      </c>
      <c r="E47" s="1060">
        <v>32705</v>
      </c>
      <c r="F47" s="1060">
        <v>-34423.199999999997</v>
      </c>
      <c r="G47" s="1058" t="s">
        <v>3701</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3702</v>
      </c>
      <c r="B48" s="1058" t="s">
        <v>3440</v>
      </c>
      <c r="C48" s="1058" t="s">
        <v>267</v>
      </c>
      <c r="D48" s="1058" t="s">
        <v>976</v>
      </c>
      <c r="E48" s="1060">
        <v>32700</v>
      </c>
      <c r="F48" s="1060">
        <v>-34423.199999999997</v>
      </c>
      <c r="G48" s="1058" t="s">
        <v>3703</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3704</v>
      </c>
      <c r="B49" s="1058" t="s">
        <v>3440</v>
      </c>
      <c r="C49" s="1058" t="s">
        <v>267</v>
      </c>
      <c r="D49" s="1058" t="s">
        <v>976</v>
      </c>
      <c r="E49" s="1060">
        <v>35661.949999999997</v>
      </c>
      <c r="F49" s="1056"/>
      <c r="G49" s="1058" t="s">
        <v>3705</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3706</v>
      </c>
      <c r="B50" s="1058" t="s">
        <v>3440</v>
      </c>
      <c r="C50" s="1058" t="s">
        <v>267</v>
      </c>
      <c r="D50" s="1058" t="s">
        <v>260</v>
      </c>
      <c r="E50" s="1060">
        <v>44107</v>
      </c>
      <c r="F50" s="1060">
        <v>-46474.05</v>
      </c>
      <c r="G50" s="1058" t="s">
        <v>3707</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3708</v>
      </c>
      <c r="B51" s="1058" t="s">
        <v>3440</v>
      </c>
      <c r="C51" s="1058" t="s">
        <v>267</v>
      </c>
      <c r="D51" s="1058" t="s">
        <v>976</v>
      </c>
      <c r="E51" s="1060">
        <v>37441.5</v>
      </c>
      <c r="F51" s="1056"/>
      <c r="G51" s="1058" t="s">
        <v>3709</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3710</v>
      </c>
      <c r="B52" s="1058" t="s">
        <v>3440</v>
      </c>
      <c r="C52" s="1058" t="s">
        <v>267</v>
      </c>
      <c r="D52" s="1058" t="s">
        <v>279</v>
      </c>
      <c r="E52" s="1060">
        <v>38207</v>
      </c>
      <c r="F52" s="1060">
        <v>-40179.300000000003</v>
      </c>
      <c r="G52" s="1058" t="s">
        <v>3711</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3712</v>
      </c>
      <c r="B53" s="1058" t="s">
        <v>3440</v>
      </c>
      <c r="C53" s="1058" t="s">
        <v>267</v>
      </c>
      <c r="D53" s="1058" t="s">
        <v>976</v>
      </c>
      <c r="E53" s="1060">
        <v>37773</v>
      </c>
      <c r="F53" s="1060">
        <v>-39749.85</v>
      </c>
      <c r="G53" s="1058" t="s">
        <v>3713</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3714</v>
      </c>
      <c r="B54" s="1058" t="s">
        <v>3440</v>
      </c>
      <c r="C54" s="1058" t="s">
        <v>267</v>
      </c>
      <c r="D54" s="1058" t="s">
        <v>976</v>
      </c>
      <c r="E54" s="1060">
        <v>37109</v>
      </c>
      <c r="F54" s="1060">
        <v>-39552.449999999997</v>
      </c>
      <c r="G54" s="1058" t="s">
        <v>3715</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3716</v>
      </c>
      <c r="B55" s="1058" t="s">
        <v>3440</v>
      </c>
      <c r="C55" s="1058" t="s">
        <v>267</v>
      </c>
      <c r="D55" s="1058" t="s">
        <v>976</v>
      </c>
      <c r="E55" s="1060">
        <v>34270</v>
      </c>
      <c r="F55" s="1060">
        <v>-36066.449999999997</v>
      </c>
      <c r="G55" s="1058" t="s">
        <v>3717</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3718</v>
      </c>
      <c r="B56" s="1058" t="s">
        <v>3440</v>
      </c>
      <c r="C56" s="1058" t="s">
        <v>267</v>
      </c>
      <c r="D56" s="1058" t="s">
        <v>279</v>
      </c>
      <c r="E56" s="1060">
        <v>39384</v>
      </c>
      <c r="F56" s="1060">
        <v>-41836.199999999997</v>
      </c>
      <c r="G56" s="1058" t="s">
        <v>3719</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3720</v>
      </c>
      <c r="B57" s="1058" t="s">
        <v>3440</v>
      </c>
      <c r="C57" s="1058" t="s">
        <v>267</v>
      </c>
      <c r="D57" s="1058" t="s">
        <v>3574</v>
      </c>
      <c r="E57" s="1060">
        <v>49697</v>
      </c>
      <c r="F57" s="1060">
        <v>-52243.8</v>
      </c>
      <c r="G57" s="1058" t="s">
        <v>3721</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3722</v>
      </c>
      <c r="B58" s="1058" t="s">
        <v>3440</v>
      </c>
      <c r="C58" s="1058" t="s">
        <v>267</v>
      </c>
      <c r="D58" s="1058" t="s">
        <v>3574</v>
      </c>
      <c r="E58" s="1060">
        <v>49697</v>
      </c>
      <c r="F58" s="1060">
        <v>-52243.8</v>
      </c>
      <c r="G58" s="1058" t="s">
        <v>3723</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3724</v>
      </c>
      <c r="B59" s="1058" t="s">
        <v>3440</v>
      </c>
      <c r="C59" s="1058" t="s">
        <v>267</v>
      </c>
      <c r="D59" s="1058" t="s">
        <v>976</v>
      </c>
      <c r="E59" s="1060">
        <v>35568</v>
      </c>
      <c r="F59" s="1060">
        <v>-37434.6</v>
      </c>
      <c r="G59" s="1058" t="s">
        <v>3725</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3726</v>
      </c>
      <c r="B60" s="1058" t="s">
        <v>3440</v>
      </c>
      <c r="C60" s="1058" t="s">
        <v>267</v>
      </c>
      <c r="D60" s="1058" t="s">
        <v>976</v>
      </c>
      <c r="E60" s="1060">
        <v>34265</v>
      </c>
      <c r="F60" s="1060">
        <v>-36066.449999999997</v>
      </c>
      <c r="G60" s="1058" t="s">
        <v>3727</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3728</v>
      </c>
      <c r="B61" s="1058" t="s">
        <v>3440</v>
      </c>
      <c r="C61" s="1058" t="s">
        <v>267</v>
      </c>
      <c r="D61" s="1058" t="s">
        <v>976</v>
      </c>
      <c r="E61" s="1060">
        <v>28211</v>
      </c>
      <c r="F61" s="1056"/>
      <c r="G61" s="1058" t="s">
        <v>3729</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3730</v>
      </c>
      <c r="B62" s="1058" t="s">
        <v>3440</v>
      </c>
      <c r="C62" s="1058" t="s">
        <v>267</v>
      </c>
      <c r="D62" s="1058" t="s">
        <v>260</v>
      </c>
      <c r="E62" s="1060">
        <v>47482.92</v>
      </c>
      <c r="F62" s="1060">
        <v>-47526.15</v>
      </c>
      <c r="G62" s="1058" t="s">
        <v>3731</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3732</v>
      </c>
      <c r="B63" s="1058" t="s">
        <v>3440</v>
      </c>
      <c r="C63" s="1058" t="s">
        <v>267</v>
      </c>
      <c r="D63" s="1058" t="s">
        <v>260</v>
      </c>
      <c r="E63" s="1060">
        <v>40734</v>
      </c>
      <c r="F63" s="1060">
        <v>-43358.7</v>
      </c>
      <c r="G63" s="1058" t="s">
        <v>3733</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3734</v>
      </c>
      <c r="B64" s="1058" t="s">
        <v>3440</v>
      </c>
      <c r="C64" s="1058" t="s">
        <v>267</v>
      </c>
      <c r="D64" s="1058" t="s">
        <v>279</v>
      </c>
      <c r="E64" s="1060">
        <v>37806</v>
      </c>
      <c r="F64" s="1060">
        <v>-40179.300000000003</v>
      </c>
      <c r="G64" s="1058" t="s">
        <v>3735</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3736</v>
      </c>
      <c r="B65" s="1058" t="s">
        <v>3440</v>
      </c>
      <c r="C65" s="1058" t="s">
        <v>267</v>
      </c>
      <c r="D65" s="1058" t="s">
        <v>260</v>
      </c>
      <c r="E65" s="1060">
        <v>44886</v>
      </c>
      <c r="F65" s="1060">
        <v>-47718.3</v>
      </c>
      <c r="G65" s="1058" t="s">
        <v>3737</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3738</v>
      </c>
      <c r="B66" s="1058" t="s">
        <v>3440</v>
      </c>
      <c r="C66" s="1058" t="s">
        <v>267</v>
      </c>
      <c r="D66" s="1058" t="s">
        <v>260</v>
      </c>
      <c r="E66" s="1060">
        <v>44154</v>
      </c>
      <c r="F66" s="1060">
        <v>-46949.7</v>
      </c>
      <c r="G66" s="1058" t="s">
        <v>3739</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3740</v>
      </c>
      <c r="B67" s="1058" t="s">
        <v>3440</v>
      </c>
      <c r="C67" s="1058" t="s">
        <v>267</v>
      </c>
      <c r="D67" s="1058" t="s">
        <v>260</v>
      </c>
      <c r="E67" s="1060">
        <v>44154</v>
      </c>
      <c r="F67" s="1060">
        <v>-46949.7</v>
      </c>
      <c r="G67" s="1058" t="s">
        <v>3741</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3742</v>
      </c>
      <c r="B68" s="1058" t="s">
        <v>3440</v>
      </c>
      <c r="C68" s="1058" t="s">
        <v>267</v>
      </c>
      <c r="D68" s="1058" t="s">
        <v>260</v>
      </c>
      <c r="E68" s="1060">
        <v>43701</v>
      </c>
      <c r="F68" s="1060">
        <v>-46474.05</v>
      </c>
      <c r="G68" s="1058" t="s">
        <v>3743</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3744</v>
      </c>
      <c r="B69" s="1058" t="s">
        <v>3440</v>
      </c>
      <c r="C69" s="1058" t="s">
        <v>267</v>
      </c>
      <c r="D69" s="1058" t="s">
        <v>260</v>
      </c>
      <c r="E69" s="1060">
        <v>43701</v>
      </c>
      <c r="F69" s="1060">
        <v>-46474.05</v>
      </c>
      <c r="G69" s="1058" t="s">
        <v>3745</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3746</v>
      </c>
      <c r="B70" s="1058" t="s">
        <v>3440</v>
      </c>
      <c r="C70" s="1058" t="s">
        <v>267</v>
      </c>
      <c r="D70" s="1058" t="s">
        <v>260</v>
      </c>
      <c r="E70" s="1060">
        <v>40734</v>
      </c>
      <c r="F70" s="1060">
        <v>-43358.7</v>
      </c>
      <c r="G70" s="1058" t="s">
        <v>3747</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3748</v>
      </c>
      <c r="B71" s="1058" t="s">
        <v>3440</v>
      </c>
      <c r="C71" s="1058" t="s">
        <v>267</v>
      </c>
      <c r="D71" s="1058" t="s">
        <v>260</v>
      </c>
      <c r="E71" s="1060">
        <v>39069</v>
      </c>
      <c r="F71" s="1060">
        <v>-41610.449999999997</v>
      </c>
      <c r="G71" s="1058" t="s">
        <v>3749</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3750</v>
      </c>
      <c r="B72" s="1058" t="s">
        <v>3440</v>
      </c>
      <c r="C72" s="1058" t="s">
        <v>267</v>
      </c>
      <c r="D72" s="1058" t="s">
        <v>260</v>
      </c>
      <c r="E72" s="1060">
        <v>44154</v>
      </c>
      <c r="F72" s="1060">
        <v>-46949.7</v>
      </c>
      <c r="G72" s="1058" t="s">
        <v>3751</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abSelected="1" topLeftCell="A59" workbookViewId="0">
      <selection activeCell="J80" sqref="J80"/>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23" t="str">
        <f>Parametres!$B$1&amp;" "&amp;"2 pager"&amp;" "&amp;Parametres!$B$3&amp;" "&amp;Parametres!$B$4</f>
        <v>Volks 2 pager Décembre 2024</v>
      </c>
      <c r="C1" s="1224"/>
      <c r="D1" s="1224"/>
      <c r="E1" s="1224"/>
      <c r="F1" s="1224"/>
      <c r="G1" s="1224"/>
      <c r="H1" s="1224"/>
      <c r="I1" s="1224"/>
      <c r="J1" s="122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3867</v>
      </c>
      <c r="H3" s="156" t="s">
        <v>288</v>
      </c>
      <c r="I3" s="158" t="s">
        <v>3868</v>
      </c>
      <c r="J3" s="154" t="s">
        <v>289</v>
      </c>
      <c r="K3" s="3"/>
      <c r="L3" s="3"/>
      <c r="M3" s="3"/>
      <c r="N3" s="3"/>
      <c r="O3" s="3"/>
      <c r="P3" s="3"/>
      <c r="Q3" s="3"/>
      <c r="R3" s="3"/>
      <c r="S3" s="3"/>
      <c r="T3" s="3"/>
      <c r="U3" s="3"/>
      <c r="V3" s="3"/>
      <c r="W3" s="3"/>
    </row>
    <row r="4" spans="1:23" ht="14.45" customHeight="1">
      <c r="A4" s="3"/>
      <c r="B4" s="159" t="s">
        <v>290</v>
      </c>
      <c r="C4" s="160">
        <f>+Print_Mois!$J$13+Print_Mois!$J$15</f>
        <v>34</v>
      </c>
      <c r="D4" s="160">
        <f>+Print_Mois!$D$13+Print_Mois!$D$15</f>
        <v>33.450000000000003</v>
      </c>
      <c r="E4" s="160">
        <f>+Print_Mois!$O$13+Print_Mois!$O$15</f>
        <v>52</v>
      </c>
      <c r="F4" s="161">
        <f t="shared" ref="F4:F15" si="0">+IFERROR($C4-D4,"")</f>
        <v>0.54999999999999716</v>
      </c>
      <c r="G4" s="162">
        <f t="shared" ref="G4:G15" si="1">+IFERROR($C4-E4,"")</f>
        <v>-18</v>
      </c>
      <c r="H4" s="163">
        <f t="shared" ref="H4:H15" si="2">+IFERROR(F4/ABS($D4),"")</f>
        <v>1.644245142002981E-2</v>
      </c>
      <c r="I4" s="164">
        <f t="shared" ref="I4:I15" si="3">+IFERROR(G4/ABS($E4),"")</f>
        <v>-0.34615384615384615</v>
      </c>
      <c r="J4" s="1220" t="s">
        <v>3949</v>
      </c>
      <c r="K4" s="3"/>
      <c r="L4" s="3"/>
      <c r="M4" s="3"/>
      <c r="N4" s="3"/>
      <c r="O4" s="3"/>
      <c r="P4" s="3"/>
      <c r="Q4" s="3"/>
      <c r="R4" s="3"/>
      <c r="S4" s="3"/>
      <c r="T4" s="3"/>
      <c r="U4" s="3"/>
      <c r="V4" s="3"/>
      <c r="W4" s="3"/>
    </row>
    <row r="5" spans="1:23">
      <c r="A5" s="3"/>
      <c r="B5" s="165" t="s">
        <v>291</v>
      </c>
      <c r="C5" s="166">
        <f>+Print_Mois!$L$13+Print_Mois!$L$15</f>
        <v>64082.030000000006</v>
      </c>
      <c r="D5" s="166">
        <f>+Print_Mois!$F$13+Print_Mois!$F$15</f>
        <v>90656.246869357652</v>
      </c>
      <c r="E5" s="166">
        <f>+Print_Mois!$Q$13+Print_Mois!$Q$15</f>
        <v>118987.75999999979</v>
      </c>
      <c r="F5" s="167">
        <f t="shared" si="0"/>
        <v>-26574.216869357646</v>
      </c>
      <c r="G5" s="168">
        <f t="shared" si="1"/>
        <v>-54905.729999999785</v>
      </c>
      <c r="H5" s="170">
        <f t="shared" si="2"/>
        <v>-0.29313166810945807</v>
      </c>
      <c r="I5" s="171">
        <f t="shared" si="3"/>
        <v>-0.4614401514912112</v>
      </c>
      <c r="J5" s="1221"/>
      <c r="K5" s="3"/>
      <c r="L5" s="3"/>
      <c r="M5" s="3"/>
      <c r="N5" s="3"/>
      <c r="O5" s="3"/>
      <c r="P5" s="3"/>
      <c r="Q5" s="3"/>
      <c r="R5" s="3"/>
      <c r="S5" s="3"/>
      <c r="T5" s="3"/>
      <c r="U5" s="3"/>
      <c r="V5" s="3"/>
      <c r="W5" s="3"/>
    </row>
    <row r="6" spans="1:23">
      <c r="A6" s="3"/>
      <c r="B6" s="165" t="s">
        <v>292</v>
      </c>
      <c r="C6" s="166">
        <f t="shared" ref="C6:E6" si="4">+C5/C4</f>
        <v>1884.7655882352942</v>
      </c>
      <c r="D6" s="166">
        <f t="shared" si="4"/>
        <v>2710.2017001302734</v>
      </c>
      <c r="E6" s="166">
        <f t="shared" si="4"/>
        <v>2288.2261538461498</v>
      </c>
      <c r="F6" s="167">
        <f t="shared" si="0"/>
        <v>-825.43611189497915</v>
      </c>
      <c r="G6" s="168">
        <f t="shared" si="1"/>
        <v>-403.46056561085561</v>
      </c>
      <c r="H6" s="170">
        <f t="shared" si="2"/>
        <v>-0.30456630289004033</v>
      </c>
      <c r="I6" s="171">
        <f t="shared" si="3"/>
        <v>-0.17632023169244071</v>
      </c>
      <c r="J6" s="1221"/>
      <c r="K6" s="3"/>
      <c r="L6" s="3"/>
      <c r="M6" s="3"/>
      <c r="N6" s="3"/>
      <c r="O6" s="3"/>
      <c r="P6" s="3"/>
      <c r="Q6" s="3"/>
      <c r="R6" s="3"/>
      <c r="S6" s="3"/>
      <c r="T6" s="3"/>
      <c r="U6" s="3"/>
      <c r="V6" s="3"/>
      <c r="W6" s="3"/>
    </row>
    <row r="7" spans="1:23">
      <c r="A7" s="3"/>
      <c r="B7" s="165" t="s">
        <v>293</v>
      </c>
      <c r="C7" s="166">
        <f>+Print_Mois!$L$31</f>
        <v>23318.16</v>
      </c>
      <c r="D7" s="166">
        <f>+Print_Mois!$F$31</f>
        <v>30823.123935581603</v>
      </c>
      <c r="E7" s="166">
        <f>+Print_Mois!$Q$31</f>
        <v>34009.26</v>
      </c>
      <c r="F7" s="167">
        <f t="shared" si="0"/>
        <v>-7504.9639355816034</v>
      </c>
      <c r="G7" s="168">
        <f t="shared" si="1"/>
        <v>-10691.100000000002</v>
      </c>
      <c r="H7" s="170">
        <f t="shared" si="2"/>
        <v>-0.24348485738390785</v>
      </c>
      <c r="I7" s="171">
        <f t="shared" si="3"/>
        <v>-0.3143585011846774</v>
      </c>
      <c r="J7" s="1221"/>
      <c r="K7" s="3"/>
      <c r="L7" s="3"/>
      <c r="M7" s="3"/>
      <c r="N7" s="3"/>
      <c r="O7" s="3"/>
      <c r="P7" s="3"/>
      <c r="Q7" s="3"/>
      <c r="R7" s="3"/>
      <c r="S7" s="3"/>
      <c r="T7" s="3"/>
      <c r="U7" s="3"/>
      <c r="V7" s="3"/>
      <c r="W7" s="3"/>
    </row>
    <row r="8" spans="1:23">
      <c r="A8" s="3"/>
      <c r="B8" s="165" t="s">
        <v>294</v>
      </c>
      <c r="C8" s="169">
        <f t="shared" ref="C8:E8" si="5">+C7/C5</f>
        <v>0.36387985836278902</v>
      </c>
      <c r="D8" s="169">
        <f t="shared" si="5"/>
        <v>0.34</v>
      </c>
      <c r="E8" s="169">
        <f t="shared" si="5"/>
        <v>0.28582149962315506</v>
      </c>
      <c r="F8" s="172">
        <f t="shared" si="0"/>
        <v>2.3879858362788997E-2</v>
      </c>
      <c r="G8" s="173">
        <f t="shared" si="1"/>
        <v>7.805835873963396E-2</v>
      </c>
      <c r="H8" s="170">
        <f t="shared" si="2"/>
        <v>7.023487753761469E-2</v>
      </c>
      <c r="I8" s="171">
        <f t="shared" si="3"/>
        <v>0.27310177450804429</v>
      </c>
      <c r="J8" s="1221"/>
      <c r="K8" s="3"/>
      <c r="L8" s="3"/>
      <c r="M8" s="3"/>
      <c r="N8" s="3"/>
      <c r="O8" s="3"/>
      <c r="P8" s="3"/>
      <c r="Q8" s="3"/>
      <c r="R8" s="3"/>
      <c r="S8" s="3"/>
      <c r="T8" s="3"/>
      <c r="U8" s="3"/>
      <c r="V8" s="3"/>
      <c r="W8" s="3"/>
    </row>
    <row r="9" spans="1:23">
      <c r="A9" s="3"/>
      <c r="B9" s="165" t="s">
        <v>295</v>
      </c>
      <c r="C9" s="166">
        <f>+Print_Mois!$L$24</f>
        <v>45827.179999999993</v>
      </c>
      <c r="D9" s="166">
        <f>+Print_Mois!$F$24</f>
        <v>43485</v>
      </c>
      <c r="E9" s="166">
        <f>+Print_Mois!$Q$24</f>
        <v>59573.68</v>
      </c>
      <c r="F9" s="167">
        <f t="shared" si="0"/>
        <v>2342.179999999993</v>
      </c>
      <c r="G9" s="168">
        <f t="shared" si="1"/>
        <v>-13746.500000000007</v>
      </c>
      <c r="H9" s="170">
        <f t="shared" si="2"/>
        <v>5.3861791422329379E-2</v>
      </c>
      <c r="I9" s="171">
        <f t="shared" si="3"/>
        <v>-0.23074787389330334</v>
      </c>
      <c r="J9" s="1221"/>
      <c r="K9" s="3"/>
      <c r="L9" s="3"/>
      <c r="M9" s="3"/>
      <c r="N9" s="3"/>
      <c r="O9" s="3"/>
      <c r="P9" s="3"/>
      <c r="Q9" s="3"/>
      <c r="R9" s="3"/>
      <c r="S9" s="3"/>
      <c r="T9" s="3"/>
      <c r="U9" s="3"/>
      <c r="V9" s="3"/>
      <c r="W9" s="3"/>
    </row>
    <row r="10" spans="1:23">
      <c r="A10" s="3"/>
      <c r="B10" s="165" t="s">
        <v>296</v>
      </c>
      <c r="C10" s="166">
        <f t="shared" ref="C10:E10" si="6">+C9/C4</f>
        <v>1347.8582352941175</v>
      </c>
      <c r="D10" s="166">
        <f t="shared" si="6"/>
        <v>1300</v>
      </c>
      <c r="E10" s="166">
        <f t="shared" si="6"/>
        <v>1145.6476923076923</v>
      </c>
      <c r="F10" s="167">
        <f t="shared" si="0"/>
        <v>47.858235294117549</v>
      </c>
      <c r="G10" s="168">
        <f t="shared" si="1"/>
        <v>202.21054298642525</v>
      </c>
      <c r="H10" s="170">
        <f t="shared" si="2"/>
        <v>3.6814027149321193E-2</v>
      </c>
      <c r="I10" s="171">
        <f t="shared" si="3"/>
        <v>0.17650325169259501</v>
      </c>
      <c r="J10" s="1221"/>
      <c r="K10" s="3"/>
      <c r="L10" s="3"/>
      <c r="M10" s="3"/>
      <c r="N10" s="3"/>
      <c r="O10" s="3"/>
      <c r="P10" s="3"/>
      <c r="Q10" s="3"/>
      <c r="R10" s="3"/>
      <c r="S10" s="3"/>
      <c r="T10" s="3"/>
      <c r="U10" s="3"/>
      <c r="V10" s="3"/>
      <c r="W10" s="3"/>
    </row>
    <row r="11" spans="1:23">
      <c r="A11" s="3"/>
      <c r="B11" s="165" t="s">
        <v>297</v>
      </c>
      <c r="C11" s="166">
        <f>+Print_Mois!$L$32</f>
        <v>13748.56</v>
      </c>
      <c r="D11" s="166">
        <f>+Print_Mois!$F$32</f>
        <v>13045.5</v>
      </c>
      <c r="E11" s="166">
        <f>+Print_Mois!$Q$32</f>
        <v>17862.509999999998</v>
      </c>
      <c r="F11" s="167">
        <f t="shared" si="0"/>
        <v>703.05999999999949</v>
      </c>
      <c r="G11" s="168">
        <f t="shared" si="1"/>
        <v>-4113.9499999999989</v>
      </c>
      <c r="H11" s="170">
        <f t="shared" si="2"/>
        <v>5.3892913265110538E-2</v>
      </c>
      <c r="I11" s="171">
        <f t="shared" si="3"/>
        <v>-0.23031197743206297</v>
      </c>
      <c r="J11" s="1221"/>
      <c r="K11" s="3"/>
      <c r="L11" s="3"/>
      <c r="M11" s="3"/>
      <c r="N11" s="3"/>
      <c r="O11" s="3"/>
      <c r="P11" s="3"/>
      <c r="Q11" s="3"/>
      <c r="R11" s="3"/>
      <c r="S11" s="3"/>
      <c r="T11" s="3"/>
      <c r="U11" s="3"/>
      <c r="V11" s="3"/>
      <c r="W11" s="3"/>
    </row>
    <row r="12" spans="1:23">
      <c r="A12" s="3"/>
      <c r="B12" s="165" t="s">
        <v>298</v>
      </c>
      <c r="C12" s="169">
        <f t="shared" ref="C12:E12" si="7">+C11/C9</f>
        <v>0.30000885937122906</v>
      </c>
      <c r="D12" s="169">
        <f t="shared" si="7"/>
        <v>0.3</v>
      </c>
      <c r="E12" s="169">
        <f t="shared" si="7"/>
        <v>0.29983895572675717</v>
      </c>
      <c r="F12" s="170">
        <f t="shared" si="0"/>
        <v>8.859371229075208E-6</v>
      </c>
      <c r="G12" s="174">
        <f t="shared" si="1"/>
        <v>1.6990364447189155E-4</v>
      </c>
      <c r="H12" s="170">
        <f t="shared" si="2"/>
        <v>2.9531237430250695E-5</v>
      </c>
      <c r="I12" s="171">
        <f t="shared" si="3"/>
        <v>5.6664966718575588E-4</v>
      </c>
      <c r="J12" s="1221"/>
      <c r="K12" s="3"/>
      <c r="L12" s="3"/>
      <c r="M12" s="3"/>
      <c r="N12" s="3"/>
      <c r="O12" s="3"/>
      <c r="P12" s="3"/>
      <c r="Q12" s="3"/>
      <c r="R12" s="3"/>
      <c r="S12" s="3"/>
      <c r="T12" s="3"/>
      <c r="U12" s="3"/>
      <c r="V12" s="3"/>
      <c r="W12" s="3"/>
    </row>
    <row r="13" spans="1:23">
      <c r="A13" s="3"/>
      <c r="B13" s="165" t="s">
        <v>299</v>
      </c>
      <c r="C13" s="166">
        <f>+Print_Mois!$L$41-C7-C11</f>
        <v>13986.330000000004</v>
      </c>
      <c r="D13" s="166">
        <f>+Print_Mois!$F$41-D7-D11</f>
        <v>25335.526221925</v>
      </c>
      <c r="E13" s="166">
        <f>+Print_Mois!$Q$41-E7-E11</f>
        <v>40050.159999999989</v>
      </c>
      <c r="F13" s="167">
        <f t="shared" si="0"/>
        <v>-11349.196221924996</v>
      </c>
      <c r="G13" s="168">
        <f t="shared" si="1"/>
        <v>-26063.829999999987</v>
      </c>
      <c r="H13" s="170">
        <f t="shared" si="2"/>
        <v>-0.44795581202902213</v>
      </c>
      <c r="I13" s="171">
        <f t="shared" si="3"/>
        <v>-0.65077967229094702</v>
      </c>
      <c r="J13" s="1221"/>
      <c r="K13" s="3"/>
      <c r="L13" s="3"/>
      <c r="M13" s="3"/>
      <c r="N13" s="3"/>
      <c r="O13" s="3"/>
      <c r="P13" s="3"/>
      <c r="Q13" s="3"/>
      <c r="R13" s="3"/>
      <c r="S13" s="3"/>
      <c r="T13" s="3"/>
      <c r="U13" s="3"/>
      <c r="V13" s="3"/>
      <c r="W13" s="3"/>
    </row>
    <row r="14" spans="1:23">
      <c r="A14" s="3"/>
      <c r="B14" s="165" t="s">
        <v>300</v>
      </c>
      <c r="C14" s="166">
        <f t="shared" ref="C14:E14" si="8">+C13/C4</f>
        <v>411.36264705882365</v>
      </c>
      <c r="D14" s="166">
        <f t="shared" si="8"/>
        <v>757.41483473617336</v>
      </c>
      <c r="E14" s="166">
        <f t="shared" si="8"/>
        <v>770.19538461538446</v>
      </c>
      <c r="F14" s="167">
        <f t="shared" si="0"/>
        <v>-346.05218767734971</v>
      </c>
      <c r="G14" s="168">
        <f t="shared" si="1"/>
        <v>-358.8327375565608</v>
      </c>
      <c r="H14" s="170">
        <f t="shared" si="2"/>
        <v>-0.45688593859914084</v>
      </c>
      <c r="I14" s="171">
        <f t="shared" si="3"/>
        <v>-0.46589832232733064</v>
      </c>
      <c r="J14" s="1221"/>
      <c r="K14" s="3"/>
      <c r="L14" s="3"/>
      <c r="M14" s="3"/>
      <c r="N14" s="3"/>
      <c r="O14" s="3"/>
      <c r="P14" s="3"/>
      <c r="Q14" s="3"/>
      <c r="R14" s="3"/>
      <c r="S14" s="3"/>
      <c r="T14" s="3"/>
      <c r="U14" s="3"/>
      <c r="V14" s="3"/>
      <c r="W14" s="3"/>
    </row>
    <row r="15" spans="1:23">
      <c r="A15" s="3"/>
      <c r="B15" s="165" t="s">
        <v>301</v>
      </c>
      <c r="C15" s="166">
        <f>+Print_Mois!$L$83</f>
        <v>90550</v>
      </c>
      <c r="D15" s="166">
        <f>+Print_Mois!$F$83</f>
        <v>78923.261212401456</v>
      </c>
      <c r="E15" s="166">
        <f>+Print_Mois!$Q$83</f>
        <v>109177.85</v>
      </c>
      <c r="F15" s="167">
        <f t="shared" si="0"/>
        <v>11626.738787598544</v>
      </c>
      <c r="G15" s="168">
        <f t="shared" si="1"/>
        <v>-18627.850000000006</v>
      </c>
      <c r="H15" s="170">
        <f t="shared" si="2"/>
        <v>0.14731700906667045</v>
      </c>
      <c r="I15" s="171">
        <f t="shared" si="3"/>
        <v>-0.17061931518160511</v>
      </c>
      <c r="J15" s="1221"/>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21"/>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21"/>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2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18</v>
      </c>
      <c r="D21" s="160">
        <f>+Print_Mois!$D$97</f>
        <v>26.35</v>
      </c>
      <c r="E21" s="160">
        <f>+Print_Mois!$O$97</f>
        <v>18</v>
      </c>
      <c r="F21" s="161">
        <f t="shared" ref="F21:F32" si="11">+IFERROR($C21-D21,"")</f>
        <v>-8.3500000000000014</v>
      </c>
      <c r="G21" s="162">
        <f t="shared" ref="G21:G32" si="12">+IFERROR($C21-E21,"")</f>
        <v>0</v>
      </c>
      <c r="H21" s="163">
        <f t="shared" ref="H21:H32" si="13">+IFERROR(F21/ABS($D21),"")</f>
        <v>-0.31688804554079703</v>
      </c>
      <c r="I21" s="164">
        <f t="shared" ref="I21:I32" si="14">+IFERROR(G21/ABS($E21),"")</f>
        <v>0</v>
      </c>
      <c r="J21" s="1220" t="s">
        <v>3950</v>
      </c>
      <c r="K21" s="3"/>
      <c r="L21" s="3"/>
      <c r="M21" s="3"/>
      <c r="N21" s="3"/>
      <c r="O21" s="3"/>
      <c r="P21" s="3"/>
      <c r="Q21" s="3"/>
      <c r="R21" s="3"/>
      <c r="S21" s="3"/>
      <c r="T21" s="3"/>
      <c r="U21" s="3"/>
      <c r="V21" s="3"/>
      <c r="W21" s="3"/>
    </row>
    <row r="22" spans="1:23" ht="15.75" customHeight="1">
      <c r="A22" s="3"/>
      <c r="B22" s="165" t="s">
        <v>291</v>
      </c>
      <c r="C22" s="166">
        <f>+Print_Mois!$L$97</f>
        <v>20902.879999999983</v>
      </c>
      <c r="D22" s="166">
        <f>+Print_Mois!$F$97</f>
        <v>47430</v>
      </c>
      <c r="E22" s="166">
        <f>+Print_Mois!$Q$97</f>
        <v>21497.849999999991</v>
      </c>
      <c r="F22" s="167">
        <f t="shared" si="11"/>
        <v>-26527.120000000017</v>
      </c>
      <c r="G22" s="168">
        <f t="shared" si="12"/>
        <v>-594.97000000000844</v>
      </c>
      <c r="H22" s="170">
        <f t="shared" si="13"/>
        <v>-0.55928990090659958</v>
      </c>
      <c r="I22" s="171">
        <f t="shared" si="14"/>
        <v>-2.7675790834897847E-2</v>
      </c>
      <c r="J22" s="1221"/>
      <c r="K22" s="3"/>
      <c r="L22" s="3"/>
      <c r="M22" s="3"/>
      <c r="N22" s="3"/>
      <c r="O22" s="3"/>
      <c r="P22" s="3"/>
      <c r="Q22" s="3"/>
      <c r="R22" s="3"/>
      <c r="S22" s="3"/>
      <c r="T22" s="3"/>
      <c r="U22" s="3"/>
      <c r="V22" s="3"/>
      <c r="W22" s="3"/>
    </row>
    <row r="23" spans="1:23" ht="15.75" customHeight="1">
      <c r="A23" s="3"/>
      <c r="B23" s="165" t="s">
        <v>292</v>
      </c>
      <c r="C23" s="166">
        <f t="shared" ref="C23:E23" si="15">+C22/C21</f>
        <v>1161.2711111111103</v>
      </c>
      <c r="D23" s="166">
        <f t="shared" si="15"/>
        <v>1800</v>
      </c>
      <c r="E23" s="166">
        <f t="shared" si="15"/>
        <v>1194.3249999999996</v>
      </c>
      <c r="F23" s="167">
        <f t="shared" si="11"/>
        <v>-638.72888888888974</v>
      </c>
      <c r="G23" s="168">
        <f t="shared" si="12"/>
        <v>-33.053888888889333</v>
      </c>
      <c r="H23" s="170">
        <f t="shared" si="13"/>
        <v>-0.35484938271604988</v>
      </c>
      <c r="I23" s="171">
        <f t="shared" si="14"/>
        <v>-2.7675790834897823E-2</v>
      </c>
      <c r="J23" s="1221"/>
      <c r="K23" s="3"/>
      <c r="L23" s="3"/>
      <c r="M23" s="3"/>
      <c r="N23" s="3"/>
      <c r="O23" s="3"/>
      <c r="P23" s="3"/>
      <c r="Q23" s="3"/>
      <c r="R23" s="3"/>
      <c r="S23" s="3"/>
      <c r="T23" s="3"/>
      <c r="U23" s="3"/>
      <c r="V23" s="3"/>
      <c r="W23" s="3"/>
    </row>
    <row r="24" spans="1:23" ht="15.75" customHeight="1">
      <c r="A24" s="3"/>
      <c r="B24" s="165" t="s">
        <v>293</v>
      </c>
      <c r="C24" s="166">
        <f>+Print_Mois!$L$112</f>
        <v>13763.98</v>
      </c>
      <c r="D24" s="166">
        <f>+Print_Mois!$F$112</f>
        <v>15651.900000000001</v>
      </c>
      <c r="E24" s="166">
        <f>+Print_Mois!$Q$112</f>
        <v>11124.15</v>
      </c>
      <c r="F24" s="167">
        <f t="shared" si="11"/>
        <v>-1887.9200000000019</v>
      </c>
      <c r="G24" s="168">
        <f t="shared" si="12"/>
        <v>2639.83</v>
      </c>
      <c r="H24" s="170">
        <f t="shared" si="13"/>
        <v>-0.1206192219474953</v>
      </c>
      <c r="I24" s="171">
        <f t="shared" si="14"/>
        <v>0.23730622114948108</v>
      </c>
      <c r="J24" s="1221"/>
      <c r="K24" s="3"/>
      <c r="L24" s="3"/>
      <c r="M24" s="3"/>
      <c r="N24" s="3"/>
      <c r="O24" s="3"/>
      <c r="P24" s="3"/>
      <c r="Q24" s="3"/>
      <c r="R24" s="3"/>
      <c r="S24" s="3"/>
      <c r="T24" s="3"/>
      <c r="U24" s="3"/>
      <c r="V24" s="3"/>
      <c r="W24" s="3"/>
    </row>
    <row r="25" spans="1:23" ht="15.75" customHeight="1">
      <c r="A25" s="3"/>
      <c r="B25" s="165" t="s">
        <v>294</v>
      </c>
      <c r="C25" s="169">
        <f t="shared" ref="C25:E25" si="16">+C24/C22</f>
        <v>0.6584728994282133</v>
      </c>
      <c r="D25" s="169">
        <f t="shared" si="16"/>
        <v>0.33</v>
      </c>
      <c r="E25" s="169">
        <f t="shared" si="16"/>
        <v>0.51745407098849439</v>
      </c>
      <c r="F25" s="172">
        <f t="shared" si="11"/>
        <v>0.32847289942821328</v>
      </c>
      <c r="G25" s="173">
        <f t="shared" si="12"/>
        <v>0.14101882843971891</v>
      </c>
      <c r="H25" s="170">
        <f t="shared" si="13"/>
        <v>0.99537242250973712</v>
      </c>
      <c r="I25" s="171">
        <f t="shared" si="14"/>
        <v>0.2725243385762337</v>
      </c>
      <c r="J25" s="1221"/>
      <c r="K25" s="3"/>
      <c r="L25" s="3"/>
      <c r="M25" s="3"/>
      <c r="N25" s="3"/>
      <c r="O25" s="3"/>
      <c r="P25" s="3"/>
      <c r="Q25" s="3"/>
      <c r="R25" s="3"/>
      <c r="S25" s="3"/>
      <c r="T25" s="3"/>
      <c r="U25" s="3"/>
      <c r="V25" s="3"/>
      <c r="W25" s="3"/>
    </row>
    <row r="26" spans="1:23" ht="15.75" customHeight="1">
      <c r="A26" s="3"/>
      <c r="B26" s="165" t="s">
        <v>295</v>
      </c>
      <c r="C26" s="166">
        <f>+Print_Mois!$L$105</f>
        <v>32269.559999999998</v>
      </c>
      <c r="D26" s="166">
        <f>+Print_Mois!$F$105</f>
        <v>57970</v>
      </c>
      <c r="E26" s="166">
        <f>+Print_Mois!$Q$105</f>
        <v>23832.859999999899</v>
      </c>
      <c r="F26" s="167">
        <f t="shared" si="11"/>
        <v>-25700.440000000002</v>
      </c>
      <c r="G26" s="168">
        <f t="shared" si="12"/>
        <v>8436.700000000099</v>
      </c>
      <c r="H26" s="170">
        <f t="shared" si="13"/>
        <v>-0.44334034845609804</v>
      </c>
      <c r="I26" s="171">
        <f t="shared" si="14"/>
        <v>0.35399444296656529</v>
      </c>
      <c r="J26" s="1221"/>
      <c r="K26" s="3"/>
      <c r="L26" s="3"/>
      <c r="M26" s="3"/>
      <c r="N26" s="3"/>
      <c r="O26" s="3"/>
      <c r="P26" s="3"/>
      <c r="Q26" s="3"/>
      <c r="R26" s="3"/>
      <c r="S26" s="3"/>
      <c r="T26" s="3"/>
      <c r="U26" s="3"/>
      <c r="V26" s="3"/>
      <c r="W26" s="3"/>
    </row>
    <row r="27" spans="1:23" ht="15.75" customHeight="1">
      <c r="A27" s="3"/>
      <c r="B27" s="165" t="s">
        <v>296</v>
      </c>
      <c r="C27" s="166">
        <f t="shared" ref="C27:E27" si="17">+C26/C21</f>
        <v>1792.7533333333331</v>
      </c>
      <c r="D27" s="166">
        <f t="shared" si="17"/>
        <v>2200</v>
      </c>
      <c r="E27" s="166">
        <f t="shared" si="17"/>
        <v>1324.0477777777721</v>
      </c>
      <c r="F27" s="167">
        <f t="shared" si="11"/>
        <v>-407.2466666666669</v>
      </c>
      <c r="G27" s="168">
        <f t="shared" si="12"/>
        <v>468.70555555556098</v>
      </c>
      <c r="H27" s="170">
        <f t="shared" si="13"/>
        <v>-0.18511212121212131</v>
      </c>
      <c r="I27" s="171">
        <f t="shared" si="14"/>
        <v>0.35399444296656524</v>
      </c>
      <c r="J27" s="1221"/>
      <c r="K27" s="3"/>
      <c r="L27" s="3"/>
      <c r="M27" s="3"/>
      <c r="N27" s="3"/>
      <c r="O27" s="3"/>
      <c r="P27" s="3"/>
      <c r="Q27" s="3"/>
      <c r="R27" s="3"/>
      <c r="S27" s="3"/>
      <c r="T27" s="3"/>
      <c r="U27" s="3"/>
      <c r="V27" s="3"/>
      <c r="W27" s="3"/>
    </row>
    <row r="28" spans="1:23" ht="15.75" customHeight="1">
      <c r="A28" s="3"/>
      <c r="B28" s="165" t="s">
        <v>297</v>
      </c>
      <c r="C28" s="166">
        <f>+Print_Mois!$L$113</f>
        <v>9680.76</v>
      </c>
      <c r="D28" s="166">
        <f>+Print_Mois!$F$113</f>
        <v>17391</v>
      </c>
      <c r="E28" s="166">
        <f>+Print_Mois!$Q$113</f>
        <v>7111.04</v>
      </c>
      <c r="F28" s="167">
        <f t="shared" si="11"/>
        <v>-7710.24</v>
      </c>
      <c r="G28" s="168">
        <f t="shared" si="12"/>
        <v>2569.7200000000003</v>
      </c>
      <c r="H28" s="170">
        <f t="shared" si="13"/>
        <v>-0.4433465585647749</v>
      </c>
      <c r="I28" s="171">
        <f t="shared" si="14"/>
        <v>0.36137048870488708</v>
      </c>
      <c r="J28" s="1221"/>
      <c r="K28" s="3"/>
      <c r="L28" s="3"/>
      <c r="M28" s="3"/>
      <c r="N28" s="3"/>
      <c r="O28" s="3"/>
      <c r="P28" s="3"/>
      <c r="Q28" s="3"/>
      <c r="R28" s="3"/>
      <c r="S28" s="3"/>
      <c r="T28" s="3"/>
      <c r="U28" s="3"/>
      <c r="V28" s="3"/>
      <c r="W28" s="3"/>
    </row>
    <row r="29" spans="1:23" ht="15.75" customHeight="1">
      <c r="A29" s="3"/>
      <c r="B29" s="165" t="s">
        <v>298</v>
      </c>
      <c r="C29" s="169">
        <f t="shared" ref="C29:E29" si="18">+C28/C26</f>
        <v>0.29999665319266827</v>
      </c>
      <c r="D29" s="169">
        <f t="shared" si="18"/>
        <v>0.3</v>
      </c>
      <c r="E29" s="169">
        <f t="shared" si="18"/>
        <v>0.29837124037988016</v>
      </c>
      <c r="F29" s="170">
        <f t="shared" si="11"/>
        <v>-3.3468073317166613E-6</v>
      </c>
      <c r="G29" s="174">
        <f t="shared" si="12"/>
        <v>1.6254128127881073E-3</v>
      </c>
      <c r="H29" s="170">
        <f t="shared" si="13"/>
        <v>-1.1156024439055539E-5</v>
      </c>
      <c r="I29" s="171">
        <f t="shared" si="14"/>
        <v>5.4476189150089163E-3</v>
      </c>
      <c r="J29" s="1221"/>
      <c r="K29" s="3"/>
      <c r="L29" s="3"/>
      <c r="M29" s="3"/>
      <c r="N29" s="3"/>
      <c r="O29" s="3"/>
      <c r="P29" s="3"/>
      <c r="Q29" s="3"/>
      <c r="R29" s="3"/>
      <c r="S29" s="3"/>
      <c r="T29" s="3"/>
      <c r="U29" s="3"/>
      <c r="V29" s="3"/>
      <c r="W29" s="3"/>
    </row>
    <row r="30" spans="1:23" ht="15.75" customHeight="1">
      <c r="A30" s="3"/>
      <c r="B30" s="165" t="s">
        <v>299</v>
      </c>
      <c r="C30" s="166">
        <f>+Print_Mois!$L$122-C24-C28</f>
        <v>20120.949999999997</v>
      </c>
      <c r="D30" s="166">
        <f>+Print_Mois!$F$122-D24-D28</f>
        <v>23399.907554843739</v>
      </c>
      <c r="E30" s="166">
        <f>+Print_Mois!$Q$122-E24-E28</f>
        <v>22112.369999999995</v>
      </c>
      <c r="F30" s="167">
        <f t="shared" si="11"/>
        <v>-3278.9575548437424</v>
      </c>
      <c r="G30" s="168">
        <f t="shared" si="12"/>
        <v>-1991.4199999999983</v>
      </c>
      <c r="H30" s="170">
        <f t="shared" si="13"/>
        <v>-0.14012694482483132</v>
      </c>
      <c r="I30" s="171">
        <f t="shared" si="14"/>
        <v>-9.0059093620448588E-2</v>
      </c>
      <c r="J30" s="1221"/>
      <c r="K30" s="3"/>
      <c r="L30" s="3"/>
      <c r="M30" s="3"/>
      <c r="N30" s="3"/>
      <c r="O30" s="3"/>
      <c r="P30" s="3"/>
      <c r="Q30" s="3"/>
      <c r="R30" s="3"/>
      <c r="S30" s="3"/>
      <c r="T30" s="3"/>
      <c r="U30" s="3"/>
      <c r="V30" s="3"/>
      <c r="W30" s="3"/>
    </row>
    <row r="31" spans="1:23" ht="15.75" customHeight="1">
      <c r="A31" s="3"/>
      <c r="B31" s="165" t="s">
        <v>300</v>
      </c>
      <c r="C31" s="166">
        <f t="shared" ref="C31:E31" si="19">+C30/C21</f>
        <v>1117.8305555555553</v>
      </c>
      <c r="D31" s="166">
        <f t="shared" si="19"/>
        <v>888.04203244188761</v>
      </c>
      <c r="E31" s="166">
        <f t="shared" si="19"/>
        <v>1228.4649999999997</v>
      </c>
      <c r="F31" s="167">
        <f t="shared" si="11"/>
        <v>229.78852311366768</v>
      </c>
      <c r="G31" s="168">
        <f t="shared" si="12"/>
        <v>-110.6344444444444</v>
      </c>
      <c r="H31" s="170">
        <f t="shared" si="13"/>
        <v>0.25875861132587186</v>
      </c>
      <c r="I31" s="171">
        <f t="shared" si="14"/>
        <v>-9.005909362044863E-2</v>
      </c>
      <c r="J31" s="1221"/>
      <c r="K31" s="3"/>
      <c r="L31" s="3"/>
      <c r="M31" s="3"/>
      <c r="N31" s="3"/>
      <c r="O31" s="3"/>
      <c r="P31" s="3"/>
      <c r="Q31" s="3"/>
      <c r="R31" s="3"/>
      <c r="S31" s="3"/>
      <c r="T31" s="3"/>
      <c r="U31" s="3"/>
      <c r="V31" s="3"/>
      <c r="W31" s="3"/>
    </row>
    <row r="32" spans="1:23" ht="15.75" customHeight="1">
      <c r="A32" s="3"/>
      <c r="B32" s="165" t="s">
        <v>301</v>
      </c>
      <c r="C32" s="166">
        <f>+Print_Mois!$L$163</f>
        <v>8727</v>
      </c>
      <c r="D32" s="166">
        <f>+Print_Mois!$F$163</f>
        <v>12491.217500000001</v>
      </c>
      <c r="E32" s="166">
        <f>+Print_Mois!$Q$163</f>
        <v>7734</v>
      </c>
      <c r="F32" s="167">
        <f t="shared" si="11"/>
        <v>-3764.2175000000007</v>
      </c>
      <c r="G32" s="168">
        <f t="shared" si="12"/>
        <v>993</v>
      </c>
      <c r="H32" s="170">
        <f t="shared" si="13"/>
        <v>-0.30134912789726065</v>
      </c>
      <c r="I32" s="171">
        <f t="shared" si="14"/>
        <v>0.12839410395655548</v>
      </c>
      <c r="J32" s="122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2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2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2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254702.71999999997</v>
      </c>
      <c r="D38" s="200">
        <f>+Print_Mois!$E$194</f>
        <v>218953.71750634772</v>
      </c>
      <c r="E38" s="200">
        <f>+Print_Mois!$P$194</f>
        <v>265435.33</v>
      </c>
      <c r="F38" s="201">
        <f t="shared" ref="F38:F47" si="22">+IFERROR($C38-D38,"")</f>
        <v>35749.002493652253</v>
      </c>
      <c r="G38" s="202">
        <f t="shared" ref="G38:G47" si="23">+IFERROR($C38-E38,"")</f>
        <v>-10732.610000000044</v>
      </c>
      <c r="H38" s="163">
        <f t="shared" ref="H38:H47" si="24">+IFERROR(F38/ABS($D38),"")</f>
        <v>0.16327195948438669</v>
      </c>
      <c r="I38" s="164">
        <f t="shared" ref="I38:I47" si="25">+IFERROR(G38/ABS($E38),"")</f>
        <v>-4.0433991963315673E-2</v>
      </c>
      <c r="J38" s="1220" t="s">
        <v>3951</v>
      </c>
      <c r="K38" s="3"/>
      <c r="L38" s="3"/>
      <c r="M38" s="3"/>
      <c r="N38" s="3"/>
      <c r="O38" s="3"/>
      <c r="P38" s="3"/>
      <c r="Q38" s="3"/>
      <c r="R38" s="3"/>
      <c r="S38" s="3"/>
      <c r="T38" s="3"/>
      <c r="U38" s="3"/>
      <c r="V38" s="3"/>
      <c r="W38" s="3"/>
    </row>
    <row r="39" spans="1:23" ht="15.75" customHeight="1">
      <c r="A39" s="3"/>
      <c r="B39" s="159" t="s">
        <v>306</v>
      </c>
      <c r="C39" s="200">
        <f>+Print_Mois!$L$194</f>
        <v>187869.37000000002</v>
      </c>
      <c r="D39" s="200">
        <f>+Print_Mois!$F$194</f>
        <v>154876.50212901889</v>
      </c>
      <c r="E39" s="200">
        <f>+Print_Mois!$Q$194</f>
        <v>179508.35999999987</v>
      </c>
      <c r="F39" s="201">
        <f t="shared" si="22"/>
        <v>32992.867870981136</v>
      </c>
      <c r="G39" s="202">
        <f t="shared" si="23"/>
        <v>8361.0100000001548</v>
      </c>
      <c r="H39" s="203">
        <f t="shared" si="24"/>
        <v>0.21302694351591589</v>
      </c>
      <c r="I39" s="204">
        <f t="shared" si="25"/>
        <v>4.6577273615558412E-2</v>
      </c>
      <c r="J39" s="1221"/>
      <c r="K39" s="3"/>
      <c r="L39" s="3"/>
      <c r="M39" s="3"/>
      <c r="N39" s="3"/>
      <c r="O39" s="3"/>
      <c r="P39" s="3"/>
      <c r="Q39" s="3"/>
      <c r="R39" s="3"/>
      <c r="S39" s="3"/>
      <c r="T39" s="3"/>
      <c r="U39" s="3"/>
      <c r="V39" s="3"/>
      <c r="W39" s="3"/>
    </row>
    <row r="40" spans="1:23" ht="15.75" customHeight="1">
      <c r="A40" s="3"/>
      <c r="B40" s="165" t="s">
        <v>307</v>
      </c>
      <c r="C40" s="166">
        <f>+Print_Mois!$K$172/Print_Mois!$J$172</f>
        <v>341.1717595307918</v>
      </c>
      <c r="D40" s="166">
        <f>+IFERROR(Print_Mois!$E$172/Print_Mois!$D$172,"")</f>
        <v>330.00000000000006</v>
      </c>
      <c r="E40" s="166">
        <f>+Print_Mois!$P$172/Print_Mois!$O$172</f>
        <v>307.16076372315035</v>
      </c>
      <c r="F40" s="167">
        <f t="shared" si="22"/>
        <v>11.171759530791746</v>
      </c>
      <c r="G40" s="168">
        <f t="shared" si="23"/>
        <v>34.01099580764145</v>
      </c>
      <c r="H40" s="170">
        <f t="shared" si="24"/>
        <v>3.3853816759974981E-2</v>
      </c>
      <c r="I40" s="171">
        <f t="shared" si="25"/>
        <v>0.11072701928263268</v>
      </c>
      <c r="J40" s="1221"/>
      <c r="K40" s="3"/>
      <c r="L40" s="3"/>
      <c r="M40" s="3"/>
      <c r="N40" s="3"/>
      <c r="O40" s="3"/>
      <c r="P40" s="3"/>
      <c r="Q40" s="3"/>
      <c r="R40" s="3"/>
      <c r="S40" s="3"/>
      <c r="T40" s="3"/>
      <c r="U40" s="3"/>
      <c r="V40" s="3"/>
      <c r="W40" s="3"/>
    </row>
    <row r="41" spans="1:23" ht="15.75" customHeight="1">
      <c r="A41" s="3"/>
      <c r="B41" s="165" t="s">
        <v>308</v>
      </c>
      <c r="C41" s="166">
        <f>+Print_Mois!$K$175/Print_Mois!$J$175</f>
        <v>282.41112994350283</v>
      </c>
      <c r="D41" s="166">
        <f>+IFERROR(Print_Mois!$E$175/Print_Mois!$D$175,"")</f>
        <v>270</v>
      </c>
      <c r="E41" s="166">
        <f>+Print_Mois!$P$175/Print_Mois!$O$175</f>
        <v>256.07380952380953</v>
      </c>
      <c r="F41" s="167">
        <f t="shared" si="22"/>
        <v>12.411129943502829</v>
      </c>
      <c r="G41" s="168">
        <f t="shared" si="23"/>
        <v>26.337320419693299</v>
      </c>
      <c r="H41" s="170">
        <f t="shared" si="24"/>
        <v>4.5967147938899368E-2</v>
      </c>
      <c r="I41" s="171">
        <f t="shared" si="25"/>
        <v>0.10285050419123193</v>
      </c>
      <c r="J41" s="1221"/>
      <c r="K41" s="3"/>
      <c r="L41" s="3"/>
      <c r="M41" s="3"/>
      <c r="N41" s="3"/>
      <c r="O41" s="3"/>
      <c r="P41" s="3"/>
      <c r="Q41" s="3"/>
      <c r="R41" s="3"/>
      <c r="S41" s="3"/>
      <c r="T41" s="3"/>
      <c r="U41" s="3"/>
      <c r="V41" s="3"/>
      <c r="W41" s="3"/>
    </row>
    <row r="42" spans="1:23" ht="15.75" customHeight="1">
      <c r="A42" s="3"/>
      <c r="B42" s="165" t="s">
        <v>309</v>
      </c>
      <c r="C42" s="166">
        <f>+Print_Mois!$L$184</f>
        <v>-2291.02</v>
      </c>
      <c r="D42" s="166">
        <f>+Print_Mois!$F$184</f>
        <v>-2343.0813317403599</v>
      </c>
      <c r="E42" s="166">
        <f>+Print_Mois!$Q$184</f>
        <v>-5573.72</v>
      </c>
      <c r="F42" s="167">
        <f t="shared" si="22"/>
        <v>52.061331740359947</v>
      </c>
      <c r="G42" s="168">
        <f t="shared" si="23"/>
        <v>3282.7000000000003</v>
      </c>
      <c r="H42" s="170">
        <f t="shared" si="24"/>
        <v>2.2219173971946841E-2</v>
      </c>
      <c r="I42" s="171">
        <f t="shared" si="25"/>
        <v>0.58896033528774316</v>
      </c>
      <c r="J42" s="1221"/>
      <c r="K42" s="3"/>
      <c r="L42" s="3"/>
      <c r="M42" s="3"/>
      <c r="N42" s="3"/>
      <c r="O42" s="3"/>
      <c r="P42" s="3"/>
      <c r="Q42" s="3"/>
      <c r="R42" s="3"/>
      <c r="S42" s="3"/>
      <c r="T42" s="3"/>
      <c r="U42" s="3"/>
      <c r="V42" s="3"/>
      <c r="W42" s="3"/>
    </row>
    <row r="43" spans="1:23" ht="15.75" customHeight="1">
      <c r="A43" s="3"/>
      <c r="B43" s="165" t="s">
        <v>310</v>
      </c>
      <c r="C43" s="166">
        <f>+Print_Mois!$L$210</f>
        <v>102126.31999999999</v>
      </c>
      <c r="D43" s="166">
        <f>+Print_Mois!$F$210</f>
        <v>111548.16337654438</v>
      </c>
      <c r="E43" s="166">
        <f>+Print_Mois!$Q$210</f>
        <v>144266.67000000001</v>
      </c>
      <c r="F43" s="167">
        <f t="shared" si="22"/>
        <v>-9421.8433765443915</v>
      </c>
      <c r="G43" s="168">
        <f t="shared" si="23"/>
        <v>-42140.35000000002</v>
      </c>
      <c r="H43" s="170">
        <f t="shared" si="24"/>
        <v>-8.4464352359974001E-2</v>
      </c>
      <c r="I43" s="171">
        <f t="shared" si="25"/>
        <v>-0.29210038604204297</v>
      </c>
      <c r="J43" s="1221"/>
      <c r="K43" s="3"/>
      <c r="L43" s="3"/>
      <c r="M43" s="3"/>
      <c r="N43" s="3"/>
      <c r="O43" s="3"/>
      <c r="P43" s="3"/>
      <c r="Q43" s="3"/>
      <c r="R43" s="3"/>
      <c r="S43" s="3"/>
      <c r="T43" s="3"/>
      <c r="U43" s="3"/>
      <c r="V43" s="3"/>
      <c r="W43" s="3"/>
    </row>
    <row r="44" spans="1:23" ht="15.75" customHeight="1">
      <c r="A44" s="3"/>
      <c r="B44" s="181" t="s">
        <v>311</v>
      </c>
      <c r="C44" s="166">
        <f>+SUM(Print_Mois!$L$198:$L$204)</f>
        <v>57259.97</v>
      </c>
      <c r="D44" s="166">
        <f>+SUM(Print_Mois!$F$198:$F$204)</f>
        <v>67371.380564292383</v>
      </c>
      <c r="E44" s="166">
        <f>+SUM(Print_Mois!$Q$198:$Q$204)</f>
        <v>85318.040000000008</v>
      </c>
      <c r="F44" s="167">
        <f t="shared" si="22"/>
        <v>-10111.410564292382</v>
      </c>
      <c r="G44" s="168">
        <f t="shared" si="23"/>
        <v>-28058.070000000007</v>
      </c>
      <c r="H44" s="170">
        <f t="shared" si="24"/>
        <v>-0.15008465730701603</v>
      </c>
      <c r="I44" s="171">
        <f t="shared" si="25"/>
        <v>-0.328864446487519</v>
      </c>
      <c r="J44" s="1221"/>
      <c r="K44" s="3"/>
      <c r="L44" s="3"/>
      <c r="M44" s="3"/>
      <c r="N44" s="3"/>
      <c r="O44" s="3"/>
      <c r="P44" s="3"/>
      <c r="Q44" s="3"/>
      <c r="R44" s="3"/>
      <c r="S44" s="3"/>
      <c r="T44" s="3"/>
      <c r="U44" s="3"/>
      <c r="V44" s="3"/>
      <c r="W44" s="3"/>
    </row>
    <row r="45" spans="1:23">
      <c r="A45" s="3"/>
      <c r="B45" s="181" t="s">
        <v>312</v>
      </c>
      <c r="C45" s="166">
        <f>+SUM(Print_Mois!$L$205:$L$209)</f>
        <v>44866.35</v>
      </c>
      <c r="D45" s="166">
        <f>+SUM(Print_Mois!$F$205:$F$209)</f>
        <v>44176.782812252</v>
      </c>
      <c r="E45" s="166">
        <f>+SUM(Print_Mois!$Q$205:$Q$209)</f>
        <v>58948.630000000005</v>
      </c>
      <c r="F45" s="167">
        <f t="shared" si="22"/>
        <v>689.5671877479981</v>
      </c>
      <c r="G45" s="168">
        <f t="shared" si="23"/>
        <v>-14082.280000000006</v>
      </c>
      <c r="H45" s="170">
        <f t="shared" si="24"/>
        <v>1.5609266765273667E-2</v>
      </c>
      <c r="I45" s="171">
        <f t="shared" si="25"/>
        <v>-0.23889070874081392</v>
      </c>
      <c r="J45" s="1221"/>
      <c r="K45" s="3"/>
      <c r="L45" s="3"/>
      <c r="M45" s="3"/>
      <c r="N45" s="3"/>
      <c r="O45" s="3"/>
      <c r="P45" s="3"/>
      <c r="Q45" s="3"/>
      <c r="R45" s="3"/>
      <c r="S45" s="3"/>
      <c r="T45" s="3"/>
      <c r="U45" s="3"/>
      <c r="V45" s="3"/>
      <c r="W45" s="3"/>
    </row>
    <row r="46" spans="1:23">
      <c r="A46" s="3"/>
      <c r="B46" s="165" t="s">
        <v>313</v>
      </c>
      <c r="C46" s="169">
        <f t="shared" ref="C46:E46" si="26">+C43/C38</f>
        <v>0.4009628165729836</v>
      </c>
      <c r="D46" s="169">
        <f t="shared" si="26"/>
        <v>0.50946001121588846</v>
      </c>
      <c r="E46" s="169">
        <f t="shared" si="26"/>
        <v>0.54350967521919558</v>
      </c>
      <c r="F46" s="172">
        <f t="shared" si="22"/>
        <v>-0.10849719464290486</v>
      </c>
      <c r="G46" s="173">
        <f t="shared" si="23"/>
        <v>-0.14254685864621197</v>
      </c>
      <c r="H46" s="170">
        <f t="shared" si="24"/>
        <v>-0.21296508509855969</v>
      </c>
      <c r="I46" s="171">
        <f t="shared" si="25"/>
        <v>-0.26227106001144013</v>
      </c>
      <c r="J46" s="1221"/>
      <c r="K46" s="3"/>
      <c r="L46" s="3"/>
      <c r="M46" s="3"/>
      <c r="N46" s="3"/>
      <c r="O46" s="3"/>
      <c r="P46" s="3"/>
      <c r="Q46" s="3"/>
      <c r="R46" s="3"/>
      <c r="S46" s="3"/>
      <c r="T46" s="3"/>
      <c r="U46" s="3"/>
      <c r="V46" s="3"/>
      <c r="W46" s="3"/>
    </row>
    <row r="47" spans="1:23">
      <c r="A47" s="3"/>
      <c r="B47" s="205" t="s">
        <v>131</v>
      </c>
      <c r="C47" s="184">
        <f>+Print_Mois!$L$213</f>
        <v>12584.47</v>
      </c>
      <c r="D47" s="184">
        <f>+Print_Mois!$F$213</f>
        <v>13333.333333333334</v>
      </c>
      <c r="E47" s="184">
        <f>+Print_Mois!$Q$213</f>
        <v>19012.240000000002</v>
      </c>
      <c r="F47" s="185">
        <f t="shared" si="22"/>
        <v>-748.86333333333459</v>
      </c>
      <c r="G47" s="186">
        <f t="shared" si="23"/>
        <v>-6427.7700000000023</v>
      </c>
      <c r="H47" s="187">
        <f t="shared" si="24"/>
        <v>-5.616475000000009E-2</v>
      </c>
      <c r="I47" s="188">
        <f t="shared" si="25"/>
        <v>-0.33808588572414411</v>
      </c>
      <c r="J47" s="122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444776.55</v>
      </c>
      <c r="D50" s="200">
        <f>+Print_Mois!$D$314</f>
        <v>417384.94771265151</v>
      </c>
      <c r="E50" s="200">
        <f>+Print_Mois!$O$314</f>
        <v>437477.83999999997</v>
      </c>
      <c r="F50" s="201">
        <f t="shared" ref="F50:F59" si="27">+IFERROR($C50-D50,"")</f>
        <v>27391.602287348476</v>
      </c>
      <c r="G50" s="202">
        <f t="shared" ref="G50:G59" si="28">+IFERROR($C50-E50,"")</f>
        <v>7298.710000000021</v>
      </c>
      <c r="H50" s="163">
        <f t="shared" ref="H50:H59" si="29">+IFERROR(F50/ABS($D50),"")</f>
        <v>6.5626713271428785E-2</v>
      </c>
      <c r="I50" s="164">
        <f t="shared" ref="I50:I59" si="30">+IFERROR(G50/ABS($E50),"")</f>
        <v>1.668361076300464E-2</v>
      </c>
      <c r="J50" s="1220" t="s">
        <v>3952</v>
      </c>
      <c r="K50" s="3"/>
      <c r="L50" s="3"/>
      <c r="M50" s="3"/>
      <c r="N50" s="3"/>
      <c r="O50" s="3"/>
      <c r="P50" s="3"/>
      <c r="Q50" s="3"/>
      <c r="R50" s="3"/>
      <c r="S50" s="3"/>
      <c r="T50" s="3"/>
      <c r="U50" s="3"/>
      <c r="V50" s="3"/>
      <c r="W50" s="3"/>
    </row>
    <row r="51" spans="1:23" ht="15.75" customHeight="1">
      <c r="A51" s="3"/>
      <c r="B51" s="181" t="s">
        <v>315</v>
      </c>
      <c r="C51" s="166">
        <f>+Print_Mois!$J$295</f>
        <v>72850.430000000008</v>
      </c>
      <c r="D51" s="166">
        <f>+Print_Mois!$D$295</f>
        <v>93715.386178276894</v>
      </c>
      <c r="E51" s="166">
        <f>+Print_Mois!$O$295</f>
        <v>103411.11</v>
      </c>
      <c r="F51" s="167">
        <f t="shared" si="27"/>
        <v>-20864.956178276887</v>
      </c>
      <c r="G51" s="168">
        <f t="shared" si="28"/>
        <v>-30560.679999999993</v>
      </c>
      <c r="H51" s="170">
        <f t="shared" si="29"/>
        <v>-0.22264173503574974</v>
      </c>
      <c r="I51" s="171">
        <f t="shared" si="30"/>
        <v>-0.2955260803215437</v>
      </c>
      <c r="J51" s="1221"/>
      <c r="K51" s="3"/>
      <c r="L51" s="3"/>
      <c r="M51" s="3"/>
      <c r="N51" s="3"/>
      <c r="O51" s="3"/>
      <c r="P51" s="3"/>
      <c r="Q51" s="3"/>
      <c r="R51" s="3"/>
      <c r="S51" s="3"/>
      <c r="T51" s="3"/>
      <c r="U51" s="3"/>
      <c r="V51" s="3"/>
      <c r="W51" s="3"/>
    </row>
    <row r="52" spans="1:23" ht="15.75" customHeight="1">
      <c r="A52" s="3"/>
      <c r="B52" s="181" t="s">
        <v>316</v>
      </c>
      <c r="C52" s="166">
        <f>+Print_Mois!$J$297</f>
        <v>50223.29</v>
      </c>
      <c r="D52" s="166">
        <f>+Print_Mois!$D$297</f>
        <v>34806.947684848987</v>
      </c>
      <c r="E52" s="166">
        <f>+Print_Mois!$O$297</f>
        <v>66360.08</v>
      </c>
      <c r="F52" s="167">
        <f t="shared" si="27"/>
        <v>15416.342315151014</v>
      </c>
      <c r="G52" s="168">
        <f t="shared" si="28"/>
        <v>-16136.79</v>
      </c>
      <c r="H52" s="170">
        <f t="shared" si="29"/>
        <v>0.44290991714454608</v>
      </c>
      <c r="I52" s="171">
        <f t="shared" si="30"/>
        <v>-0.24317014084371208</v>
      </c>
      <c r="J52" s="1221"/>
      <c r="K52" s="3"/>
      <c r="L52" s="3"/>
      <c r="M52" s="3"/>
      <c r="N52" s="3"/>
      <c r="O52" s="3"/>
      <c r="P52" s="3"/>
      <c r="Q52" s="3"/>
      <c r="R52" s="3"/>
      <c r="S52" s="3"/>
      <c r="T52" s="3"/>
      <c r="U52" s="3"/>
      <c r="V52" s="3"/>
      <c r="W52" s="3"/>
    </row>
    <row r="53" spans="1:23" ht="15.75" customHeight="1">
      <c r="A53" s="3"/>
      <c r="B53" s="181" t="s">
        <v>317</v>
      </c>
      <c r="C53" s="166">
        <f>+Print_Mois!$J$300</f>
        <v>169183.24</v>
      </c>
      <c r="D53" s="166">
        <f>+Print_Mois!$D$300</f>
        <v>144796.27810775323</v>
      </c>
      <c r="E53" s="166">
        <f>+Print_Mois!$O$300</f>
        <v>109269.89</v>
      </c>
      <c r="F53" s="167">
        <f t="shared" si="27"/>
        <v>24386.961892246763</v>
      </c>
      <c r="G53" s="168">
        <f t="shared" si="28"/>
        <v>59913.349999999991</v>
      </c>
      <c r="H53" s="170">
        <f t="shared" si="29"/>
        <v>0.16842257419143528</v>
      </c>
      <c r="I53" s="171">
        <f t="shared" si="30"/>
        <v>0.54830612531960998</v>
      </c>
      <c r="J53" s="1221"/>
      <c r="K53" s="3"/>
      <c r="L53" s="3"/>
      <c r="M53" s="3"/>
      <c r="N53" s="3"/>
      <c r="O53" s="3"/>
      <c r="P53" s="3"/>
      <c r="Q53" s="3"/>
      <c r="R53" s="3"/>
      <c r="S53" s="3"/>
      <c r="T53" s="3"/>
      <c r="U53" s="3"/>
      <c r="V53" s="3"/>
      <c r="W53" s="3"/>
    </row>
    <row r="54" spans="1:23" ht="15.75" customHeight="1">
      <c r="A54" s="3"/>
      <c r="B54" s="181" t="s">
        <v>318</v>
      </c>
      <c r="C54" s="166">
        <f>+Print_Mois!$J$307</f>
        <v>57268.47</v>
      </c>
      <c r="D54" s="166">
        <f>+Print_Mois!$D$307</f>
        <v>28256.45</v>
      </c>
      <c r="E54" s="166">
        <f>+Print_Mois!$O$307</f>
        <v>58490.41</v>
      </c>
      <c r="F54" s="167">
        <f t="shared" si="27"/>
        <v>29012.02</v>
      </c>
      <c r="G54" s="168">
        <f t="shared" si="28"/>
        <v>-1221.9400000000023</v>
      </c>
      <c r="H54" s="170">
        <f t="shared" si="29"/>
        <v>1.0267397355294101</v>
      </c>
      <c r="I54" s="171">
        <f t="shared" si="30"/>
        <v>-2.0891287990629615E-2</v>
      </c>
      <c r="J54" s="1221"/>
      <c r="K54" s="3"/>
      <c r="L54" s="3"/>
      <c r="M54" s="3"/>
      <c r="N54" s="3"/>
      <c r="O54" s="3"/>
      <c r="P54" s="3"/>
      <c r="Q54" s="3"/>
      <c r="R54" s="3"/>
      <c r="S54" s="3"/>
      <c r="T54" s="3"/>
      <c r="U54" s="3"/>
      <c r="V54" s="3"/>
      <c r="W54" s="3"/>
    </row>
    <row r="55" spans="1:23" ht="15.75" customHeight="1">
      <c r="A55" s="3"/>
      <c r="B55" s="181" t="s">
        <v>319</v>
      </c>
      <c r="C55" s="166">
        <f t="shared" ref="C55:E55" si="31">+C50-SUM(C51:C54)</f>
        <v>95251.120000000054</v>
      </c>
      <c r="D55" s="166">
        <f t="shared" si="31"/>
        <v>115809.88574177236</v>
      </c>
      <c r="E55" s="166">
        <f t="shared" si="31"/>
        <v>99946.349999999977</v>
      </c>
      <c r="F55" s="167">
        <f t="shared" si="27"/>
        <v>-20558.765741772309</v>
      </c>
      <c r="G55" s="168">
        <f t="shared" si="28"/>
        <v>-4695.2299999999232</v>
      </c>
      <c r="H55" s="170">
        <f t="shared" si="29"/>
        <v>-0.17752168228205764</v>
      </c>
      <c r="I55" s="171">
        <f t="shared" si="30"/>
        <v>-4.6977503430589755E-2</v>
      </c>
      <c r="J55" s="1221"/>
      <c r="K55" s="3"/>
      <c r="L55" s="3"/>
      <c r="M55" s="3"/>
      <c r="N55" s="3"/>
      <c r="O55" s="3"/>
      <c r="P55" s="3"/>
      <c r="Q55" s="3"/>
      <c r="R55" s="3"/>
      <c r="S55" s="3"/>
      <c r="T55" s="3"/>
      <c r="U55" s="3"/>
      <c r="V55" s="3"/>
      <c r="W55" s="3"/>
    </row>
    <row r="56" spans="1:23" ht="15.75" customHeight="1">
      <c r="A56" s="3"/>
      <c r="B56" s="159" t="s">
        <v>306</v>
      </c>
      <c r="C56" s="200">
        <f>+Print_Mois!$L$314</f>
        <v>101440.21000000002</v>
      </c>
      <c r="D56" s="200">
        <f>+Print_Mois!$F$314</f>
        <v>104951.26384636817</v>
      </c>
      <c r="E56" s="200">
        <f>+Print_Mois!$Q$314</f>
        <v>116009.59999999977</v>
      </c>
      <c r="F56" s="201">
        <f t="shared" si="27"/>
        <v>-3511.0538463681441</v>
      </c>
      <c r="G56" s="202">
        <f t="shared" si="28"/>
        <v>-14569.389999999752</v>
      </c>
      <c r="H56" s="203">
        <f t="shared" si="29"/>
        <v>-3.3454135926440719E-2</v>
      </c>
      <c r="I56" s="204">
        <f t="shared" si="30"/>
        <v>-0.12558779618238303</v>
      </c>
      <c r="J56" s="1221"/>
      <c r="K56" s="3"/>
      <c r="L56" s="3"/>
      <c r="M56" s="3"/>
      <c r="N56" s="3"/>
      <c r="O56" s="3"/>
      <c r="P56" s="3"/>
      <c r="Q56" s="3"/>
      <c r="R56" s="3"/>
      <c r="S56" s="3"/>
      <c r="T56" s="3"/>
      <c r="U56" s="3"/>
      <c r="V56" s="3"/>
      <c r="W56" s="3"/>
    </row>
    <row r="57" spans="1:23" ht="15.75" customHeight="1">
      <c r="A57" s="3"/>
      <c r="B57" s="165" t="s">
        <v>307</v>
      </c>
      <c r="C57" s="166">
        <f>+Print_Mois!$J$295/Print_Mois!$J$172</f>
        <v>213.6376246334311</v>
      </c>
      <c r="D57" s="166">
        <f>+IFERROR(Print_Mois!$D$295/Print_Mois!$D$172,"")</f>
        <v>231</v>
      </c>
      <c r="E57" s="166">
        <f>+Print_Mois!$O$295/Print_Mois!$O$172</f>
        <v>246.80455847255371</v>
      </c>
      <c r="F57" s="167">
        <f t="shared" si="27"/>
        <v>-17.362375366568898</v>
      </c>
      <c r="G57" s="168">
        <f t="shared" si="28"/>
        <v>-33.166933839122606</v>
      </c>
      <c r="H57" s="170">
        <f t="shared" si="29"/>
        <v>-7.5161798123674878E-2</v>
      </c>
      <c r="I57" s="171">
        <f t="shared" si="30"/>
        <v>-0.13438541834230744</v>
      </c>
      <c r="J57" s="1221"/>
      <c r="K57" s="3"/>
      <c r="L57" s="3"/>
      <c r="M57" s="3"/>
      <c r="N57" s="3"/>
      <c r="O57" s="3"/>
      <c r="P57" s="3"/>
      <c r="Q57" s="3"/>
      <c r="R57" s="3"/>
      <c r="S57" s="3"/>
      <c r="T57" s="3"/>
      <c r="U57" s="3"/>
      <c r="V57" s="3"/>
      <c r="W57" s="3"/>
    </row>
    <row r="58" spans="1:23" ht="15.75" customHeight="1">
      <c r="A58" s="3"/>
      <c r="B58" s="165" t="s">
        <v>308</v>
      </c>
      <c r="C58" s="166">
        <f>+Print_Mois!$J$297/Print_Mois!$J$175</f>
        <v>283.74740112994351</v>
      </c>
      <c r="D58" s="166">
        <f>+IFERROR(Print_Mois!$D$297/Print_Mois!$D$175,"")</f>
        <v>405.10127531882972</v>
      </c>
      <c r="E58" s="166">
        <f>+Print_Mois!$O$297/Print_Mois!$O$175</f>
        <v>451.42911564625854</v>
      </c>
      <c r="F58" s="167">
        <f t="shared" si="27"/>
        <v>-121.35387418888621</v>
      </c>
      <c r="G58" s="168">
        <f t="shared" si="28"/>
        <v>-167.68171451631503</v>
      </c>
      <c r="H58" s="170">
        <f t="shared" si="29"/>
        <v>-0.29956428572923205</v>
      </c>
      <c r="I58" s="171">
        <f t="shared" si="30"/>
        <v>-0.37144638815833714</v>
      </c>
      <c r="J58" s="1221"/>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3885.42</v>
      </c>
      <c r="F59" s="185">
        <f t="shared" si="27"/>
        <v>-26.326153846153844</v>
      </c>
      <c r="G59" s="186">
        <f t="shared" si="28"/>
        <v>-3771.5</v>
      </c>
      <c r="H59" s="187">
        <f t="shared" si="29"/>
        <v>-0.18771390960947781</v>
      </c>
      <c r="I59" s="188">
        <f t="shared" si="30"/>
        <v>-0.97068013239237971</v>
      </c>
      <c r="J59" s="122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0.56083308119822639</v>
      </c>
      <c r="D62" s="169">
        <f>+Print_Mois!$Z$433/Print_Mois!$Z$407</f>
        <v>0.53089943988840393</v>
      </c>
      <c r="E62" s="169">
        <f>+Print_Mois!$AL$433/Print_Mois!$AL$407</f>
        <v>0.59803272496518467</v>
      </c>
      <c r="F62" s="172">
        <f t="shared" ref="F62:G67" si="32">+IFERROR($C62-D62,"")</f>
        <v>2.9933641309822456E-2</v>
      </c>
      <c r="G62" s="173">
        <f t="shared" si="32"/>
        <v>-3.7199643766958279E-2</v>
      </c>
      <c r="H62" s="170">
        <f t="shared" ref="H62:H67" si="33">+IFERROR(F62/ABS($D62),"")</f>
        <v>5.6382883576058328E-2</v>
      </c>
      <c r="I62" s="171">
        <f t="shared" ref="I62:I67" si="34">+IFERROR(G62/ABS($E62),"")</f>
        <v>-6.2203358134162154E-2</v>
      </c>
      <c r="J62" s="1220"/>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21"/>
      <c r="K63" s="3"/>
      <c r="L63" s="3"/>
      <c r="M63" s="3"/>
      <c r="N63" s="3"/>
      <c r="O63" s="3"/>
      <c r="P63" s="3"/>
      <c r="Q63" s="3"/>
      <c r="R63" s="3"/>
      <c r="S63" s="3"/>
      <c r="T63" s="3"/>
      <c r="U63" s="3"/>
      <c r="V63" s="3"/>
      <c r="W63" s="3"/>
    </row>
    <row r="64" spans="1:23" ht="15.75" customHeight="1">
      <c r="A64" s="3"/>
      <c r="B64" s="181" t="s">
        <v>323</v>
      </c>
      <c r="C64" s="166">
        <f>N17+Print_Mois!$AF$414+Print_Mois!$AF$434</f>
        <v>40630.829999999994</v>
      </c>
      <c r="D64" s="166">
        <f>+Print_Mois!$Z$414+Print_Mois!$Z$434</f>
        <v>33746.560455902771</v>
      </c>
      <c r="E64" s="166">
        <f>+Print_Mois!$AL$414+Print_Mois!$AL$434</f>
        <v>42365.649999999994</v>
      </c>
      <c r="F64" s="167">
        <f t="shared" si="32"/>
        <v>6884.2695440972238</v>
      </c>
      <c r="G64" s="168">
        <f t="shared" si="32"/>
        <v>-1734.8199999999997</v>
      </c>
      <c r="H64" s="170">
        <f t="shared" si="33"/>
        <v>0.20399914690840926</v>
      </c>
      <c r="I64" s="171">
        <f t="shared" si="34"/>
        <v>-4.0948740312021649E-2</v>
      </c>
      <c r="J64" s="1221"/>
      <c r="K64" s="3"/>
      <c r="L64" s="3"/>
      <c r="M64" s="3"/>
      <c r="N64" s="3"/>
      <c r="O64" s="3"/>
      <c r="P64" s="3"/>
      <c r="Q64" s="3"/>
      <c r="R64" s="3"/>
      <c r="S64" s="3"/>
      <c r="T64" s="3"/>
      <c r="U64" s="3"/>
      <c r="V64" s="3"/>
      <c r="W64" s="3"/>
    </row>
    <row r="65" spans="1:23" ht="15.75" customHeight="1">
      <c r="A65" s="3"/>
      <c r="B65" s="181" t="s">
        <v>324</v>
      </c>
      <c r="C65" s="166">
        <f>+Print_Mois!$AF$452-Print_Mois!$AF$434</f>
        <v>137480.98999999996</v>
      </c>
      <c r="D65" s="166">
        <f>+Print_Mois!$Z$452-Print_Mois!$Z$434</f>
        <v>111354.2649158447</v>
      </c>
      <c r="E65" s="166">
        <f>+Print_Mois!$AL$452-Print_Mois!$AL$434</f>
        <v>110052.59</v>
      </c>
      <c r="F65" s="167">
        <f t="shared" si="32"/>
        <v>26126.72508415526</v>
      </c>
      <c r="G65" s="168">
        <f t="shared" si="32"/>
        <v>27428.399999999965</v>
      </c>
      <c r="H65" s="170">
        <f t="shared" si="33"/>
        <v>0.23462707157108326</v>
      </c>
      <c r="I65" s="171">
        <f t="shared" si="34"/>
        <v>0.24922993634225207</v>
      </c>
      <c r="J65" s="1221"/>
      <c r="K65" s="3"/>
      <c r="L65" s="3"/>
      <c r="M65" s="3"/>
      <c r="N65" s="3"/>
      <c r="O65" s="3"/>
      <c r="P65" s="3"/>
      <c r="Q65" s="3"/>
      <c r="R65" s="3"/>
      <c r="S65" s="3"/>
      <c r="T65" s="3"/>
      <c r="U65" s="3"/>
      <c r="V65" s="3"/>
      <c r="W65" s="3"/>
    </row>
    <row r="66" spans="1:23" ht="15.75" customHeight="1">
      <c r="A66" s="3"/>
      <c r="B66" s="181" t="s">
        <v>325</v>
      </c>
      <c r="C66" s="166">
        <f>+Print_Mois!$AF$415</f>
        <v>-1114.2900000000004</v>
      </c>
      <c r="D66" s="166">
        <f>+Print_Mois!$Z$415</f>
        <v>18318.761276768753</v>
      </c>
      <c r="E66" s="166">
        <f>+Print_Mois!$AL$415</f>
        <v>17589.98</v>
      </c>
      <c r="F66" s="167">
        <f t="shared" si="32"/>
        <v>-19433.051276768754</v>
      </c>
      <c r="G66" s="168">
        <f t="shared" si="32"/>
        <v>-18704.27</v>
      </c>
      <c r="H66" s="170">
        <f t="shared" si="33"/>
        <v>-1.0608278028827804</v>
      </c>
      <c r="I66" s="171">
        <f t="shared" si="34"/>
        <v>-1.0633479969846469</v>
      </c>
      <c r="J66" s="1221"/>
      <c r="K66" s="3"/>
      <c r="L66" s="3"/>
      <c r="M66" s="3"/>
      <c r="N66" s="3"/>
      <c r="O66" s="3"/>
      <c r="P66" s="3"/>
      <c r="Q66" s="3"/>
      <c r="R66" s="3"/>
      <c r="S66" s="3"/>
      <c r="T66" s="3"/>
      <c r="U66" s="3"/>
      <c r="V66" s="3"/>
      <c r="W66" s="3"/>
    </row>
    <row r="67" spans="1:23">
      <c r="A67" s="3"/>
      <c r="B67" s="183" t="s">
        <v>326</v>
      </c>
      <c r="C67" s="184">
        <f>+Print_Mois!$AF$481-C32-C15</f>
        <v>13962.820000000007</v>
      </c>
      <c r="D67" s="184">
        <f>+Print_Mois!$Z$481-D32-D15</f>
        <v>22097.857499999998</v>
      </c>
      <c r="E67" s="184">
        <f>+Print_Mois!$AL$481-E32-E15</f>
        <v>69389.75999999998</v>
      </c>
      <c r="F67" s="185">
        <f t="shared" si="32"/>
        <v>-8135.0374999999913</v>
      </c>
      <c r="G67" s="186">
        <f t="shared" si="32"/>
        <v>-55426.939999999973</v>
      </c>
      <c r="H67" s="187">
        <f t="shared" si="33"/>
        <v>-0.36813693363711808</v>
      </c>
      <c r="I67" s="188">
        <f t="shared" si="34"/>
        <v>-0.79877693769224722</v>
      </c>
      <c r="J67" s="122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156561.29999999999</v>
      </c>
      <c r="D70" s="166">
        <f>+Print_Mois!$Z$419-Print_Mois!$Z$415+Print_Mois!$Z$434+Print_Mois!$Z$435+Print_Mois!$Z$436</f>
        <v>154180.82251738352</v>
      </c>
      <c r="E70" s="166">
        <f>+Print_Mois!$AL$419-Print_Mois!$AL$415+Print_Mois!$AL$434+Print_Mois!$AL$435+Print_Mois!$AL$436</f>
        <v>160599.67999999999</v>
      </c>
      <c r="F70" s="225">
        <f t="shared" ref="F70:G77" si="35">+IFERROR($C70-D70,"")</f>
        <v>2380.4774826164648</v>
      </c>
      <c r="G70" s="226">
        <f t="shared" si="35"/>
        <v>-4038.3800000000047</v>
      </c>
      <c r="H70" s="170">
        <f t="shared" ref="H70:H77" si="36">+IFERROR(F70/ABS($D70),"")</f>
        <v>1.5439517339117007E-2</v>
      </c>
      <c r="I70" s="171">
        <f t="shared" ref="I70:I77" si="37">+IFERROR(G70/ABS($E70),"")</f>
        <v>-2.5145629181826543E-2</v>
      </c>
      <c r="J70" s="1220" t="s">
        <v>3953</v>
      </c>
      <c r="K70" s="3"/>
      <c r="L70" s="3"/>
      <c r="M70" s="3"/>
      <c r="N70" s="3"/>
      <c r="O70" s="3"/>
      <c r="P70" s="3"/>
      <c r="Q70" s="3"/>
      <c r="R70" s="3"/>
      <c r="S70" s="3"/>
      <c r="T70" s="3"/>
      <c r="U70" s="3"/>
      <c r="V70" s="3"/>
      <c r="W70" s="3"/>
    </row>
    <row r="71" spans="1:23" ht="15.75" customHeight="1">
      <c r="A71" s="3"/>
      <c r="B71" s="181" t="s">
        <v>329</v>
      </c>
      <c r="C71" s="169">
        <f>+C70/Print_Mois!$AF$407</f>
        <v>0.34211700225656366</v>
      </c>
      <c r="D71" s="169">
        <f>+D70/Print_Mois!$Z$407</f>
        <v>0.29106894204634554</v>
      </c>
      <c r="E71" s="169">
        <f>+E70/Print_Mois!$AL$407</f>
        <v>0.3086105374720719</v>
      </c>
      <c r="F71" s="172">
        <f t="shared" si="35"/>
        <v>5.1048060210218127E-2</v>
      </c>
      <c r="G71" s="173">
        <f t="shared" si="35"/>
        <v>3.3506464784491763E-2</v>
      </c>
      <c r="H71" s="170">
        <f t="shared" si="36"/>
        <v>0.17538133698266573</v>
      </c>
      <c r="I71" s="171">
        <f t="shared" si="37"/>
        <v>0.10857200489313808</v>
      </c>
      <c r="J71" s="1221"/>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409912.79999999987</v>
      </c>
      <c r="D72" s="166">
        <f>+Print_Mois!$Z$466+Print_Mois!$Z$433+Print_Mois!$Z$437+Print_Mois!$Z$439+SUM(Print_Mois!$Z$440:$Z$448)+Print_Mois!$Z$438</f>
        <v>422257.62257373438</v>
      </c>
      <c r="E72" s="166">
        <f>+Print_Mois!$AL$466+Print_Mois!$AL$433+Print_Mois!$AL$437+Print_Mois!$AL$439+SUM(Print_Mois!$AL$440:$AL$448)+Print_Mois!$AL$438</f>
        <v>441278.01000000007</v>
      </c>
      <c r="F72" s="167">
        <f t="shared" si="35"/>
        <v>-12344.822573734506</v>
      </c>
      <c r="G72" s="168">
        <f t="shared" si="35"/>
        <v>-31365.210000000196</v>
      </c>
      <c r="H72" s="170">
        <f t="shared" si="36"/>
        <v>-2.9235286502326811E-2</v>
      </c>
      <c r="I72" s="171">
        <f t="shared" si="37"/>
        <v>-7.1078116944916864E-2</v>
      </c>
      <c r="J72" s="1221"/>
      <c r="K72" s="3"/>
      <c r="L72" s="3"/>
      <c r="M72" s="3"/>
      <c r="N72" s="3"/>
      <c r="O72" s="3"/>
      <c r="P72" s="3"/>
      <c r="Q72" s="3"/>
      <c r="R72" s="3"/>
      <c r="S72" s="3"/>
      <c r="T72" s="3"/>
      <c r="U72" s="3"/>
      <c r="V72" s="3"/>
      <c r="W72" s="3"/>
    </row>
    <row r="73" spans="1:23" ht="15.75" customHeight="1">
      <c r="A73" s="3"/>
      <c r="B73" s="181" t="s">
        <v>331</v>
      </c>
      <c r="C73" s="169">
        <f>+C72/Print_Mois!$AF$407</f>
        <v>0.89573948557270722</v>
      </c>
      <c r="D73" s="169">
        <f>+D72/Print_Mois!$Z$407</f>
        <v>0.79715542741824819</v>
      </c>
      <c r="E73" s="169">
        <f>+E72/Print_Mois!$AL$407</f>
        <v>0.84796584800608787</v>
      </c>
      <c r="F73" s="172">
        <f t="shared" si="35"/>
        <v>9.8584058154459031E-2</v>
      </c>
      <c r="G73" s="173">
        <f t="shared" si="35"/>
        <v>4.7773637566619342E-2</v>
      </c>
      <c r="H73" s="170">
        <f t="shared" si="36"/>
        <v>0.12366980737212538</v>
      </c>
      <c r="I73" s="171">
        <f t="shared" si="37"/>
        <v>5.6339105730442526E-2</v>
      </c>
      <c r="J73" s="1221"/>
      <c r="K73" s="3"/>
      <c r="L73" s="3"/>
      <c r="M73" s="3"/>
      <c r="N73" s="3"/>
      <c r="O73" s="3"/>
      <c r="P73" s="3"/>
      <c r="Q73" s="3"/>
      <c r="R73" s="3"/>
      <c r="S73" s="3"/>
      <c r="T73" s="3"/>
      <c r="U73" s="3"/>
      <c r="V73" s="3"/>
      <c r="W73" s="3"/>
    </row>
    <row r="74" spans="1:23" ht="15.75" customHeight="1">
      <c r="A74" s="1"/>
      <c r="B74" s="211" t="s">
        <v>332</v>
      </c>
      <c r="C74" s="200">
        <f>+Print_Mois!$AF$483+Print_Mois!$AF$415</f>
        <v>4390.7400000000853</v>
      </c>
      <c r="D74" s="200">
        <f>+Print_Mois!$Z$483+Print_Mois!$Z$415</f>
        <v>66779.401552671392</v>
      </c>
      <c r="E74" s="200">
        <f>+Print_Mois!$AL$483+Print_Mois!$AL$415</f>
        <v>104819.88999999921</v>
      </c>
      <c r="F74" s="201">
        <f t="shared" si="35"/>
        <v>-62388.661552671307</v>
      </c>
      <c r="G74" s="202">
        <f t="shared" si="35"/>
        <v>-100429.14999999912</v>
      </c>
      <c r="H74" s="203">
        <f t="shared" si="36"/>
        <v>-0.9342500846381957</v>
      </c>
      <c r="I74" s="204">
        <f t="shared" si="37"/>
        <v>-0.95811157596139318</v>
      </c>
      <c r="J74" s="1221"/>
      <c r="K74" s="1"/>
      <c r="L74" s="1"/>
      <c r="M74" s="1"/>
      <c r="N74" s="1"/>
      <c r="O74" s="1"/>
      <c r="P74" s="1"/>
      <c r="Q74" s="1"/>
      <c r="R74" s="1"/>
      <c r="S74" s="1"/>
      <c r="T74" s="1"/>
      <c r="U74" s="1"/>
      <c r="V74" s="1"/>
      <c r="W74" s="1"/>
    </row>
    <row r="75" spans="1:23" ht="15.75" customHeight="1">
      <c r="A75" s="3"/>
      <c r="B75" s="165" t="s">
        <v>333</v>
      </c>
      <c r="C75" s="227">
        <f>+C74/Print_Mois!$AF$406</f>
        <v>1.1902740432258435E-3</v>
      </c>
      <c r="D75" s="227">
        <f>+D74/Print_Mois!$Z$406</f>
        <v>1.8394282157001677E-2</v>
      </c>
      <c r="E75" s="227">
        <f>+E74/Print_Mois!$AL$406</f>
        <v>1.0902452254068478E-2</v>
      </c>
      <c r="F75" s="172">
        <f t="shared" si="35"/>
        <v>-1.7204008113775832E-2</v>
      </c>
      <c r="G75" s="173">
        <f t="shared" si="35"/>
        <v>-9.7121782108426351E-3</v>
      </c>
      <c r="H75" s="170">
        <f t="shared" si="36"/>
        <v>-0.93529108485634627</v>
      </c>
      <c r="I75" s="171">
        <f t="shared" si="37"/>
        <v>-0.89082510838039508</v>
      </c>
      <c r="J75" s="1221"/>
      <c r="K75" s="3"/>
      <c r="L75" s="3"/>
      <c r="M75" s="3"/>
      <c r="N75" s="3"/>
      <c r="O75" s="3"/>
      <c r="P75" s="3"/>
      <c r="Q75" s="3"/>
      <c r="R75" s="3"/>
      <c r="S75" s="3"/>
      <c r="T75" s="3"/>
      <c r="U75" s="3"/>
      <c r="V75" s="3"/>
      <c r="W75" s="3"/>
    </row>
    <row r="76" spans="1:23" ht="15.75" customHeight="1">
      <c r="A76" s="1"/>
      <c r="B76" s="211" t="s">
        <v>334</v>
      </c>
      <c r="C76" s="200">
        <f>N9+Print_Mois!$AF$498</f>
        <v>-38513.079999999922</v>
      </c>
      <c r="D76" s="200">
        <f>+Print_Mois!$Z$498</f>
        <v>18478.973609235978</v>
      </c>
      <c r="E76" s="200">
        <f>+Print_Mois!$AL$498</f>
        <v>85014.179999999222</v>
      </c>
      <c r="F76" s="201">
        <f t="shared" si="35"/>
        <v>-56992.053609235896</v>
      </c>
      <c r="G76" s="202">
        <f t="shared" si="35"/>
        <v>-123527.25999999914</v>
      </c>
      <c r="H76" s="203">
        <f t="shared" si="36"/>
        <v>-3.0841568809184667</v>
      </c>
      <c r="I76" s="204">
        <f t="shared" si="37"/>
        <v>-1.4530194845142337</v>
      </c>
      <c r="J76" s="1221"/>
      <c r="K76" s="1"/>
      <c r="L76" s="1"/>
      <c r="M76" s="1"/>
      <c r="N76" s="1"/>
      <c r="O76" s="1"/>
      <c r="P76" s="1"/>
      <c r="Q76" s="1"/>
      <c r="R76" s="1"/>
      <c r="S76" s="1"/>
      <c r="T76" s="1"/>
      <c r="U76" s="1"/>
      <c r="V76" s="1"/>
      <c r="W76" s="1"/>
    </row>
    <row r="77" spans="1:23" ht="15.75" customHeight="1">
      <c r="A77" s="3"/>
      <c r="B77" s="183" t="s">
        <v>335</v>
      </c>
      <c r="C77" s="228">
        <f>+C76/Print_Mois!$AF$406</f>
        <v>-1.0440408552699405E-2</v>
      </c>
      <c r="D77" s="228">
        <f>+D76/Print_Mois!$Z$406</f>
        <v>5.0900045019417646E-3</v>
      </c>
      <c r="E77" s="228">
        <f>+E76/Print_Mois!$AL$406</f>
        <v>8.8424347551669981E-3</v>
      </c>
      <c r="F77" s="229">
        <f t="shared" si="35"/>
        <v>-1.553041305464117E-2</v>
      </c>
      <c r="G77" s="230">
        <f t="shared" si="35"/>
        <v>-1.9282843307866403E-2</v>
      </c>
      <c r="H77" s="187">
        <f t="shared" si="36"/>
        <v>-3.0511590016701433</v>
      </c>
      <c r="I77" s="188">
        <f t="shared" si="37"/>
        <v>-2.1807164928866052</v>
      </c>
      <c r="J77" s="122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3424</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27850</v>
      </c>
      <c r="D80" s="1009">
        <v>8.9999999999999993E-3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-23459.259999999915</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-20450</v>
      </c>
      <c r="D83" s="1009">
        <v>-6.0000000000000001E-3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-18063.079999999922</v>
      </c>
      <c r="D84" s="115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Décembre 2024</v>
      </c>
      <c r="D86" s="977" t="s">
        <v>3317</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Décembre 2024</v>
      </c>
      <c r="C87" s="974">
        <f>+C76</f>
        <v>-38513.079999999922</v>
      </c>
      <c r="D87" s="965">
        <f>+Print_AAD!AF498</f>
        <v>1029772.3300000008</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Décembre 2024</v>
      </c>
      <c r="C88" s="975">
        <f>+D76</f>
        <v>18478.973609235978</v>
      </c>
      <c r="D88" s="966">
        <f>+Print_AAD!Z498</f>
        <v>2241342.6559872241</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Décembre 2023</v>
      </c>
      <c r="C89" s="978">
        <f>+E76</f>
        <v>85014.179999999222</v>
      </c>
      <c r="D89" s="968">
        <f>+Print_AAD!AL498</f>
        <v>1782472.7499999921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R440" zoomScale="70" zoomScaleNormal="70" workbookViewId="0">
      <selection activeCell="Y488" sqref="Y488"/>
    </sheetView>
  </sheetViews>
  <sheetFormatPr baseColWidth="10" defaultColWidth="12.625" defaultRowHeight="15" customHeight="1"/>
  <cols>
    <col min="1" max="1" width="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Décembre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5" t="s">
        <v>343</v>
      </c>
      <c r="E3" s="1226"/>
      <c r="F3" s="1227"/>
      <c r="G3" s="1230"/>
      <c r="H3" s="1226"/>
      <c r="I3" s="1227"/>
      <c r="J3" s="1230" t="s">
        <v>344</v>
      </c>
      <c r="K3" s="1226"/>
      <c r="L3" s="1227"/>
      <c r="M3" s="1230" t="s">
        <v>3310</v>
      </c>
      <c r="N3" s="1227"/>
      <c r="O3" s="1225" t="s">
        <v>345</v>
      </c>
      <c r="P3" s="1226"/>
      <c r="Q3" s="1227"/>
      <c r="R3" s="1228" t="s">
        <v>3312</v>
      </c>
      <c r="S3" s="1229"/>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1621482.1660572723</v>
      </c>
      <c r="G5" s="247"/>
      <c r="H5" s="247"/>
      <c r="I5" s="249"/>
      <c r="J5" s="246"/>
      <c r="K5" s="250"/>
      <c r="L5" s="248">
        <f>-SUMIFS(BV_Data_An_Cour!$O:$O,BV_Data_An_Cour!$X:$X,"Oui",BV_Data_An_Cour!$U:$U,$B5)</f>
        <v>2168000.09</v>
      </c>
      <c r="M5" s="251"/>
      <c r="N5" s="252"/>
      <c r="O5" s="246"/>
      <c r="P5" s="250"/>
      <c r="Q5" s="248">
        <f t="array" ref="Q5">+INDEX('Réel 2023'!$A$2:$AO$501,MATCH($A5,'Réel 2023'!$A$2:$A$501,0),MATCH(Q$2,'Réel 2023'!$A$2:$AO$2,0))</f>
        <v>8099296.1699999999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6</v>
      </c>
      <c r="E6" s="254">
        <f>IF(D6=0,0,F6/D6)</f>
        <v>2198.1219285498491</v>
      </c>
      <c r="F6" s="254">
        <f>+INDEX('Budget original'!$A$2:$AO$501,MATCH($A6,'Budget original'!$A$2:$A$501,0),MATCH(F$2,'Budget original'!$A$2:$AO$2,0))</f>
        <v>13188.731571299095</v>
      </c>
      <c r="G6" s="255"/>
      <c r="H6" s="254"/>
      <c r="I6" s="254"/>
      <c r="J6" s="255">
        <f>-SUMIFS(BV_Data_An_Cour!$O:$O,BV_Data_An_Cour!$U:$U,$B6,BV_Data_An_Cour!$V:$V,$C6,BV_Data_An_Cour!$W:$W,J$2)</f>
        <v>6</v>
      </c>
      <c r="K6" s="254">
        <f t="shared" ref="K6:K12" si="0">IF(J6=0,0,L6/J6)</f>
        <v>1532.1433333333323</v>
      </c>
      <c r="L6" s="256">
        <f>-SUMIFS(BV_Data_An_Cour!$O:$O,BV_Data_An_Cour!$U:$U,$B6,BV_Data_An_Cour!$V:$V,$C6,BV_Data_An_Cour!$W:$W,L$2)</f>
        <v>9192.8599999999933</v>
      </c>
      <c r="M6" s="255">
        <f t="shared" ref="M6:M12" si="1">J6-D6</f>
        <v>0</v>
      </c>
      <c r="N6" s="256">
        <f t="shared" ref="N6:N12" si="2">L6-F6</f>
        <v>-3995.8715712991016</v>
      </c>
      <c r="O6" s="255">
        <f>+INDEX('Réel 2023'!$A$2:$AO$501,MATCH($A6,'Réel 2023'!$A$2:$A$501,0),MATCH(O$2,'Réel 2023'!$A$2:$AO$2,0))</f>
        <v>12</v>
      </c>
      <c r="P6" s="254">
        <f t="shared" ref="P6:P12" si="3">IF(O6=0,0,Q6/O6)</f>
        <v>1911.4758333333332</v>
      </c>
      <c r="Q6" s="256">
        <f t="array" ref="Q6">+INDEX('Réel 2023'!$A$2:$AO$501,MATCH($A6,'Réel 2023'!$A$2:$A$501,0),MATCH(Q$2,'Réel 2023'!$A$2:$AO$2,0))</f>
        <v>22937.71</v>
      </c>
      <c r="R6" s="255">
        <f t="shared" ref="R6:R12" si="4">J6-O6</f>
        <v>-6</v>
      </c>
      <c r="S6" s="256">
        <f t="shared" ref="S6:S12" si="5">L6-Q6</f>
        <v>-13744.850000000006</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25</v>
      </c>
      <c r="E7" s="254">
        <f t="shared" ref="E7:E12" si="6">IF(D7=0,0,F7/D7)</f>
        <v>2850.2586963355784</v>
      </c>
      <c r="F7" s="254">
        <f>+INDEX('Budget original'!$A$2:$AO$501,MATCH($A7,'Budget original'!$A$2:$A$501,0),MATCH(F$2,'Budget original'!$A$2:$AO$2,0))</f>
        <v>71256.467408389464</v>
      </c>
      <c r="G7" s="255"/>
      <c r="H7" s="254"/>
      <c r="I7" s="254"/>
      <c r="J7" s="255">
        <f>-SUMIFS(BV_Data_An_Cour!$O:$O,BV_Data_An_Cour!$U:$U,$B7,BV_Data_An_Cour!$V:$V,$C7,BV_Data_An_Cour!$W:$W,J$2)</f>
        <v>24</v>
      </c>
      <c r="K7" s="254">
        <f t="shared" si="0"/>
        <v>1904.4016666666673</v>
      </c>
      <c r="L7" s="256">
        <f>-SUMIFS(BV_Data_An_Cour!$O:$O,BV_Data_An_Cour!$U:$U,$B7,BV_Data_An_Cour!$V:$V,$C7,BV_Data_An_Cour!$W:$W,L$2)</f>
        <v>45705.640000000014</v>
      </c>
      <c r="M7" s="255">
        <f t="shared" si="1"/>
        <v>-1</v>
      </c>
      <c r="N7" s="256">
        <f t="shared" si="2"/>
        <v>-25550.82740838945</v>
      </c>
      <c r="O7" s="255">
        <f t="array" ref="O7">+INDEX('Réel 2023'!$A$2:$AO$501,MATCH($A7,'Réel 2023'!$A$2:$A$501,0),MATCH(O$2,'Réel 2023'!$A$2:$AO$2,0))</f>
        <v>39</v>
      </c>
      <c r="P7" s="254">
        <f t="shared" si="3"/>
        <v>2432.7964102564051</v>
      </c>
      <c r="Q7" s="256">
        <f t="array" ref="Q7">+INDEX('Réel 2023'!$A$2:$AO$501,MATCH($A7,'Réel 2023'!$A$2:$A$501,0),MATCH(Q$2,'Réel 2023'!$A$2:$AO$2,0))</f>
        <v>94879.059999999794</v>
      </c>
      <c r="R7" s="255">
        <f t="shared" si="4"/>
        <v>-15</v>
      </c>
      <c r="S7" s="256">
        <f t="shared" si="5"/>
        <v>-49173.41999999978</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31</v>
      </c>
      <c r="E13" s="260">
        <f>IF(D13&lt;=0,0,F13/D13)</f>
        <v>2724.0386767641471</v>
      </c>
      <c r="F13" s="261">
        <f>+SUM(F6:F12)</f>
        <v>84445.198979688561</v>
      </c>
      <c r="G13" s="262"/>
      <c r="H13" s="260"/>
      <c r="I13" s="261"/>
      <c r="J13" s="262">
        <f t="shared" ref="J13" si="7">+SUM(J6:J12)</f>
        <v>30</v>
      </c>
      <c r="K13" s="260">
        <f>IF(J13&lt;=0,0,L13/J13)</f>
        <v>1829.9500000000003</v>
      </c>
      <c r="L13" s="261">
        <f t="shared" ref="L13" si="8">+SUM(L6:L12)</f>
        <v>54898.500000000007</v>
      </c>
      <c r="M13" s="262">
        <f>+SUM(M6:M12)</f>
        <v>-1</v>
      </c>
      <c r="N13" s="261">
        <f t="shared" ref="N13" si="9">+SUM(N6:N12)</f>
        <v>-29546.698979688554</v>
      </c>
      <c r="O13" s="262">
        <f>+SUM(O6:O12)</f>
        <v>51</v>
      </c>
      <c r="P13" s="260">
        <f>IF(O13&lt;=0,0,Q13/O13)</f>
        <v>2310.1327450980352</v>
      </c>
      <c r="Q13" s="261">
        <f t="shared" ref="Q13" si="10">+SUM(Q6:Q12)</f>
        <v>117816.76999999979</v>
      </c>
      <c r="R13" s="262">
        <f t="shared" ref="R13:S13" si="11">+SUM(R6:R12)</f>
        <v>-21</v>
      </c>
      <c r="S13" s="261">
        <f t="shared" si="11"/>
        <v>-62918.269999999786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-3.2258064516129031E-2</v>
      </c>
      <c r="N14" s="980">
        <f>IF(F13=0,0,N13/F13)</f>
        <v>-0.34989199311135927</v>
      </c>
      <c r="O14" s="253"/>
      <c r="P14" s="254"/>
      <c r="Q14" s="263"/>
      <c r="R14" s="979">
        <f>R13/O13</f>
        <v>-0.41176470588235292</v>
      </c>
      <c r="S14" s="980">
        <f>IF(Q13=0,0,(S13/Q13))</f>
        <v>-0.53403492558826637</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2.4500000000000002</v>
      </c>
      <c r="E15" s="250">
        <f>IF(D15=0,0,F15/D15)</f>
        <v>2535.1215876200376</v>
      </c>
      <c r="F15" s="248">
        <f>+INDEX('Budget original'!$A$2:$AO$501,MATCH($A15,'Budget original'!$A$2:$A$501,0),MATCH(F$2,'Budget original'!$A$2:$AO$2,0))</f>
        <v>6211.0478896690929</v>
      </c>
      <c r="G15" s="267"/>
      <c r="H15" s="250"/>
      <c r="I15" s="248"/>
      <c r="J15" s="268">
        <f>-SUMIFS(BV_Data_An_Cour!$O:$O,BV_Data_An_Cour!$U:$U,$B15,BV_Data_An_Cour!$V:$V,$C15,BV_Data_An_Cour!$W:$W,J$2)</f>
        <v>4</v>
      </c>
      <c r="K15" s="269">
        <f>IF(J15=0,0,L15/J15)</f>
        <v>2295.8824999999997</v>
      </c>
      <c r="L15" s="269">
        <f>-SUMIFS(BV_Data_An_Cour!$O:$O,BV_Data_An_Cour!$U:$U,$B15,BV_Data_An_Cour!$V:$V,$C15,BV_Data_An_Cour!$W:$W,L$2)</f>
        <v>9183.5299999999988</v>
      </c>
      <c r="M15" s="267">
        <f>J15-D15</f>
        <v>1.5499999999999998</v>
      </c>
      <c r="N15" s="248">
        <f>L15-F15</f>
        <v>2972.4821103309059</v>
      </c>
      <c r="O15" s="268">
        <f t="array" ref="O15">+INDEX('Réel 2023'!$A$2:$AO$501,MATCH($A15,'Réel 2023'!$A$2:$A$501,0),MATCH(O$2,'Réel 2023'!$A$2:$AO$2,0))</f>
        <v>1</v>
      </c>
      <c r="P15" s="269">
        <f>IF(O15=0,0,Q15/O15)</f>
        <v>1170.99</v>
      </c>
      <c r="Q15" s="269">
        <f t="array" ref="Q15">+INDEX('Réel 2023'!$A$2:$AO$501,MATCH($A15,'Réel 2023'!$A$2:$A$501,0),MATCH(Q$2,'Réel 2023'!$A$2:$AO$2,0))</f>
        <v>1170.99</v>
      </c>
      <c r="R15" s="267">
        <f>J15-O15</f>
        <v>3</v>
      </c>
      <c r="S15" s="248">
        <f>L15-Q15</f>
        <v>8012.5399999999991</v>
      </c>
      <c r="T15" s="41"/>
      <c r="U15" s="1162"/>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2.25</v>
      </c>
      <c r="E17" s="254">
        <f>IF(D17=0,0,F17/D17)</f>
        <v>2664.4640678584237</v>
      </c>
      <c r="F17" s="254">
        <f>+INDEX('Budget original'!$A$2:$AO$501,MATCH($A17,'Budget original'!$A$2:$A$501,0),MATCH(F$2,'Budget original'!$A$2:$AO$2,0))</f>
        <v>5995.0441526814539</v>
      </c>
      <c r="G17" s="255"/>
      <c r="H17" s="254"/>
      <c r="I17" s="254"/>
      <c r="J17" s="267">
        <f>-SUMIFS(BV_Data_An_Cour!$O:$O,BV_Data_An_Cour!$U:$U,$B17,BV_Data_An_Cour!$V:$V,$C17,BV_Data_An_Cour!$W:$W,J$2)</f>
        <v>6</v>
      </c>
      <c r="K17" s="254">
        <f>IF(J17=0,0,L17/J17)</f>
        <v>1073.9650000000013</v>
      </c>
      <c r="L17" s="256">
        <f>-SUMIFS(BV_Data_An_Cour!$O:$O,BV_Data_An_Cour!$U:$U,$B17,BV_Data_An_Cour!$V:$V,$C17,BV_Data_An_Cour!$W:$W,L$2)</f>
        <v>6443.7900000000081</v>
      </c>
      <c r="M17" s="267">
        <f>J17-D17</f>
        <v>3.75</v>
      </c>
      <c r="N17" s="256">
        <f>L17-F17</f>
        <v>448.7458473185543</v>
      </c>
      <c r="O17" s="267">
        <f t="array" ref="O17">+INDEX('Réel 2023'!$A$2:$AO$501,MATCH($A17,'Réel 2023'!$A$2:$A$501,0),MATCH(O$2,'Réel 2023'!$A$2:$AO$2,0))</f>
        <v>0</v>
      </c>
      <c r="P17" s="254">
        <f>IF(O17=0,0,Q17/O17)</f>
        <v>0</v>
      </c>
      <c r="Q17" s="256">
        <f t="array" ref="Q17">+INDEX('Réel 2023'!$A$2:$AO$501,MATCH($A17,'Réel 2023'!$A$2:$A$501,0),MATCH(Q$2,'Réel 2023'!$A$2:$AO$2,0))</f>
        <v>-722.15</v>
      </c>
      <c r="R17" s="255">
        <f>J17-O17</f>
        <v>6</v>
      </c>
      <c r="S17" s="256">
        <f>L17-Q17</f>
        <v>7165.9400000000078</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4250</v>
      </c>
      <c r="G19" s="255"/>
      <c r="H19" s="254"/>
      <c r="I19" s="254"/>
      <c r="J19" s="267"/>
      <c r="K19" s="254"/>
      <c r="L19" s="256">
        <f>-SUMIFS(BV_Data_An_Cour!$O:$O,BV_Data_An_Cour!$U:$U,$B19,BV_Data_An_Cour!$V:$V,$C19,BV_Data_An_Cour!$W:$W,L$2)</f>
        <v>5949</v>
      </c>
      <c r="M19" s="255"/>
      <c r="N19" s="256">
        <f>L19-F19</f>
        <v>1699</v>
      </c>
      <c r="O19" s="267"/>
      <c r="P19" s="254"/>
      <c r="Q19" s="256">
        <f t="array" ref="Q19">+INDEX('Réel 2023'!$A$2:$AO$501,MATCH($A19,'Réel 2023'!$A$2:$A$501,0),MATCH(Q$2,'Réel 2023'!$A$2:$AO$2,0))</f>
        <v>5419.6399999999803</v>
      </c>
      <c r="R19" s="255">
        <f>O19-K19</f>
        <v>0</v>
      </c>
      <c r="S19" s="256">
        <f>L19-Q19</f>
        <v>529.36000000001968</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6690.0000000000009</v>
      </c>
      <c r="G21" s="255"/>
      <c r="H21" s="254"/>
      <c r="I21" s="254"/>
      <c r="J21" s="255"/>
      <c r="K21" s="254">
        <f>IF(J13=0,0,L21/(J13+J15))</f>
        <v>37.907058823529411</v>
      </c>
      <c r="L21" s="256">
        <f>-SUMIFS(BV_Data_An_Cour!$O:$O,BV_Data_An_Cour!$U:$U,$B21,BV_Data_An_Cour!$V:$V,$C21,BV_Data_An_Cour!$W:$W,L$2)</f>
        <v>1288.8399999999999</v>
      </c>
      <c r="M21" s="255"/>
      <c r="N21" s="256">
        <f>L21-F21</f>
        <v>-5401.1600000000008</v>
      </c>
      <c r="O21" s="255"/>
      <c r="P21" s="254"/>
      <c r="Q21" s="256">
        <f t="array" ref="Q21">+INDEX('Réel 2023'!$A$2:$AO$501,MATCH($A21,'Réel 2023'!$A$2:$A$501,0),MATCH(Q$2,'Réel 2023'!$A$2:$AO$2,0))</f>
        <v>3518.68</v>
      </c>
      <c r="R21" s="255">
        <f t="shared" ref="R21:R23" si="12">O21-K21</f>
        <v>-37.907058823529411</v>
      </c>
      <c r="S21" s="256">
        <f t="shared" ref="S21:S24" si="13">L21-Q21</f>
        <v>-2229.84</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36126</v>
      </c>
      <c r="G22" s="255"/>
      <c r="H22" s="254"/>
      <c r="I22" s="254"/>
      <c r="J22" s="255"/>
      <c r="K22" s="254">
        <f>IF(J13=0,0,L22/(J13+J15))</f>
        <v>1309.9511764705881</v>
      </c>
      <c r="L22" s="256">
        <f>-SUMIFS(BV_Data_An_Cour!$O:$O,BV_Data_An_Cour!$U:$U,$B22,BV_Data_An_Cour!$V:$V,$C22,BV_Data_An_Cour!$W:$W,L$2)</f>
        <v>44538.34</v>
      </c>
      <c r="M22" s="255"/>
      <c r="N22" s="256">
        <f>L22-F22</f>
        <v>8412.3399999999965</v>
      </c>
      <c r="O22" s="255"/>
      <c r="P22" s="254"/>
      <c r="Q22" s="256">
        <f t="array" ref="Q22">+INDEX('Réel 2023'!$A$2:$AO$501,MATCH($A22,'Réel 2023'!$A$2:$A$501,0),MATCH(Q$2,'Réel 2023'!$A$2:$AO$2,0))</f>
        <v>53594.75</v>
      </c>
      <c r="R22" s="255">
        <f t="shared" si="12"/>
        <v>-1309.9511764705881</v>
      </c>
      <c r="S22" s="256">
        <f t="shared" si="13"/>
        <v>-9056.4100000000035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669</v>
      </c>
      <c r="G23" s="255"/>
      <c r="H23" s="254"/>
      <c r="I23" s="254"/>
      <c r="J23" s="255"/>
      <c r="K23" s="254">
        <f>IF(J13=0,0,L23/(J13+J15))</f>
        <v>0</v>
      </c>
      <c r="L23" s="256">
        <f>-SUMIFS(BV_Data_An_Cour!$O:$O,BV_Data_An_Cour!$U:$U,$B23,BV_Data_An_Cour!$V:$V,$C23,BV_Data_An_Cour!$W:$W,L$2)</f>
        <v>0</v>
      </c>
      <c r="M23" s="267"/>
      <c r="N23" s="256">
        <f>L23-F23</f>
        <v>-669</v>
      </c>
      <c r="O23" s="255"/>
      <c r="P23" s="254"/>
      <c r="Q23" s="256">
        <f t="array" ref="Q23">+INDEX('Réel 2023'!$A$2:$AO$501,MATCH($A23,'Réel 2023'!$A$2:$A$501,0),MATCH(Q$2,'Réel 2023'!$A$2:$AO$2,0))</f>
        <v>2460.25</v>
      </c>
      <c r="R23" s="255">
        <f t="shared" si="12"/>
        <v>0</v>
      </c>
      <c r="S23" s="256">
        <f t="shared" si="13"/>
        <v>-2460.25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33.450000000000003</v>
      </c>
      <c r="E24" s="260">
        <f>IF(D24&lt;=0,0,F24/D24)</f>
        <v>1300</v>
      </c>
      <c r="F24" s="261">
        <f>F21+F22+F23</f>
        <v>43485</v>
      </c>
      <c r="G24" s="262"/>
      <c r="H24" s="260"/>
      <c r="I24" s="261"/>
      <c r="J24" s="262">
        <f>+J15+J13</f>
        <v>34</v>
      </c>
      <c r="K24" s="260">
        <f>IF(J24&lt;=0,0,L24/J24)</f>
        <v>1347.8582352941175</v>
      </c>
      <c r="L24" s="261">
        <f>L21+L22+L23</f>
        <v>45827.179999999993</v>
      </c>
      <c r="M24" s="275">
        <f>J24-D24</f>
        <v>0.54999999999999716</v>
      </c>
      <c r="N24" s="261">
        <f>L24-F24</f>
        <v>2342.179999999993</v>
      </c>
      <c r="O24" s="262">
        <f>+O15+O13</f>
        <v>52</v>
      </c>
      <c r="P24" s="260">
        <f>IF(O24&lt;=0,0,Q24/O24)</f>
        <v>1145.6476923076923</v>
      </c>
      <c r="Q24" s="261">
        <f>Q21+Q22+Q23</f>
        <v>59573.68</v>
      </c>
      <c r="R24" s="273"/>
      <c r="S24" s="261">
        <f t="shared" si="13"/>
        <v>-13746.500000000007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5.3861791422329379E-2</v>
      </c>
      <c r="O25" s="253"/>
      <c r="P25" s="41"/>
      <c r="Q25" s="276"/>
      <c r="R25" s="277"/>
      <c r="S25" s="265">
        <f>IF(Q24=0,0,(S24/Q24))</f>
        <v>-0.23074787389330334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35.700000000000003</v>
      </c>
      <c r="E27" s="280">
        <f>IF(D27&lt;=0,0,F27/D27)</f>
        <v>4044.4339221859691</v>
      </c>
      <c r="F27" s="281">
        <f>F13+F17+F24+F19+F15</f>
        <v>144386.29102203911</v>
      </c>
      <c r="G27" s="282"/>
      <c r="H27" s="280"/>
      <c r="I27" s="281"/>
      <c r="J27" s="282">
        <f>+J13+J15+J17</f>
        <v>40</v>
      </c>
      <c r="K27" s="280">
        <f>IF(J27&lt;=0,0,L27/J27)</f>
        <v>3057.55</v>
      </c>
      <c r="L27" s="281">
        <f>L13+L17+L24+L19+L15</f>
        <v>122302</v>
      </c>
      <c r="M27" s="282">
        <f>J27-D27</f>
        <v>4.2999999999999972</v>
      </c>
      <c r="N27" s="281">
        <f>L27-F27</f>
        <v>-22084.291022039106</v>
      </c>
      <c r="O27" s="282">
        <f>+O13+O15+O17</f>
        <v>52</v>
      </c>
      <c r="P27" s="280">
        <f>IF(O27&lt;=0,0,Q27/O27)</f>
        <v>3524.2101923076875</v>
      </c>
      <c r="Q27" s="281">
        <f>Q13+Q17+Q24+Q19+Q15</f>
        <v>183258.92999999976</v>
      </c>
      <c r="R27" s="282">
        <f>J27-O27</f>
        <v>-12</v>
      </c>
      <c r="S27" s="281">
        <f>L27-Q27</f>
        <v>-60956.92999999976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5"/>
      <c r="L28" s="950">
        <f>L27/F27</f>
        <v>0.84704717556136844</v>
      </c>
      <c r="M28" s="286">
        <f>M27/D27</f>
        <v>0.12044817927170859</v>
      </c>
      <c r="N28" s="287">
        <f>N27/F27</f>
        <v>-0.15295282443863151</v>
      </c>
      <c r="O28" s="283"/>
      <c r="P28" s="284"/>
      <c r="Q28" s="285"/>
      <c r="R28" s="286">
        <f>R27/O27</f>
        <v>-0.23076923076923078</v>
      </c>
      <c r="S28" s="287">
        <f>IF(Q27=0,0,S27/Q27)</f>
        <v>-0.33262733772373243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921.46857804429294</v>
      </c>
      <c r="F31" s="254">
        <f>+INDEX('Budget original'!$A$2:$AO$501,MATCH($A31,'Budget original'!$A$2:$A$501,0),MATCH(F$2,'Budget original'!$A$2:$AO$2,0))</f>
        <v>30823.123935581603</v>
      </c>
      <c r="G31" s="292"/>
      <c r="H31" s="291"/>
      <c r="I31" s="254"/>
      <c r="J31" s="292">
        <f>L31/(L15+L13+L17)</f>
        <v>0.33063295116597008</v>
      </c>
      <c r="K31" s="291">
        <f t="shared" ref="K31:K40" si="15">IF(L31=0,0,L31/J$24)</f>
        <v>685.82823529411769</v>
      </c>
      <c r="L31" s="254">
        <f>SUMIFS(BV_Data_An_Cour!$O:$O,BV_Data_An_Cour!$U:$U,$B31,BV_Data_An_Cour!$V:$V,$C31,BV_Data_An_Cour!$W:$W,L$2)</f>
        <v>23318.16</v>
      </c>
      <c r="M31" s="253"/>
      <c r="N31" s="276">
        <f t="shared" ref="N31:N53" si="16">L31-F31</f>
        <v>-7504.9639355816034</v>
      </c>
      <c r="O31" s="1146">
        <f>Q31/(Q13+Q15+Q17)</f>
        <v>0.28756677448330126</v>
      </c>
      <c r="P31" s="291">
        <f t="shared" ref="P31:P40" si="17">Q31/O$24</f>
        <v>654.02423076923083</v>
      </c>
      <c r="Q31" s="256">
        <f t="array" ref="Q31">+INDEX('Réel 2023'!$A$2:$AO$501,MATCH($A31,'Réel 2023'!$A$2:$A$501,0),MATCH(Q$2,'Réel 2023'!$A$2:$AO$2,0))</f>
        <v>34009.26</v>
      </c>
      <c r="R31" s="253"/>
      <c r="S31" s="276">
        <f t="shared" ref="S31:S53" si="18">L31-Q31</f>
        <v>-10691.100000000002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389.99999999999994</v>
      </c>
      <c r="F32" s="248">
        <f>+INDEX('Budget original'!$A$2:$AO$501,MATCH($A32,'Budget original'!$A$2:$A$501,0),MATCH(F$2,'Budget original'!$A$2:$AO$2,0))</f>
        <v>13045.5</v>
      </c>
      <c r="G32" s="295"/>
      <c r="H32" s="294"/>
      <c r="I32" s="248"/>
      <c r="J32" s="295">
        <f>L32/L24</f>
        <v>0.30000885937122906</v>
      </c>
      <c r="K32" s="294">
        <f t="shared" si="15"/>
        <v>404.36941176470589</v>
      </c>
      <c r="L32" s="248">
        <f>SUMIFS(BV_Data_An_Cour!$O:$O,BV_Data_An_Cour!$U:$U,$B32,BV_Data_An_Cour!$V:$V,$C32,BV_Data_An_Cour!$W:$W,L$2)</f>
        <v>13748.56</v>
      </c>
      <c r="M32" s="246"/>
      <c r="N32" s="296">
        <f t="shared" si="16"/>
        <v>703.05999999999949</v>
      </c>
      <c r="O32" s="1147">
        <f>Q32/Q24</f>
        <v>0.29983895572675717</v>
      </c>
      <c r="P32" s="294">
        <f t="shared" si="17"/>
        <v>343.50980769230767</v>
      </c>
      <c r="Q32" s="248">
        <f t="array" ref="Q32">+INDEX('Réel 2023'!$A$2:$AO$501,MATCH($A32,'Réel 2023'!$A$2:$A$501,0),MATCH(Q$2,'Réel 2023'!$A$2:$AO$2,0))</f>
        <v>17862.509999999998</v>
      </c>
      <c r="R32" s="246"/>
      <c r="S32" s="296">
        <f t="shared" si="18"/>
        <v>-4113.9499999999989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3846.7500000000005</v>
      </c>
      <c r="G33" s="298"/>
      <c r="H33" s="291"/>
      <c r="I33" s="254"/>
      <c r="J33" s="253"/>
      <c r="K33" s="291">
        <f t="shared" si="15"/>
        <v>76.159117647058821</v>
      </c>
      <c r="L33" s="254">
        <f>SUMIFS(BV_Data_An_Cour!$O:$O,BV_Data_An_Cour!$U:$U,$B33,BV_Data_An_Cour!$V:$V,$C33,BV_Data_An_Cour!$W:$W,L$2)</f>
        <v>2589.41</v>
      </c>
      <c r="M33" s="253"/>
      <c r="N33" s="276">
        <f t="shared" si="16"/>
        <v>-1257.3400000000006</v>
      </c>
      <c r="O33" s="253"/>
      <c r="P33" s="291">
        <f t="shared" si="17"/>
        <v>190.04019230769231</v>
      </c>
      <c r="Q33" s="256">
        <f t="array" ref="Q33">+INDEX('Réel 2023'!$A$2:$AO$501,MATCH($A33,'Réel 2023'!$A$2:$A$501,0),MATCH(Q$2,'Réel 2023'!$A$2:$AO$2,0))</f>
        <v>9882.09</v>
      </c>
      <c r="R33" s="253"/>
      <c r="S33" s="276">
        <f t="shared" si="18"/>
        <v>-7292.68</v>
      </c>
      <c r="T33" s="41"/>
      <c r="U33" s="1205"/>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100.35000000000001</v>
      </c>
      <c r="G34" s="298"/>
      <c r="H34" s="291"/>
      <c r="I34" s="254"/>
      <c r="J34" s="253"/>
      <c r="K34" s="291">
        <f t="shared" si="15"/>
        <v>26.280588235294118</v>
      </c>
      <c r="L34" s="254">
        <f>SUMIFS(BV_Data_An_Cour!$O:$O,BV_Data_An_Cour!$U:$U,$B34,BV_Data_An_Cour!$V:$V,$C34,BV_Data_An_Cour!$W:$W,L$2)</f>
        <v>893.54</v>
      </c>
      <c r="M34" s="253"/>
      <c r="N34" s="276">
        <f t="shared" si="16"/>
        <v>793.18999999999994</v>
      </c>
      <c r="O34" s="253"/>
      <c r="P34" s="291">
        <f t="shared" si="17"/>
        <v>28.626923076923074</v>
      </c>
      <c r="Q34" s="256">
        <f t="array" ref="Q34">+INDEX('Réel 2023'!$A$2:$AO$501,MATCH($A34,'Réel 2023'!$A$2:$A$501,0),MATCH(Q$2,'Réel 2023'!$A$2:$AO$2,0))</f>
        <v>1488.6</v>
      </c>
      <c r="R34" s="253"/>
      <c r="S34" s="276">
        <f t="shared" si="18"/>
        <v>-595.05999999999995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2844.9225000000001</v>
      </c>
      <c r="G35" s="300"/>
      <c r="H35" s="294"/>
      <c r="I35" s="248"/>
      <c r="J35" s="246"/>
      <c r="K35" s="294">
        <f t="shared" si="15"/>
        <v>99.538529411764699</v>
      </c>
      <c r="L35" s="248">
        <f>SUMIFS(BV_Data_An_Cour!$O:$O,BV_Data_An_Cour!$U:$U,$B35,BV_Data_An_Cour!$V:$V,$C35,BV_Data_An_Cour!$W:$W,L$2)</f>
        <v>3384.31</v>
      </c>
      <c r="M35" s="246"/>
      <c r="N35" s="296">
        <f t="shared" si="16"/>
        <v>539.38749999999982</v>
      </c>
      <c r="O35" s="246"/>
      <c r="P35" s="294">
        <f t="shared" si="17"/>
        <v>73.23557692307692</v>
      </c>
      <c r="Q35" s="256">
        <f t="array" ref="Q35">+INDEX('Réel 2023'!$A$2:$AO$501,MATCH($A35,'Réel 2023'!$A$2:$A$501,0),MATCH(Q$2,'Réel 2023'!$A$2:$AO$2,0))</f>
        <v>3808.25</v>
      </c>
      <c r="R35" s="246"/>
      <c r="S35" s="296">
        <f t="shared" si="18"/>
        <v>-423.94000000000005</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191.06128550074737</v>
      </c>
      <c r="F36" s="254">
        <f>+INDEX('Budget original'!$A$2:$AO$501,MATCH($A36,'Budget original'!$A$2:$A$501,0),MATCH(F$2,'Budget original'!$A$2:$AO$2,0))</f>
        <v>6391</v>
      </c>
      <c r="G36" s="298"/>
      <c r="H36" s="291"/>
      <c r="I36" s="254"/>
      <c r="J36" s="253"/>
      <c r="K36" s="291">
        <f t="shared" si="15"/>
        <v>316.01029411764699</v>
      </c>
      <c r="L36" s="301">
        <f>SUMIFS(BV_Data_An_Cour!$O:$O,BV_Data_An_Cour!$U:$U,$B36,BV_Data_An_Cour!$V:$V,$C36,BV_Data_An_Cour!$W:$W,L$2)</f>
        <v>10744.349999999999</v>
      </c>
      <c r="M36" s="41"/>
      <c r="N36" s="276">
        <f t="shared" si="16"/>
        <v>4353.3499999999985</v>
      </c>
      <c r="O36" s="253"/>
      <c r="P36" s="291">
        <f t="shared" si="17"/>
        <v>146.97711538461519</v>
      </c>
      <c r="Q36" s="272">
        <f t="array" ref="Q36">+INDEX('Réel 2023'!$A$2:$AO$501,MATCH($A36,'Réel 2023'!$A$2:$A$501,0),MATCH(Q$2,'Réel 2023'!$A$2:$AO$2,0))</f>
        <v>7642.8099999999904</v>
      </c>
      <c r="R36" s="253"/>
      <c r="S36" s="276">
        <f t="shared" si="18"/>
        <v>3101.5400000000081</v>
      </c>
      <c r="T36" s="41"/>
      <c r="U36" s="1196"/>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363.30354923542609</v>
      </c>
      <c r="F37" s="254">
        <f>+INDEX('Budget original'!$A$2:$AO$501,MATCH($A37,'Budget original'!$A$2:$A$501,0),MATCH(F$2,'Budget original'!$A$2:$AO$2,0))</f>
        <v>12152.503721925004</v>
      </c>
      <c r="G37" s="298"/>
      <c r="H37" s="291"/>
      <c r="I37" s="254"/>
      <c r="J37" s="253"/>
      <c r="K37" s="291">
        <f t="shared" si="15"/>
        <v>-106.62588235294118</v>
      </c>
      <c r="L37" s="951">
        <f>SUMIFS(BV_Data_An_Cour!$O:$O,BV_Data_An_Cour!$U:$U,$B37,BV_Data_An_Cour!$V:$V,$C37,BV_Data_An_Cour!$W:$W,L$2)</f>
        <v>-3625.28</v>
      </c>
      <c r="M37" s="41"/>
      <c r="N37" s="961">
        <f t="shared" si="16"/>
        <v>-15777.783721925005</v>
      </c>
      <c r="O37" s="253"/>
      <c r="P37" s="291">
        <f t="shared" si="17"/>
        <v>331.31557692307695</v>
      </c>
      <c r="Q37" s="256">
        <f t="array" ref="Q37">+INDEX('Réel 2023'!$A$2:$AO$501,MATCH($A37,'Réel 2023'!$A$2:$A$501,0),MATCH(Q$2,'Réel 2023'!$A$2:$AO$2,0))</f>
        <v>17228.41</v>
      </c>
      <c r="R37" s="253"/>
      <c r="S37" s="276">
        <f t="shared" si="18"/>
        <v>-20853.689999999999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0.47929862085690178</v>
      </c>
      <c r="F41" s="307">
        <f>SUM(F31:F40)</f>
        <v>69204.150157506607</v>
      </c>
      <c r="G41" s="308"/>
      <c r="H41" s="306"/>
      <c r="I41" s="307"/>
      <c r="J41" s="308" t="s">
        <v>119</v>
      </c>
      <c r="K41" s="306">
        <f>L41/L$27</f>
        <v>0.4174343019738026</v>
      </c>
      <c r="L41" s="307">
        <f>SUM(L31:L40)</f>
        <v>51053.05</v>
      </c>
      <c r="M41" s="309"/>
      <c r="N41" s="307">
        <f t="shared" si="16"/>
        <v>-18151.100157506604</v>
      </c>
      <c r="O41" s="308" t="s">
        <v>119</v>
      </c>
      <c r="P41" s="306">
        <f>Q41/Q$27</f>
        <v>0.50159591131520909</v>
      </c>
      <c r="Q41" s="310">
        <f>SUM(Q31:Q40)</f>
        <v>91921.93</v>
      </c>
      <c r="R41" s="311"/>
      <c r="S41" s="307">
        <f t="shared" si="18"/>
        <v>-40868.87999999999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18197.116666666669</v>
      </c>
      <c r="G42" s="253"/>
      <c r="H42" s="41"/>
      <c r="I42" s="254"/>
      <c r="J42" s="253"/>
      <c r="K42" s="41"/>
      <c r="L42" s="256">
        <f>SUMIFS(BV_Data_An_Cour!$O:$O,BV_Data_An_Cour!$U:$U,$B42,BV_Data_An_Cour!$V:$V,$C42,BV_Data_An_Cour!$W:$W,L$2)</f>
        <v>15924.97</v>
      </c>
      <c r="M42" s="253"/>
      <c r="N42" s="276">
        <f t="shared" si="16"/>
        <v>-2272.1466666666693</v>
      </c>
      <c r="O42" s="253"/>
      <c r="P42" s="1145">
        <f>Q42/Q27</f>
        <v>6.1660242150273471E-2</v>
      </c>
      <c r="Q42" s="256">
        <f t="array" ref="Q42">+INDEX('Réel 2023'!$A$2:$AO$501,MATCH($A42,'Réel 2023'!$A$2:$A$501,0),MATCH(Q$2,'Réel 2023'!$A$2:$AO$2,0))</f>
        <v>11299.79</v>
      </c>
      <c r="R42" s="253"/>
      <c r="S42" s="276">
        <f t="shared" si="18"/>
        <v>4625.1799999999985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11267.511076923076</v>
      </c>
      <c r="G43" s="298"/>
      <c r="H43" s="41"/>
      <c r="I43" s="248"/>
      <c r="J43" s="253"/>
      <c r="K43" s="41"/>
      <c r="L43" s="256">
        <f>SUMIFS(BV_Data_An_Cour!$O:$O,BV_Data_An_Cour!$U:$U,$B43,BV_Data_An_Cour!$V:$V,$C43,BV_Data_An_Cour!$W:$W,L$2)</f>
        <v>8412.6</v>
      </c>
      <c r="M43" s="253"/>
      <c r="N43" s="276">
        <f t="shared" si="16"/>
        <v>-2854.9110769230756</v>
      </c>
      <c r="O43" s="253"/>
      <c r="P43" s="41"/>
      <c r="Q43" s="256">
        <f t="array" ref="Q43">+INDEX('Réel 2023'!$A$2:$AO$501,MATCH($A43,'Réel 2023'!$A$2:$A$501,0),MATCH(Q$2,'Réel 2023'!$A$2:$AO$2,0))</f>
        <v>11695.76</v>
      </c>
      <c r="R43" s="253"/>
      <c r="S43" s="276">
        <f t="shared" si="18"/>
        <v>-3283.16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2664.3538461538465</v>
      </c>
      <c r="G44" s="316"/>
      <c r="H44" s="315"/>
      <c r="I44" s="254"/>
      <c r="J44" s="241"/>
      <c r="K44" s="315"/>
      <c r="L44" s="272">
        <f>SUMIFS(BV_Data_An_Cour!$O:$O,BV_Data_An_Cour!$U:$U,$B44,BV_Data_An_Cour!$V:$V,$C44,BV_Data_An_Cour!$W:$W,L$2)</f>
        <v>2835.6</v>
      </c>
      <c r="M44" s="241"/>
      <c r="N44" s="317">
        <f t="shared" si="16"/>
        <v>171.24615384615345</v>
      </c>
      <c r="O44" s="241"/>
      <c r="P44" s="315"/>
      <c r="Q44" s="272">
        <f t="array" ref="Q44">+INDEX('Réel 2023'!$A$2:$AO$501,MATCH($A44,'Réel 2023'!$A$2:$A$501,0),MATCH(Q$2,'Réel 2023'!$A$2:$AO$2,0))</f>
        <v>4792.96</v>
      </c>
      <c r="R44" s="241"/>
      <c r="S44" s="317">
        <f t="shared" si="18"/>
        <v>-1957.3600000000001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8897.7483794231975</v>
      </c>
      <c r="G49" s="298"/>
      <c r="H49" s="41"/>
      <c r="I49" s="248"/>
      <c r="J49" s="253"/>
      <c r="K49" s="41"/>
      <c r="L49" s="248">
        <f>SUMIFS(BV_Data_An_Cour!$O:$O,BV_Data_An_Cour!$U:$U,$B49,BV_Data_An_Cour!$V:$V,$C49,BV_Data_An_Cour!$W:$W,L$2)</f>
        <v>9362.32</v>
      </c>
      <c r="M49" s="253"/>
      <c r="N49" s="276">
        <f t="shared" si="16"/>
        <v>464.57162057680216</v>
      </c>
      <c r="O49" s="253"/>
      <c r="P49" s="41"/>
      <c r="Q49" s="248">
        <f t="array" ref="Q49">+INDEX('Réel 2023'!$A$2:$AO$501,MATCH($A49,'Réel 2023'!$A$2:$A$501,0),MATCH(Q$2,'Réel 2023'!$A$2:$AO$2,0))</f>
        <v>9556.9500000000007</v>
      </c>
      <c r="R49" s="253"/>
      <c r="S49" s="276">
        <f t="shared" si="18"/>
        <v>-194.63000000000102</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10818.407721237016</v>
      </c>
      <c r="G50" s="316"/>
      <c r="H50" s="315"/>
      <c r="I50" s="254"/>
      <c r="J50" s="241"/>
      <c r="K50" s="315"/>
      <c r="L50" s="256">
        <f>SUMIFS(BV_Data_An_Cour!$O:$O,BV_Data_An_Cour!$U:$U,$B50,BV_Data_An_Cour!$V:$V,$C50,BV_Data_An_Cour!$W:$W,L$2)</f>
        <v>11260.94</v>
      </c>
      <c r="M50" s="241"/>
      <c r="N50" s="317">
        <f t="shared" si="16"/>
        <v>442.53227876298479</v>
      </c>
      <c r="O50" s="241"/>
      <c r="P50" s="315"/>
      <c r="Q50" s="256">
        <f t="array" ref="Q50">+INDEX('Réel 2023'!$A$2:$AO$501,MATCH($A50,'Réel 2023'!$A$2:$A$501,0),MATCH(Q$2,'Réel 2023'!$A$2:$AO$2,0))</f>
        <v>11412.5</v>
      </c>
      <c r="R50" s="241"/>
      <c r="S50" s="317">
        <f t="shared" si="18"/>
        <v>-151.55999999999949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5573.8318042025494</v>
      </c>
      <c r="G51" s="298"/>
      <c r="H51" s="41"/>
      <c r="I51" s="254"/>
      <c r="J51" s="253"/>
      <c r="K51" s="41"/>
      <c r="L51" s="256">
        <f>SUMIFS(BV_Data_An_Cour!$O:$O,BV_Data_An_Cour!$U:$U,$B51,BV_Data_An_Cour!$V:$V,$C51,BV_Data_An_Cour!$W:$W,L$2)</f>
        <v>4182.3999999999996</v>
      </c>
      <c r="M51" s="253"/>
      <c r="N51" s="276">
        <f t="shared" si="16"/>
        <v>-1391.4318042025498</v>
      </c>
      <c r="O51" s="253"/>
      <c r="P51" s="41"/>
      <c r="Q51" s="256">
        <f t="array" ref="Q51">+INDEX('Réel 2023'!$A$2:$AO$501,MATCH($A51,'Réel 2023'!$A$2:$A$501,0),MATCH(Q$2,'Réel 2023'!$A$2:$AO$2,0))</f>
        <v>4144.46</v>
      </c>
      <c r="R51" s="253"/>
      <c r="S51" s="276">
        <f t="shared" si="18"/>
        <v>37.9399999999996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2430.2220243358515</v>
      </c>
      <c r="G52" s="298"/>
      <c r="H52" s="41"/>
      <c r="I52" s="254"/>
      <c r="J52" s="253"/>
      <c r="K52" s="41"/>
      <c r="L52" s="256">
        <f>SUMIFS(BV_Data_An_Cour!$O:$O,BV_Data_An_Cour!$U:$U,$B52,BV_Data_An_Cour!$V:$V,$C52,BV_Data_An_Cour!$W:$W,L$2)</f>
        <v>2840.64</v>
      </c>
      <c r="M52" s="253"/>
      <c r="N52" s="276">
        <f t="shared" si="16"/>
        <v>410.41797566414834</v>
      </c>
      <c r="O52" s="253"/>
      <c r="P52" s="41"/>
      <c r="Q52" s="256">
        <f t="array" ref="Q52">+INDEX('Réel 2023'!$A$2:$AO$501,MATCH($A52,'Réel 2023'!$A$2:$A$501,0),MATCH(Q$2,'Réel 2023'!$A$2:$AO$2,0))</f>
        <v>1190.6099999999999</v>
      </c>
      <c r="R52" s="253"/>
      <c r="S52" s="276">
        <f t="shared" si="18"/>
        <v>1650.03</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0.41450743761959252</v>
      </c>
      <c r="F54" s="307">
        <f>+SUM(F42:F53)</f>
        <v>59849.191518942207</v>
      </c>
      <c r="G54" s="308"/>
      <c r="H54" s="306"/>
      <c r="I54" s="307"/>
      <c r="J54" s="308" t="s">
        <v>119</v>
      </c>
      <c r="K54" s="306">
        <f>L54/L$27</f>
        <v>0.4482303641804713</v>
      </c>
      <c r="L54" s="307">
        <f>+SUM(L42:L53)</f>
        <v>54819.47</v>
      </c>
      <c r="M54" s="311"/>
      <c r="N54" s="307">
        <f>+SUM(N42:N53)</f>
        <v>-5029.7215189422059</v>
      </c>
      <c r="O54" s="308" t="s">
        <v>119</v>
      </c>
      <c r="P54" s="306">
        <f>Q54/Q$27</f>
        <v>0.29517268271729008</v>
      </c>
      <c r="Q54" s="307">
        <f>+SUM(Q42:Q53)</f>
        <v>54093.030000000006</v>
      </c>
      <c r="R54" s="311"/>
      <c r="S54" s="307">
        <f>+SUM(S42:S53)</f>
        <v>726.43999999999755</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12087.7</v>
      </c>
      <c r="M57" s="246"/>
      <c r="N57" s="296">
        <f t="shared" si="19"/>
        <v>2887.7000000000007</v>
      </c>
      <c r="O57" s="246"/>
      <c r="P57" s="318"/>
      <c r="Q57" s="248">
        <f t="array" ref="Q57">+INDEX('Réel 2023'!$A$2:$AO$501,MATCH($A57,'Réel 2023'!$A$2:$A$501,0),MATCH(Q$2,'Réel 2023'!$A$2:$AO$2,0))</f>
        <v>6904.41</v>
      </c>
      <c r="R57" s="246"/>
      <c r="S57" s="296">
        <f t="shared" si="20"/>
        <v>5183.2900000000009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8179.98</v>
      </c>
      <c r="M58" s="253"/>
      <c r="N58" s="276">
        <f t="shared" si="19"/>
        <v>-859.71546622222195</v>
      </c>
      <c r="O58" s="253"/>
      <c r="P58" s="41"/>
      <c r="Q58" s="256">
        <f t="array" ref="Q58">+INDEX('Réel 2023'!$A$2:$AO$501,MATCH($A58,'Réel 2023'!$A$2:$A$501,0),MATCH(Q$2,'Réel 2023'!$A$2:$AO$2,0))</f>
        <v>6561.68</v>
      </c>
      <c r="R58" s="253"/>
      <c r="S58" s="276">
        <f t="shared" si="20"/>
        <v>1618.2999999999993</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1118.44</v>
      </c>
      <c r="M59" s="253"/>
      <c r="N59" s="276">
        <f t="shared" si="19"/>
        <v>13.214115108880378</v>
      </c>
      <c r="O59" s="253"/>
      <c r="P59" s="41"/>
      <c r="Q59" s="256">
        <f t="array" ref="Q59">+INDEX('Réel 2023'!$A$2:$AO$501,MATCH($A59,'Réel 2023'!$A$2:$A$501,0),MATCH(Q$2,'Réel 2023'!$A$2:$AO$2,0))</f>
        <v>1074.68</v>
      </c>
      <c r="R59" s="253"/>
      <c r="S59" s="276">
        <f t="shared" si="20"/>
        <v>43.759999999999991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6975.91</v>
      </c>
      <c r="M60" s="246"/>
      <c r="N60" s="296">
        <f t="shared" si="19"/>
        <v>264.49135779259177</v>
      </c>
      <c r="O60" s="246"/>
      <c r="P60" s="318"/>
      <c r="Q60" s="248">
        <f t="array" ref="Q60">+INDEX('Réel 2023'!$A$2:$AO$501,MATCH($A60,'Réel 2023'!$A$2:$A$501,0),MATCH(Q$2,'Réel 2023'!$A$2:$AO$2,0))</f>
        <v>7461.81</v>
      </c>
      <c r="R60" s="246"/>
      <c r="S60" s="296">
        <f t="shared" si="20"/>
        <v>-485.90000000000055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176.44</v>
      </c>
      <c r="M61" s="253"/>
      <c r="N61" s="276">
        <f t="shared" si="19"/>
        <v>51.44</v>
      </c>
      <c r="O61" s="253"/>
      <c r="P61" s="41"/>
      <c r="Q61" s="256">
        <f t="array" ref="Q61">+INDEX('Réel 2023'!$A$2:$AO$501,MATCH($A61,'Réel 2023'!$A$2:$A$501,0),MATCH(Q$2,'Réel 2023'!$A$2:$AO$2,0))</f>
        <v>71.819999999999993</v>
      </c>
      <c r="R61" s="253"/>
      <c r="S61" s="276">
        <f t="shared" si="20"/>
        <v>104.62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1062.18</v>
      </c>
      <c r="M63" s="253"/>
      <c r="N63" s="276">
        <f t="shared" si="19"/>
        <v>305.23339803200008</v>
      </c>
      <c r="O63" s="253"/>
      <c r="P63" s="41"/>
      <c r="Q63" s="256">
        <f t="array" ref="Q63">+INDEX('Réel 2023'!$A$2:$AO$501,MATCH($A63,'Réel 2023'!$A$2:$A$501,0),MATCH(Q$2,'Réel 2023'!$A$2:$AO$2,0))</f>
        <v>1075.92</v>
      </c>
      <c r="R63" s="253"/>
      <c r="S63" s="276">
        <f t="shared" si="20"/>
        <v>-13.740000000000009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328.45</v>
      </c>
      <c r="M64" s="253"/>
      <c r="N64" s="276">
        <f t="shared" si="19"/>
        <v>19.046514947111064</v>
      </c>
      <c r="O64" s="253"/>
      <c r="P64" s="41"/>
      <c r="Q64" s="256">
        <f t="array" ref="Q64">+INDEX('Réel 2023'!$A$2:$AO$501,MATCH($A64,'Réel 2023'!$A$2:$A$501,0),MATCH(Q$2,'Réel 2023'!$A$2:$AO$2,0))</f>
        <v>316</v>
      </c>
      <c r="R64" s="253"/>
      <c r="S64" s="276">
        <f t="shared" si="20"/>
        <v>12.449999999999989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32.96</v>
      </c>
      <c r="M65" s="253"/>
      <c r="N65" s="276">
        <f t="shared" si="19"/>
        <v>-80.168809907111125</v>
      </c>
      <c r="O65" s="253"/>
      <c r="P65" s="41"/>
      <c r="Q65" s="256">
        <f t="array" ref="Q65">+INDEX('Réel 2023'!$A$2:$AO$501,MATCH($A65,'Réel 2023'!$A$2:$A$501,0),MATCH(Q$2,'Réel 2023'!$A$2:$AO$2,0))</f>
        <v>230.2</v>
      </c>
      <c r="R65" s="253"/>
      <c r="S65" s="276">
        <f t="shared" si="20"/>
        <v>-197.23999999999998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95.63</v>
      </c>
      <c r="M66" s="253"/>
      <c r="N66" s="276">
        <f t="shared" si="19"/>
        <v>-186.83260343511114</v>
      </c>
      <c r="O66" s="253"/>
      <c r="P66" s="41"/>
      <c r="Q66" s="256">
        <f t="array" ref="Q66">+INDEX('Réel 2023'!$A$2:$AO$501,MATCH($A66,'Réel 2023'!$A$2:$A$501,0),MATCH(Q$2,'Réel 2023'!$A$2:$AO$2,0))</f>
        <v>94.22</v>
      </c>
      <c r="R66" s="253"/>
      <c r="S66" s="276">
        <f t="shared" si="20"/>
        <v>1.4099999999999966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102.08</v>
      </c>
      <c r="M67" s="253"/>
      <c r="N67" s="276">
        <f t="shared" si="19"/>
        <v>-1797.0275000000001</v>
      </c>
      <c r="O67" s="253"/>
      <c r="P67" s="41"/>
      <c r="Q67" s="256">
        <f t="array" ref="Q67">+INDEX('Réel 2023'!$A$2:$AO$501,MATCH($A67,'Réel 2023'!$A$2:$A$501,0),MATCH(Q$2,'Réel 2023'!$A$2:$AO$2,0))</f>
        <v>536.99</v>
      </c>
      <c r="R67" s="253"/>
      <c r="S67" s="276">
        <f t="shared" si="20"/>
        <v>-434.91</v>
      </c>
      <c r="T67" s="41"/>
      <c r="U67" s="120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2">
        <f>SUMIFS(BV_Data_An_Cour!$O:$O,BV_Data_An_Cour!$U:$U,$B68,BV_Data_An_Cour!$V:$V,$C68,BV_Data_An_Cour!$W:$W,L$2)</f>
        <v>4138.41</v>
      </c>
      <c r="M68" s="253"/>
      <c r="N68" s="961">
        <f t="shared" si="19"/>
        <v>775.11407099071721</v>
      </c>
      <c r="O68" s="253"/>
      <c r="P68" s="41"/>
      <c r="Q68" s="256">
        <f t="array" ref="Q68">+INDEX('Réel 2023'!$A$2:$AO$501,MATCH($A68,'Réel 2023'!$A$2:$A$501,0),MATCH(Q$2,'Réel 2023'!$A$2:$AO$2,0))</f>
        <v>3206.31</v>
      </c>
      <c r="R68" s="253"/>
      <c r="S68" s="276">
        <f t="shared" si="20"/>
        <v>932.09999999999991</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0.22847749618411511</v>
      </c>
      <c r="F72" s="307">
        <f>+SUM(F55:F71)</f>
        <v>32989.018256026473</v>
      </c>
      <c r="G72" s="308"/>
      <c r="H72" s="306"/>
      <c r="I72" s="307"/>
      <c r="J72" s="308" t="s">
        <v>119</v>
      </c>
      <c r="K72" s="306">
        <f>L72/L$27</f>
        <v>0.28043842292031201</v>
      </c>
      <c r="L72" s="307">
        <f>+SUM(L55:L71)</f>
        <v>34298.18</v>
      </c>
      <c r="M72" s="311"/>
      <c r="N72" s="307">
        <f>+SUM(N55:N71)</f>
        <v>1309.1617439735232</v>
      </c>
      <c r="O72" s="308" t="s">
        <v>119</v>
      </c>
      <c r="P72" s="306">
        <f>Q72/Q$27</f>
        <v>0.15024664828065973</v>
      </c>
      <c r="Q72" s="307">
        <f>+SUM(Q55:Q71)</f>
        <v>27534.040000000005</v>
      </c>
      <c r="R72" s="311"/>
      <c r="S72" s="307">
        <f>+SUM(S55:S71)</f>
        <v>6764.1399999999994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1.1222835546606094</v>
      </c>
      <c r="F74" s="307">
        <f>F41+F54+F72</f>
        <v>162042.35993247529</v>
      </c>
      <c r="G74" s="308"/>
      <c r="H74" s="306"/>
      <c r="I74" s="307"/>
      <c r="J74" s="308" t="s">
        <v>119</v>
      </c>
      <c r="K74" s="306">
        <f>L74/L$27</f>
        <v>1.146103089074586</v>
      </c>
      <c r="L74" s="307">
        <f>L41+L54+L72</f>
        <v>140170.70000000001</v>
      </c>
      <c r="M74" s="311"/>
      <c r="N74" s="320">
        <f t="shared" ref="N74:N82" si="21">L74-F74</f>
        <v>-21871.659932475275</v>
      </c>
      <c r="O74" s="308" t="s">
        <v>119</v>
      </c>
      <c r="P74" s="306">
        <f>Q74/Q$27</f>
        <v>0.94701524231315892</v>
      </c>
      <c r="Q74" s="307">
        <f>Q41+Q54+Q72</f>
        <v>173549</v>
      </c>
      <c r="R74" s="311"/>
      <c r="S74" s="320">
        <f>L74-Q74</f>
        <v>-33378.299999999988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20000</v>
      </c>
      <c r="G75" s="298"/>
      <c r="H75" s="41"/>
      <c r="I75" s="254"/>
      <c r="J75" s="253"/>
      <c r="K75" s="41"/>
      <c r="L75" s="256">
        <f>-SUMIFS(BV_Data_An_Cour!$O:$O,BV_Data_An_Cour!$U:$U,$B75,BV_Data_An_Cour!$V:$V,$C75,BV_Data_An_Cour!$W:$W,L$2)-L156</f>
        <v>20000</v>
      </c>
      <c r="M75" s="253"/>
      <c r="N75" s="276">
        <f t="shared" si="21"/>
        <v>0</v>
      </c>
      <c r="O75" s="253"/>
      <c r="P75" s="41"/>
      <c r="Q75" s="256">
        <f>+INDEX('Réel 2023'!$A$2:$AO$501,MATCH($A75,'Réel 2023'!$A$2:$A$501,0),MATCH(Q$2,'Réel 2023'!$A$2:$AO$2,0))</f>
        <v>31556</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1206.3386193949987</v>
      </c>
      <c r="F78" s="254">
        <f>+INDEX('Budget original'!$A$2:$AO$501,MATCH($A78,'Budget original'!$A$2:$A$501,0),MATCH(F$2,'Budget original'!$A$2:$AO$2,0))</f>
        <v>43066.288712401452</v>
      </c>
      <c r="G78" s="298"/>
      <c r="H78" s="41"/>
      <c r="I78" s="254"/>
      <c r="J78" s="1073"/>
      <c r="K78" s="1017">
        <f>+L78/J27</f>
        <v>1351.325</v>
      </c>
      <c r="L78" s="256">
        <f>-SUMIFS(BV_Data_An_Cour!$O:$O,BV_Data_An_Cour!$U:$U,$B78,BV_Data_An_Cour!$V:$V,$C78,BV_Data_An_Cour!$W:$W,L$2)</f>
        <v>54053</v>
      </c>
      <c r="M78" s="253"/>
      <c r="N78" s="276">
        <f t="shared" si="21"/>
        <v>10986.711287598548</v>
      </c>
      <c r="O78" s="253"/>
      <c r="P78" s="41"/>
      <c r="Q78" s="256">
        <f t="array" ref="Q78">+INDEX('Réel 2023'!$A$2:$AO$501,MATCH($A78,'Réel 2023'!$A$2:$A$501,0),MATCH(Q$2,'Réel 2023'!$A$2:$AO$2,0))</f>
        <v>55160.85</v>
      </c>
      <c r="R78" s="253"/>
      <c r="S78" s="276">
        <f t="shared" si="22"/>
        <v>-1107.8499999999985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3">
        <f>E82/499</f>
        <v>0.95</v>
      </c>
      <c r="E82" s="323">
        <f>+F82/D24</f>
        <v>474.04999999999995</v>
      </c>
      <c r="F82" s="254">
        <f>+INDEX('Budget original'!$A$2:$AO$501,MATCH($A82,'Budget original'!$A$2:$A$501,0),MATCH(F$2,'Budget original'!$A$2:$AO$2,0))</f>
        <v>15856.9725</v>
      </c>
      <c r="G82" s="298"/>
      <c r="H82" s="41"/>
      <c r="I82" s="254"/>
      <c r="J82" s="1165">
        <f>K82/474</f>
        <v>1.0236411020104244</v>
      </c>
      <c r="K82" s="323">
        <f>+L82/J24</f>
        <v>485.20588235294116</v>
      </c>
      <c r="L82" s="256">
        <f>-SUMIFS(BV_Data_An_Cour!$O:$O,BV_Data_An_Cour!$U:$U,$B82,BV_Data_An_Cour!$V:$V,$C82,BV_Data_An_Cour!$W:$W,L$2)</f>
        <v>16497</v>
      </c>
      <c r="M82" s="253"/>
      <c r="N82" s="276">
        <f t="shared" si="21"/>
        <v>640.02750000000015</v>
      </c>
      <c r="O82" s="253"/>
      <c r="P82" s="41"/>
      <c r="Q82" s="256">
        <f t="array" ref="Q82">+INDEX('Réel 2023'!$A$2:$AO$501,MATCH($A82,'Réel 2023'!$A$2:$A$501,0),MATCH(Q$2,'Réel 2023'!$A$2:$AO$2,0))</f>
        <v>22461</v>
      </c>
      <c r="R82" s="253"/>
      <c r="S82" s="276">
        <f t="shared" si="22"/>
        <v>-5964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78923.261212401456</v>
      </c>
      <c r="G83" s="308"/>
      <c r="H83" s="306"/>
      <c r="I83" s="307"/>
      <c r="J83" s="308"/>
      <c r="K83" s="306"/>
      <c r="L83" s="307">
        <f>+SUM(L75:L82)</f>
        <v>90550</v>
      </c>
      <c r="M83" s="311"/>
      <c r="N83" s="307">
        <f>+SUM(N75:N82)</f>
        <v>11626.738787598548</v>
      </c>
      <c r="O83" s="308"/>
      <c r="P83" s="306"/>
      <c r="Q83" s="307">
        <f>+SUM(Q75:Q82)</f>
        <v>109177.85</v>
      </c>
      <c r="R83" s="311"/>
      <c r="S83" s="307">
        <f>+SUM(S75:S82)</f>
        <v>-7071.8499999999985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61267.192301965275</v>
      </c>
      <c r="G85" s="336"/>
      <c r="H85" s="334"/>
      <c r="I85" s="335"/>
      <c r="J85" s="336"/>
      <c r="K85" s="333"/>
      <c r="L85" s="335">
        <f>L27-L74+L83</f>
        <v>72681.299999999988</v>
      </c>
      <c r="M85" s="336"/>
      <c r="N85" s="335">
        <f>N27-N41-N54-N72+N83</f>
        <v>11414.107698034728</v>
      </c>
      <c r="O85" s="336"/>
      <c r="P85" s="1148">
        <f>Q85/Q5</f>
        <v>1.4678779180882796E-2</v>
      </c>
      <c r="Q85" s="335">
        <f>Q27-Q74+Q83</f>
        <v>118887.77999999977</v>
      </c>
      <c r="R85" s="336"/>
      <c r="S85" s="335">
        <f>S27-S41-S54-S72+S83</f>
        <v>-34650.479999999763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8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Décembre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30"/>
      <c r="H91" s="1226"/>
      <c r="I91" s="1227"/>
      <c r="J91" s="1230" t="s">
        <v>344</v>
      </c>
      <c r="K91" s="1226"/>
      <c r="L91" s="1227"/>
      <c r="M91" s="1230" t="s">
        <v>3310</v>
      </c>
      <c r="N91" s="1227"/>
      <c r="O91" s="1225" t="s">
        <v>345</v>
      </c>
      <c r="P91" s="1226"/>
      <c r="Q91" s="1227"/>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1310599.6163986055</v>
      </c>
      <c r="G93" s="267"/>
      <c r="H93" s="250"/>
      <c r="I93" s="248"/>
      <c r="J93" s="246"/>
      <c r="K93" s="250"/>
      <c r="L93" s="248">
        <f>-SUMIFS(BV_Data_An_Cour!$O:$O,BV_Data_An_Cour!$X:$X,"Oui",BV_Data_An_Cour!$U:$U,$B93)</f>
        <v>803576.3600000001</v>
      </c>
      <c r="M93" s="342"/>
      <c r="N93" s="343"/>
      <c r="O93" s="246"/>
      <c r="P93" s="250"/>
      <c r="Q93" s="248">
        <f t="array" ref="Q93">+INDEX('Réel 2023'!$A$2:$AO$501,MATCH($A93,'Réel 2023'!$A$2:$A$501,0),MATCH(Q$2,'Réel 2023'!$A$2:$AO$2,0))</f>
        <v>780381.81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24.18</v>
      </c>
      <c r="E94" s="254">
        <f>IF(D94=0,0,F94/D94)</f>
        <v>1800</v>
      </c>
      <c r="F94" s="254">
        <f>+INDEX('Budget original'!$A$2:$AO$501,MATCH($A94,'Budget original'!$A$2:$A$501,0),MATCH(F$2,'Budget original'!$A$2:$AO$2,0))</f>
        <v>43524</v>
      </c>
      <c r="G94" s="255"/>
      <c r="H94" s="254"/>
      <c r="I94" s="254"/>
      <c r="J94" s="255">
        <f>-SUMIFS(BV_Data_An_Cour!$O:$O,BV_Data_An_Cour!$U:$U,$B94,BV_Data_An_Cour!$V:$V,$C94,BV_Data_An_Cour!$W:$W,J$2)</f>
        <v>17</v>
      </c>
      <c r="K94" s="254">
        <f t="shared" ref="K94:K95" si="23">IF(J94=0,0,L94/J94)</f>
        <v>1130.9829411764697</v>
      </c>
      <c r="L94" s="256">
        <f>-SUMIFS(BV_Data_An_Cour!$O:$O,BV_Data_An_Cour!$U:$U,$B94,BV_Data_An_Cour!$V:$V,$C94,BV_Data_An_Cour!$W:$W,$L2)</f>
        <v>19226.709999999985</v>
      </c>
      <c r="M94" s="255">
        <f>J94-D94</f>
        <v>-7.18</v>
      </c>
      <c r="N94" s="256">
        <f>L94-F94</f>
        <v>-24297.290000000015</v>
      </c>
      <c r="O94" s="255">
        <f t="array" ref="O94">+INDEX('Réel 2023'!$A$2:$AO$501,MATCH($A94,'Réel 2023'!$A$2:$A$501,0),MATCH(O$2,'Réel 2023'!$A$2:$AO$2,0))</f>
        <v>13</v>
      </c>
      <c r="P94" s="254">
        <f t="shared" ref="P94:P96" si="24">IF(O94=0,0,Q94/O94)</f>
        <v>972.76230769230767</v>
      </c>
      <c r="Q94" s="256">
        <f t="array" ref="Q94">+INDEX('Réel 2023'!$A$2:$AO$501,MATCH($A94,'Réel 2023'!$A$2:$A$501,0),MATCH(Q$2,'Réel 2023'!$A$2:$AO$2,0))</f>
        <v>12645.91</v>
      </c>
      <c r="R94" s="255">
        <f t="shared" ref="R94:R95" si="25">J94-O94</f>
        <v>4</v>
      </c>
      <c r="S94" s="256">
        <f t="shared" ref="S94:S95" si="26">L94-Q94</f>
        <v>6580.7999999999847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1.3639999999999999</v>
      </c>
      <c r="E95" s="1077">
        <f t="shared" ref="E95:E105" si="27">IF(D95=0,0,F95/D95)</f>
        <v>1800</v>
      </c>
      <c r="F95" s="254">
        <f>+INDEX('Budget original'!$A$2:$AO$501,MATCH($A95,'Budget original'!$A$2:$A$501,0),MATCH(F$2,'Budget original'!$A$2:$AO$2,0))</f>
        <v>2455.1999999999998</v>
      </c>
      <c r="G95" s="255"/>
      <c r="H95" s="254"/>
      <c r="I95" s="254"/>
      <c r="J95" s="255">
        <f>-SUMIFS(BV_Data_An_Cour!$O:$O,BV_Data_An_Cour!$U:$U,$B95,BV_Data_An_Cour!$V:$V,$C95,BV_Data_An_Cour!$W:$W,J$2)</f>
        <v>0</v>
      </c>
      <c r="K95" s="254">
        <f t="shared" si="23"/>
        <v>0</v>
      </c>
      <c r="L95" s="256">
        <f>-SUMIFS(BV_Data_An_Cour!$O:$O,BV_Data_An_Cour!$U:$U,$B95,BV_Data_An_Cour!$V:$V,$C95,BV_Data_An_Cour!$W:$W,$L2)</f>
        <v>-471.43</v>
      </c>
      <c r="M95" s="255">
        <f>J95-D95</f>
        <v>-1.3639999999999999</v>
      </c>
      <c r="N95" s="256">
        <f>L95-F95</f>
        <v>-2926.6299999999997</v>
      </c>
      <c r="O95" s="255">
        <f t="array" ref="O95">+INDEX('Réel 2023'!$A$2:$AO$501,MATCH($A95,'Réel 2023'!$A$2:$A$501,0),MATCH(O$2,'Réel 2023'!$A$2:$AO$2,0))</f>
        <v>5</v>
      </c>
      <c r="P95" s="254">
        <f t="shared" si="24"/>
        <v>1770.3879999999979</v>
      </c>
      <c r="Q95" s="256">
        <f t="array" ref="Q95">+INDEX('Réel 2023'!$A$2:$AO$501,MATCH($A95,'Réel 2023'!$A$2:$A$501,0),MATCH(Q$2,'Réel 2023'!$A$2:$AO$2,0))</f>
        <v>8851.9399999999896</v>
      </c>
      <c r="R95" s="255">
        <f t="shared" si="25"/>
        <v>-5</v>
      </c>
      <c r="S95" s="256">
        <f t="shared" si="26"/>
        <v>-9323.3699999999899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3863</v>
      </c>
      <c r="D96" s="254">
        <f>+INDEX('Budget original'!$A$2:$AO$501,MATCH($A96,'Budget original'!$A$2:$A$501,0),MATCH(D$2,'Budget original'!$A$2:$AO$2,0))</f>
        <v>0.80600000000000005</v>
      </c>
      <c r="E96" s="1079">
        <f t="shared" si="27"/>
        <v>1799.9999999999998</v>
      </c>
      <c r="F96" s="254">
        <f>+INDEX('Budget original'!$A$2:$AO$501,MATCH($A96,'Budget original'!$A$2:$A$501,0),MATCH(F$2,'Budget original'!$A$2:$AO$2,0))</f>
        <v>1450.8</v>
      </c>
      <c r="G96" s="1078"/>
      <c r="H96" s="254"/>
      <c r="I96" s="254"/>
      <c r="J96" s="1078">
        <f>-SUMIFS(BV_Data_An_Cour!$O:$O,BV_Data_An_Cour!$U:$U,$B96,BV_Data_An_Cour!$V:$V,$C96,BV_Data_An_Cour!$W:$W,J$2)</f>
        <v>1</v>
      </c>
      <c r="K96" s="254">
        <f t="shared" ref="K96" si="28">IF(J96=0,0,L96/J96)</f>
        <v>2147.6000000000004</v>
      </c>
      <c r="L96" s="952">
        <f>-SUMIFS(BV_Data_An_Cour!$O:$O,BV_Data_An_Cour!$U:$U,$B96,BV_Data_An_Cour!$V:$V,$C96,BV_Data_An_Cour!$W:$W,$L2)</f>
        <v>2147.6000000000004</v>
      </c>
      <c r="M96" s="1078">
        <f>J96-D96</f>
        <v>0.19399999999999995</v>
      </c>
      <c r="N96" s="952">
        <f>L96-F96</f>
        <v>696.80000000000041</v>
      </c>
      <c r="O96" s="1078">
        <f>+INDEX('Réel 2023'!$A$2:$AO$501,MATCH($A96,'Réel 2023'!$A$2:$A$501,0),MATCH(O$2,'Réel 2023'!$A$2:$AO$2,0))</f>
        <v>0</v>
      </c>
      <c r="P96" s="254">
        <f t="shared" si="24"/>
        <v>0</v>
      </c>
      <c r="Q96" s="952">
        <f>+INDEX('Réel 2023'!$A$2:$AO$501,MATCH($A96,'Réel 2023'!$A$2:$A$501,0),MATCH(Q$2,'Réel 2023'!$A$2:$AO$2,0))</f>
        <v>0</v>
      </c>
      <c r="R96" s="1078">
        <f>J96-O96</f>
        <v>1</v>
      </c>
      <c r="S96" s="952">
        <f>L96-Q96</f>
        <v>2147.6000000000004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26.35</v>
      </c>
      <c r="E97" s="254">
        <f t="shared" si="27"/>
        <v>1800</v>
      </c>
      <c r="F97" s="261">
        <f>+F94+F95+F96</f>
        <v>47430</v>
      </c>
      <c r="G97" s="262"/>
      <c r="H97" s="260"/>
      <c r="I97" s="261"/>
      <c r="J97" s="262">
        <f>+J94+J95+J96</f>
        <v>18</v>
      </c>
      <c r="K97" s="260">
        <f>IF(J97&lt;=0,0,L97/J97)</f>
        <v>1161.2711111111103</v>
      </c>
      <c r="L97" s="261">
        <f>+L94+L95+L96</f>
        <v>20902.879999999983</v>
      </c>
      <c r="M97" s="262">
        <f>J97-D97</f>
        <v>-8.3500000000000014</v>
      </c>
      <c r="N97" s="261">
        <f>L97-F97</f>
        <v>-26527.120000000017</v>
      </c>
      <c r="O97" s="262">
        <f>+O95+O94+O96</f>
        <v>18</v>
      </c>
      <c r="P97" s="260">
        <f>IF(O97=0,0,Q97/O97)</f>
        <v>1194.3249999999996</v>
      </c>
      <c r="Q97" s="261">
        <f>+Q94+Q95+Q96</f>
        <v>21497.849999999991</v>
      </c>
      <c r="R97" s="262">
        <f>R94+R95</f>
        <v>-1</v>
      </c>
      <c r="S97" s="261">
        <f>S94+S95</f>
        <v>-2742.5700000000052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-0.31688804554079703</v>
      </c>
      <c r="N98" s="346">
        <f>N97/F97</f>
        <v>-0.55928990090659958</v>
      </c>
      <c r="O98" s="253"/>
      <c r="P98" s="41">
        <f t="shared" ref="P98" si="30">IF(O98=0,0,Q98/O98)</f>
        <v>0</v>
      </c>
      <c r="Q98" s="263"/>
      <c r="R98" s="345">
        <f>R97/O97</f>
        <v>-5.5555555555555552E-2</v>
      </c>
      <c r="S98" s="346">
        <f>IF(Q97=0,0,(S97/Q97))</f>
        <v>-0.12757415276411391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26.97</v>
      </c>
      <c r="E100" s="254">
        <f t="shared" si="27"/>
        <v>400</v>
      </c>
      <c r="F100" s="254">
        <f>+INDEX('Budget original'!$A$2:$AO$501,MATCH($A100,'Budget original'!$A$2:$A$501,0),MATCH(F$2,'Budget original'!$A$2:$AO$2,0))</f>
        <v>10788</v>
      </c>
      <c r="G100" s="255"/>
      <c r="H100" s="254"/>
      <c r="I100" s="254"/>
      <c r="J100" s="255">
        <f>-SUMIFS(BV_Data_An_Cour!$O:$O,BV_Data_An_Cour!$U:$U,$B100,BV_Data_An_Cour!$V:$V,$C100,BV_Data_An_Cour!$W:$W,J$2)</f>
        <v>22</v>
      </c>
      <c r="K100" s="254">
        <f>IF(J100=0,0,L100/J100)</f>
        <v>-477.45000000000107</v>
      </c>
      <c r="L100" s="256">
        <f>-SUMIFS(BV_Data_An_Cour!$O:$O,BV_Data_An_Cour!$U:$U,$B100,BV_Data_An_Cour!$V:$V,$C100,BV_Data_An_Cour!$W:$W,L$2)</f>
        <v>-10503.900000000023</v>
      </c>
      <c r="M100" s="255">
        <f>J100-D100</f>
        <v>-4.9699999999999989</v>
      </c>
      <c r="N100" s="256">
        <f>L100-F100</f>
        <v>-21291.900000000023</v>
      </c>
      <c r="O100" s="255">
        <f t="array" ref="O100">+INDEX('Réel 2023'!$A$2:$AO$501,MATCH($A100,'Réel 2023'!$A$2:$A$501,0),MATCH(O$2,'Réel 2023'!$A$2:$AO$2,0))</f>
        <v>21</v>
      </c>
      <c r="P100" s="254">
        <f>IF(O100=0,0,Q100/O100)</f>
        <v>-377.50523809523713</v>
      </c>
      <c r="Q100" s="256">
        <f t="array" ref="Q100">+INDEX('Réel 2023'!$A$2:$AO$501,MATCH($A100,'Réel 2023'!$A$2:$A$501,0),MATCH(Q$2,'Réel 2023'!$A$2:$AO$2,0))</f>
        <v>-7927.6099999999797</v>
      </c>
      <c r="R100" s="255">
        <f>J100-O100</f>
        <v>1</v>
      </c>
      <c r="S100" s="256">
        <f>L100-Q100</f>
        <v>-2576.2900000000436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18445</v>
      </c>
      <c r="G102" s="255"/>
      <c r="H102" s="254"/>
      <c r="I102" s="254"/>
      <c r="J102" s="255"/>
      <c r="K102" s="254">
        <f>IF(J97=0,0,L102/J97)</f>
        <v>217.00944444444445</v>
      </c>
      <c r="L102" s="256">
        <f>-SUMIFS(BV_Data_An_Cour!$O:$O,BV_Data_An_Cour!$U:$U,$B102,BV_Data_An_Cour!$V:$V,$C102,BV_Data_An_Cour!$W:$W,$L2)</f>
        <v>3906.17</v>
      </c>
      <c r="M102" s="255"/>
      <c r="N102" s="256">
        <f>L102-F102</f>
        <v>-14538.83</v>
      </c>
      <c r="O102" s="255"/>
      <c r="P102" s="254"/>
      <c r="Q102" s="256">
        <f t="array" ref="Q102">+INDEX('Réel 2023'!$A$2:$AO$501,MATCH($A102,'Réel 2023'!$A$2:$A$501,0),MATCH(Q$2,'Réel 2023'!$A$2:$AO$2,0))</f>
        <v>5284.87</v>
      </c>
      <c r="R102" s="255">
        <f t="shared" ref="R102:R104" si="31">O102-K102</f>
        <v>-217.00944444444445</v>
      </c>
      <c r="S102" s="256">
        <f t="shared" ref="S102:S105" si="32">L102-Q102</f>
        <v>-1378.6999999999998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38207.5</v>
      </c>
      <c r="G103" s="255"/>
      <c r="H103" s="254"/>
      <c r="I103" s="254"/>
      <c r="J103" s="255"/>
      <c r="K103" s="254">
        <f>IF(J97=0,0,L103/J97)</f>
        <v>1575.7438888888889</v>
      </c>
      <c r="L103" s="256">
        <f>-SUMIFS(BV_Data_An_Cour!$O:$O,BV_Data_An_Cour!$U:$U,$B103,BV_Data_An_Cour!$V:$V,$C103,BV_Data_An_Cour!$W:$W,$L2)</f>
        <v>28363.39</v>
      </c>
      <c r="M103" s="255"/>
      <c r="N103" s="256">
        <f>L103-F103</f>
        <v>-9844.11</v>
      </c>
      <c r="O103" s="255"/>
      <c r="P103" s="254"/>
      <c r="Q103" s="256">
        <f t="array" ref="Q103">+INDEX('Réel 2023'!$A$2:$AO$501,MATCH($A103,'Réel 2023'!$A$2:$A$501,0),MATCH(Q$2,'Réel 2023'!$A$2:$AO$2,0))</f>
        <v>18547.9899999999</v>
      </c>
      <c r="R103" s="255">
        <f t="shared" si="31"/>
        <v>-1575.7438888888889</v>
      </c>
      <c r="S103" s="256">
        <f t="shared" si="32"/>
        <v>9815.4000000000997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1317.5</v>
      </c>
      <c r="G104" s="255"/>
      <c r="H104" s="250"/>
      <c r="I104" s="254"/>
      <c r="J104" s="255"/>
      <c r="K104" s="250">
        <f>IF(J97=0,0,L104/J97)</f>
        <v>0</v>
      </c>
      <c r="L104" s="256">
        <f>-SUMIFS(BV_Data_An_Cour!$O:$O,BV_Data_An_Cour!$U:$U,$B104,BV_Data_An_Cour!$V:$V,$C104,BV_Data_An_Cour!$W:$W,$L$2)</f>
        <v>0</v>
      </c>
      <c r="M104" s="267"/>
      <c r="N104" s="256">
        <f>L104-F104</f>
        <v>-1317.5</v>
      </c>
      <c r="O104" s="255"/>
      <c r="P104" s="250"/>
      <c r="Q104" s="256">
        <f t="array" ref="Q104">+INDEX('Réel 2023'!$A$2:$AO$501,MATCH($A104,'Réel 2023'!$A$2:$A$501,0),MATCH(Q$2,'Réel 2023'!$A$2:$AO$2,0))</f>
        <v>0</v>
      </c>
      <c r="R104" s="255">
        <f t="shared" si="31"/>
        <v>0</v>
      </c>
      <c r="S104" s="256">
        <f t="shared" si="32"/>
        <v>0</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26.35</v>
      </c>
      <c r="E105" s="254">
        <f t="shared" si="27"/>
        <v>2200</v>
      </c>
      <c r="F105" s="261">
        <f>F102+F103+F104</f>
        <v>57970</v>
      </c>
      <c r="G105" s="262"/>
      <c r="H105" s="260"/>
      <c r="I105" s="261"/>
      <c r="J105" s="262">
        <f>J97</f>
        <v>18</v>
      </c>
      <c r="K105" s="260">
        <f>IF(J105&lt;=0,0,L105/J105)</f>
        <v>1792.7533333333331</v>
      </c>
      <c r="L105" s="261">
        <f>L102+L103+L104</f>
        <v>32269.559999999998</v>
      </c>
      <c r="M105" s="255">
        <f>J105-D105</f>
        <v>-8.3500000000000014</v>
      </c>
      <c r="N105" s="261">
        <f>L105-F105</f>
        <v>-25700.440000000002</v>
      </c>
      <c r="O105" s="262">
        <f>O97</f>
        <v>18</v>
      </c>
      <c r="P105" s="260">
        <f t="shared" ref="P105" si="33">IF(O105=0,0,Q105/O105)</f>
        <v>1324.0477777777721</v>
      </c>
      <c r="Q105" s="261">
        <f>Q102+Q103+Q104</f>
        <v>23832.859999999899</v>
      </c>
      <c r="R105" s="273"/>
      <c r="S105" s="261">
        <f t="shared" si="32"/>
        <v>8436.700000000099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-0.44334034845609804</v>
      </c>
      <c r="O106" s="253"/>
      <c r="P106" s="41"/>
      <c r="Q106" s="276"/>
      <c r="R106" s="277"/>
      <c r="S106" s="265">
        <f>IF(Q105=0,0,(S105/Q105))</f>
        <v>0.35399444296656529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53.32</v>
      </c>
      <c r="E108" s="280">
        <f>IF(D108&lt;=0,0,F108/D108)</f>
        <v>2179.0697674418607</v>
      </c>
      <c r="F108" s="281">
        <f>F97+F105+F100</f>
        <v>116188</v>
      </c>
      <c r="G108" s="282"/>
      <c r="H108" s="350"/>
      <c r="I108" s="281"/>
      <c r="J108" s="282">
        <f>J97+J100</f>
        <v>40</v>
      </c>
      <c r="K108" s="280">
        <f>IF(J108&lt;=0,0,L108/J108)</f>
        <v>1066.7134999999989</v>
      </c>
      <c r="L108" s="281">
        <f>L97+L105+L100</f>
        <v>42668.539999999957</v>
      </c>
      <c r="M108" s="282">
        <f>J108-D108</f>
        <v>-13.32</v>
      </c>
      <c r="N108" s="281">
        <f>L108-F108</f>
        <v>-73519.46000000005</v>
      </c>
      <c r="O108" s="282">
        <f>O97+O100</f>
        <v>39</v>
      </c>
      <c r="P108" s="280">
        <f>IF(O108&lt;=0,0,Q108/O108)</f>
        <v>959.05384615384389</v>
      </c>
      <c r="Q108" s="281">
        <f>Q97+Q105+Q100</f>
        <v>37403.099999999911</v>
      </c>
      <c r="R108" s="282">
        <f>J108-O108</f>
        <v>1</v>
      </c>
      <c r="S108" s="281">
        <f>L108-Q108</f>
        <v>5265.440000000046</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0.36723706406857815</v>
      </c>
      <c r="M109" s="286">
        <f>M108/D108</f>
        <v>-0.24981245311327832</v>
      </c>
      <c r="N109" s="287">
        <f>N108/F108</f>
        <v>-0.63276293593142197</v>
      </c>
      <c r="O109" s="283"/>
      <c r="P109" s="284"/>
      <c r="Q109" s="285"/>
      <c r="R109" s="351">
        <f>O108/R108</f>
        <v>39</v>
      </c>
      <c r="S109" s="352">
        <f>IF(Q108=0,0,(S108/Q108))</f>
        <v>0.14077549721814658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207">
        <f>F112/F97</f>
        <v>0.33</v>
      </c>
      <c r="E112" s="291">
        <f t="shared" ref="E112:E121" si="34">F112/D$97</f>
        <v>594</v>
      </c>
      <c r="F112" s="254">
        <f>+INDEX('Budget original'!$A$2:$AO$501,MATCH($A112,'Budget original'!$A$2:$A$501,0),MATCH(F$2,'Budget original'!$A$2:$AO$2,0))</f>
        <v>15651.900000000001</v>
      </c>
      <c r="G112" s="292"/>
      <c r="H112" s="291"/>
      <c r="I112" s="254"/>
      <c r="J112" s="292">
        <f>L112/L97</f>
        <v>0.6584728994282133</v>
      </c>
      <c r="K112" s="291">
        <f>IF($J$97=0,0,L112/(J$94+J$95+J96))</f>
        <v>764.66555555555556</v>
      </c>
      <c r="L112" s="256">
        <f>SUMIFS(BV_Data_An_Cour!$O:$O,BV_Data_An_Cour!$U:$U,$B112,BV_Data_An_Cour!$V:$V,$C112,BV_Data_An_Cour!$W:$W,$L$2)</f>
        <v>13763.98</v>
      </c>
      <c r="M112" s="253"/>
      <c r="N112" s="276">
        <f t="shared" ref="N112:N153" si="35">L112-F112</f>
        <v>-1887.9200000000019</v>
      </c>
      <c r="O112" s="1146">
        <f>Q112/Q97</f>
        <v>0.51745407098849439</v>
      </c>
      <c r="P112" s="291">
        <f t="shared" ref="P112:P121" si="36">Q112/O$97</f>
        <v>618.00833333333333</v>
      </c>
      <c r="Q112" s="256">
        <f t="array" ref="Q112">+INDEX('Réel 2023'!$A$2:$AO$501,MATCH($A112,'Réel 2023'!$A$2:$A$501,0),MATCH(Q$2,'Réel 2023'!$A$2:$AO$2,0))</f>
        <v>11124.15</v>
      </c>
      <c r="R112" s="253"/>
      <c r="S112" s="276">
        <f t="shared" ref="S112:S153" si="37">L112-Q112</f>
        <v>2639.83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202">
        <f>F113/(F105)</f>
        <v>0.3</v>
      </c>
      <c r="E113" s="294">
        <f t="shared" si="34"/>
        <v>660</v>
      </c>
      <c r="F113" s="248">
        <f>+INDEX('Budget original'!$A$2:$AO$501,MATCH($A113,'Budget original'!$A$2:$A$501,0),MATCH(F$2,'Budget original'!$A$2:$AO$2,0))</f>
        <v>17391</v>
      </c>
      <c r="G113" s="295"/>
      <c r="H113" s="294"/>
      <c r="I113" s="248"/>
      <c r="J113" s="295">
        <f>L113/(L105)</f>
        <v>0.29999665319266827</v>
      </c>
      <c r="K113" s="294">
        <f>IF($J$97=0,0,L113/(J$94+J$95+J96))</f>
        <v>537.82000000000005</v>
      </c>
      <c r="L113" s="256">
        <f>SUMIFS(BV_Data_An_Cour!$O:$O,BV_Data_An_Cour!$U:$U,$B113,BV_Data_An_Cour!$V:$V,$C113,BV_Data_An_Cour!$W:$W,$L$2)</f>
        <v>9680.76</v>
      </c>
      <c r="M113" s="246"/>
      <c r="N113" s="296">
        <f t="shared" si="35"/>
        <v>-7710.24</v>
      </c>
      <c r="O113" s="1147">
        <f>Q113/(Q105+Q19)</f>
        <v>0.24309170156396989</v>
      </c>
      <c r="P113" s="294">
        <f t="shared" si="36"/>
        <v>395.0577777777778</v>
      </c>
      <c r="Q113" s="256">
        <f t="array" ref="Q113">+INDEX('Réel 2023'!$A$2:$AO$501,MATCH($A113,'Réel 2023'!$A$2:$A$501,0),MATCH(Q$2,'Réel 2023'!$A$2:$AO$2,0))</f>
        <v>7111.04</v>
      </c>
      <c r="R113" s="246"/>
      <c r="S113" s="296">
        <f t="shared" si="37"/>
        <v>2569.7200000000003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263.5</v>
      </c>
      <c r="G114" s="298"/>
      <c r="H114" s="291"/>
      <c r="I114" s="254"/>
      <c r="J114" s="253"/>
      <c r="K114" s="291">
        <f>IF($J$97=0,0,L114/(J$94+J$95+J96))</f>
        <v>81.843333333333334</v>
      </c>
      <c r="L114" s="272">
        <f>SUMIFS(BV_Data_An_Cour!$O:$O,BV_Data_An_Cour!$U:$U,$B114,BV_Data_An_Cour!$V:$V,$C114,BV_Data_An_Cour!$W:$W,$L$2)</f>
        <v>1473.18</v>
      </c>
      <c r="M114" s="253"/>
      <c r="N114" s="276">
        <f t="shared" si="35"/>
        <v>1209.68</v>
      </c>
      <c r="O114" s="253"/>
      <c r="P114" s="291">
        <f t="shared" si="36"/>
        <v>-108.94499999999999</v>
      </c>
      <c r="Q114" s="272">
        <f t="array" ref="Q114">+INDEX('Réel 2023'!$A$2:$AO$501,MATCH($A114,'Réel 2023'!$A$2:$A$501,0),MATCH(Q$2,'Réel 2023'!$A$2:$AO$2,0))</f>
        <v>-1961.01</v>
      </c>
      <c r="R114" s="253"/>
      <c r="S114" s="276">
        <f t="shared" si="37"/>
        <v>3434.19</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v>
      </c>
      <c r="F115" s="254">
        <f>+INDEX('Budget original'!$A$2:$AO$501,MATCH($A115,'Budget original'!$A$2:$A$501,0),MATCH(F$2,'Budget original'!$A$2:$AO$2,0))</f>
        <v>184.45000000000002</v>
      </c>
      <c r="G115" s="298"/>
      <c r="H115" s="291"/>
      <c r="I115" s="254"/>
      <c r="J115" s="253"/>
      <c r="K115" s="291">
        <f>IF($J$97=0,0,L115/(J$94+J$95+J96))</f>
        <v>-93.088888888888889</v>
      </c>
      <c r="L115" s="256">
        <f>SUMIFS(BV_Data_An_Cour!$O:$O,BV_Data_An_Cour!$U:$U,$B115,BV_Data_An_Cour!$V:$V,$C115,BV_Data_An_Cour!$W:$W,$L$2)</f>
        <v>-1675.6</v>
      </c>
      <c r="M115" s="253"/>
      <c r="N115" s="276">
        <f t="shared" si="35"/>
        <v>-1860.05</v>
      </c>
      <c r="O115" s="253"/>
      <c r="P115" s="291">
        <f t="shared" si="36"/>
        <v>59.646111111111118</v>
      </c>
      <c r="Q115" s="256">
        <f t="array" ref="Q115">+INDEX('Réel 2023'!$A$2:$AO$501,MATCH($A115,'Réel 2023'!$A$2:$A$501,0),MATCH(Q$2,'Réel 2023'!$A$2:$AO$2,0))</f>
        <v>1073.6300000000001</v>
      </c>
      <c r="R115" s="253"/>
      <c r="S115" s="276">
        <f t="shared" si="37"/>
        <v>-2749.23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161.99999999999997</v>
      </c>
      <c r="F116" s="248">
        <f>+INDEX('Budget original'!$A$2:$AO$501,MATCH($A116,'Budget original'!$A$2:$A$501,0),MATCH(F$2,'Budget original'!$A$2:$AO$2,0))</f>
        <v>4268.7</v>
      </c>
      <c r="G116" s="300"/>
      <c r="H116" s="294"/>
      <c r="I116" s="248"/>
      <c r="J116" s="246"/>
      <c r="K116" s="294">
        <f>IF($J$97=0,0,L116/(J$94+J$95+J96))</f>
        <v>210.19611111111112</v>
      </c>
      <c r="L116" s="248">
        <f>SUMIFS(BV_Data_An_Cour!$O:$O,BV_Data_An_Cour!$U:$U,$B116,BV_Data_An_Cour!$V:$V,$C116,BV_Data_An_Cour!$W:$W,$L$2)</f>
        <v>3783.53</v>
      </c>
      <c r="M116" s="246"/>
      <c r="N116" s="296">
        <f t="shared" si="35"/>
        <v>-485.16999999999962</v>
      </c>
      <c r="O116" s="246"/>
      <c r="P116" s="294">
        <f t="shared" si="36"/>
        <v>198.72333333333333</v>
      </c>
      <c r="Q116" s="248">
        <f t="array" ref="Q116">+INDEX('Réel 2023'!$A$2:$AO$501,MATCH($A116,'Réel 2023'!$A$2:$A$501,0),MATCH(Q$2,'Réel 2023'!$A$2:$AO$2,0))</f>
        <v>3577.02</v>
      </c>
      <c r="R116" s="246"/>
      <c r="S116" s="296">
        <f t="shared" si="37"/>
        <v>206.51000000000022</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475.02846299810244</v>
      </c>
      <c r="F117" s="254">
        <f>+INDEX('Budget original'!$A$2:$AO$501,MATCH($A117,'Budget original'!$A$2:$A$501,0),MATCH(F$2,'Budget original'!$A$2:$AO$2,0))</f>
        <v>12517</v>
      </c>
      <c r="G117" s="298"/>
      <c r="H117" s="291"/>
      <c r="I117" s="254"/>
      <c r="J117" s="253"/>
      <c r="K117" s="291">
        <f>IF($J$97=0,0,L117/(J$94+J$95+J96))</f>
        <v>779.38055555555559</v>
      </c>
      <c r="L117" s="256">
        <f>SUMIFS(BV_Data_An_Cour!$O:$O,BV_Data_An_Cour!$U:$U,$B117,BV_Data_An_Cour!$V:$V,$C117,BV_Data_An_Cour!$W:$W,$L$2)</f>
        <v>14028.85</v>
      </c>
      <c r="M117" s="253"/>
      <c r="N117" s="276">
        <f t="shared" si="35"/>
        <v>1511.8500000000004</v>
      </c>
      <c r="O117" s="253"/>
      <c r="P117" s="291">
        <f t="shared" si="36"/>
        <v>1058.9533333333334</v>
      </c>
      <c r="Q117" s="256">
        <f t="array" ref="Q117">+INDEX('Réel 2023'!$A$2:$AO$501,MATCH($A117,'Réel 2023'!$A$2:$A$501,0),MATCH(Q$2,'Réel 2023'!$A$2:$AO$2,0))</f>
        <v>19061.16</v>
      </c>
      <c r="R117" s="253"/>
      <c r="S117" s="276">
        <f t="shared" si="37"/>
        <v>-5032.3099999999995</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234.01356944378549</v>
      </c>
      <c r="F118" s="254">
        <f>+INDEX('Budget original'!$A$2:$AO$501,MATCH($A118,'Budget original'!$A$2:$A$501,0),MATCH(F$2,'Budget original'!$A$2:$AO$2,0))</f>
        <v>6166.257554843748</v>
      </c>
      <c r="G118" s="298"/>
      <c r="H118" s="291"/>
      <c r="I118" s="254"/>
      <c r="J118" s="253"/>
      <c r="K118" s="291">
        <f>IF($J$97=0,0,L118/(J$94+J$95+J96))</f>
        <v>139.49944444444444</v>
      </c>
      <c r="L118" s="952">
        <f>SUMIFS(BV_Data_An_Cour!$O:$O,BV_Data_An_Cour!$U:$U,$B118,BV_Data_An_Cour!$V:$V,$C118,BV_Data_An_Cour!$W:$W,$L$2)</f>
        <v>2510.9899999999998</v>
      </c>
      <c r="M118" s="253"/>
      <c r="N118" s="961">
        <f t="shared" si="35"/>
        <v>-3655.2675548437483</v>
      </c>
      <c r="O118" s="253"/>
      <c r="P118" s="291">
        <f t="shared" si="36"/>
        <v>20.087222222222223</v>
      </c>
      <c r="Q118" s="256">
        <f t="array" ref="Q118">+INDEX('Réel 2023'!$A$2:$AO$501,MATCH($A118,'Réel 2023'!$A$2:$A$501,0),MATCH(Q$2,'Réel 2023'!$A$2:$AO$2,0))</f>
        <v>361.57</v>
      </c>
      <c r="R118" s="253"/>
      <c r="S118" s="276">
        <f t="shared" si="37"/>
        <v>2149.4199999999996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0.48578861461462236</v>
      </c>
      <c r="F122" s="307">
        <f>SUM(F112:F121)</f>
        <v>56442.807554843741</v>
      </c>
      <c r="G122" s="308"/>
      <c r="H122" s="306"/>
      <c r="I122" s="307"/>
      <c r="J122" s="308" t="s">
        <v>119</v>
      </c>
      <c r="K122" s="306">
        <f>L122/L$108</f>
        <v>1.0210260299508733</v>
      </c>
      <c r="L122" s="307">
        <f>SUM(L112:L121)</f>
        <v>43565.689999999995</v>
      </c>
      <c r="M122" s="311"/>
      <c r="N122" s="307">
        <f t="shared" si="35"/>
        <v>-12877.117554843746</v>
      </c>
      <c r="O122" s="308" t="s">
        <v>119</v>
      </c>
      <c r="P122" s="306">
        <f>Q122/Q$108</f>
        <v>1.0787223518906213</v>
      </c>
      <c r="Q122" s="307">
        <f>SUM(Q112:Q121)</f>
        <v>40347.56</v>
      </c>
      <c r="R122" s="311"/>
      <c r="S122" s="307">
        <f t="shared" si="37"/>
        <v>3218.1299999999974</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12590.7</v>
      </c>
      <c r="G123" s="253"/>
      <c r="H123" s="41"/>
      <c r="I123" s="254"/>
      <c r="J123" s="253"/>
      <c r="K123" s="41"/>
      <c r="L123" s="256">
        <f>SUMIFS(BV_Data_An_Cour!$O:$O,BV_Data_An_Cour!$U:$U,$B123,BV_Data_An_Cour!$V:$V,$C123,BV_Data_An_Cour!$W:$W,$L$2)</f>
        <v>11107.96</v>
      </c>
      <c r="M123" s="253"/>
      <c r="N123" s="276">
        <f t="shared" si="35"/>
        <v>-1482.7400000000016</v>
      </c>
      <c r="O123" s="253"/>
      <c r="P123" s="41"/>
      <c r="Q123" s="256">
        <f t="array" ref="Q123">+INDEX('Réel 2023'!$A$2:$AO$501,MATCH($A123,'Réel 2023'!$A$2:$A$501,0),MATCH(Q$2,'Réel 2023'!$A$2:$AO$2,0))</f>
        <v>10212.93</v>
      </c>
      <c r="R123" s="253"/>
      <c r="S123" s="276">
        <f t="shared" si="37"/>
        <v>895.02999999999884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4255.0024615384618</v>
      </c>
      <c r="G124" s="298"/>
      <c r="H124" s="41"/>
      <c r="I124" s="248"/>
      <c r="J124" s="253"/>
      <c r="K124" s="41"/>
      <c r="L124" s="248">
        <f>SUMIFS(BV_Data_An_Cour!$O:$O,BV_Data_An_Cour!$U:$U,$B124,BV_Data_An_Cour!$V:$V,$C124,BV_Data_An_Cour!$W:$W,$L$2)</f>
        <v>1842.07</v>
      </c>
      <c r="M124" s="253"/>
      <c r="N124" s="276">
        <f t="shared" si="35"/>
        <v>-2412.9324615384621</v>
      </c>
      <c r="O124" s="253"/>
      <c r="P124" s="41"/>
      <c r="Q124" s="248">
        <f t="array" ref="Q124">+INDEX('Réel 2023'!$A$2:$AO$501,MATCH($A124,'Réel 2023'!$A$2:$A$501,0),MATCH(Q$2,'Réel 2023'!$A$2:$AO$2,0))</f>
        <v>6522.44</v>
      </c>
      <c r="R124" s="253"/>
      <c r="S124" s="276">
        <f t="shared" si="37"/>
        <v>-4680.37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5693.6923076923076</v>
      </c>
      <c r="G125" s="316"/>
      <c r="H125" s="315"/>
      <c r="I125" s="254"/>
      <c r="J125" s="241"/>
      <c r="K125" s="315"/>
      <c r="L125" s="256">
        <f>SUMIFS(BV_Data_An_Cour!$O:$O,BV_Data_An_Cour!$U:$U,$B125,BV_Data_An_Cour!$V:$V,$C125,BV_Data_An_Cour!$W:$W,$L$2)</f>
        <v>6383.58</v>
      </c>
      <c r="M125" s="241"/>
      <c r="N125" s="317">
        <f t="shared" si="35"/>
        <v>689.8876923076923</v>
      </c>
      <c r="O125" s="241"/>
      <c r="P125" s="315"/>
      <c r="Q125" s="256">
        <f t="array" ref="Q125">+INDEX('Réel 2023'!$A$2:$AO$501,MATCH($A125,'Réel 2023'!$A$2:$A$501,0),MATCH(Q$2,'Réel 2023'!$A$2:$AO$2,0))</f>
        <v>5890.94</v>
      </c>
      <c r="R125" s="241"/>
      <c r="S125" s="317">
        <f t="shared" si="37"/>
        <v>492.64000000000033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6696.7188396410256</v>
      </c>
      <c r="G130" s="298"/>
      <c r="H130" s="41"/>
      <c r="I130" s="254"/>
      <c r="J130" s="253"/>
      <c r="K130" s="41"/>
      <c r="L130" s="256">
        <f>SUMIFS(BV_Data_An_Cour!$O:$O,BV_Data_An_Cour!$U:$U,$B130,BV_Data_An_Cour!$V:$V,$C130,BV_Data_An_Cour!$W:$W,$L$2)</f>
        <v>6479.74</v>
      </c>
      <c r="M130" s="253"/>
      <c r="N130" s="276">
        <f t="shared" si="35"/>
        <v>-216.97883964102584</v>
      </c>
      <c r="O130" s="253"/>
      <c r="P130" s="41"/>
      <c r="Q130" s="256">
        <f t="array" ref="Q130">+INDEX('Réel 2023'!$A$2:$AO$501,MATCH($A130,'Réel 2023'!$A$2:$A$501,0),MATCH(Q$2,'Réel 2023'!$A$2:$AO$2,0))</f>
        <v>6699.86</v>
      </c>
      <c r="R130" s="253"/>
      <c r="S130" s="276">
        <f t="shared" si="37"/>
        <v>-220.11999999999989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8142.266078153847</v>
      </c>
      <c r="G131" s="316"/>
      <c r="H131" s="315"/>
      <c r="I131" s="271"/>
      <c r="J131" s="241"/>
      <c r="K131" s="315"/>
      <c r="L131" s="272">
        <f>SUMIFS(BV_Data_An_Cour!$O:$O,BV_Data_An_Cour!$U:$U,$B131,BV_Data_An_Cour!$V:$V,$C131,BV_Data_An_Cour!$W:$W,$L$2)</f>
        <v>5314.54</v>
      </c>
      <c r="M131" s="241"/>
      <c r="N131" s="317">
        <f t="shared" si="35"/>
        <v>-2827.7260781538471</v>
      </c>
      <c r="O131" s="241"/>
      <c r="P131" s="315"/>
      <c r="Q131" s="272">
        <f t="array" ref="Q131">+INDEX('Réel 2023'!$A$2:$AO$501,MATCH($A131,'Réel 2023'!$A$2:$A$501,0),MATCH(Q$2,'Réel 2023'!$A$2:$AO$2,0))</f>
        <v>7226.39</v>
      </c>
      <c r="R131" s="241"/>
      <c r="S131" s="317">
        <f t="shared" si="37"/>
        <v>-1911.8500000000004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4195.0370880923074</v>
      </c>
      <c r="G132" s="298"/>
      <c r="H132" s="41"/>
      <c r="I132" s="254"/>
      <c r="J132" s="253"/>
      <c r="K132" s="41"/>
      <c r="L132" s="256">
        <f>SUMIFS(BV_Data_An_Cour!$O:$O,BV_Data_An_Cour!$U:$U,$B132,BV_Data_An_Cour!$V:$V,$C132,BV_Data_An_Cour!$W:$W,$L$2)</f>
        <v>717.73</v>
      </c>
      <c r="M132" s="253"/>
      <c r="N132" s="276">
        <f t="shared" si="35"/>
        <v>-3477.3070880923074</v>
      </c>
      <c r="O132" s="253"/>
      <c r="P132" s="41"/>
      <c r="Q132" s="256">
        <f t="array" ref="Q132">+INDEX('Réel 2023'!$A$2:$AO$501,MATCH($A132,'Réel 2023'!$A$2:$A$501,0),MATCH(Q$2,'Réel 2023'!$A$2:$AO$2,0))</f>
        <v>1485.91</v>
      </c>
      <c r="R132" s="253"/>
      <c r="S132" s="276">
        <f t="shared" si="37"/>
        <v>-768.18000000000006</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1829.0597711794871</v>
      </c>
      <c r="G133" s="298"/>
      <c r="H133" s="41"/>
      <c r="I133" s="254"/>
      <c r="J133" s="253"/>
      <c r="K133" s="41"/>
      <c r="L133" s="256">
        <f>SUMIFS(BV_Data_An_Cour!$O:$O,BV_Data_An_Cour!$U:$U,$B133,BV_Data_An_Cour!$V:$V,$C133,BV_Data_An_Cour!$W:$W,$L$2)</f>
        <v>1440.25</v>
      </c>
      <c r="M133" s="253"/>
      <c r="N133" s="276">
        <f t="shared" si="35"/>
        <v>-388.80977117948714</v>
      </c>
      <c r="O133" s="253"/>
      <c r="P133" s="41"/>
      <c r="Q133" s="256">
        <f t="array" ref="Q133">+INDEX('Réel 2023'!$A$2:$AO$501,MATCH($A133,'Réel 2023'!$A$2:$A$501,0),MATCH(Q$2,'Réel 2023'!$A$2:$AO$2,0))</f>
        <v>1221.9000000000001</v>
      </c>
      <c r="R133" s="253"/>
      <c r="S133" s="276">
        <f t="shared" si="37"/>
        <v>218.34999999999991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0.37355386568576315</v>
      </c>
      <c r="F135" s="307">
        <f>+SUM(F123:F134)</f>
        <v>43402.476546297446</v>
      </c>
      <c r="G135" s="308"/>
      <c r="H135" s="306"/>
      <c r="I135" s="307"/>
      <c r="J135" s="308" t="s">
        <v>119</v>
      </c>
      <c r="K135" s="306">
        <f>L135/L$108</f>
        <v>0.78010332671331217</v>
      </c>
      <c r="L135" s="307">
        <f>SUM(L123:L134)</f>
        <v>33285.869999999995</v>
      </c>
      <c r="M135" s="355"/>
      <c r="N135" s="320">
        <f t="shared" si="35"/>
        <v>-10116.606546297451</v>
      </c>
      <c r="O135" s="308" t="s">
        <v>119</v>
      </c>
      <c r="P135" s="306">
        <f>Q135/Q$108</f>
        <v>1.0496555098374225</v>
      </c>
      <c r="Q135" s="307">
        <f>+SUM(Q123:Q134)</f>
        <v>39260.370000000003</v>
      </c>
      <c r="R135" s="355"/>
      <c r="S135" s="320">
        <f t="shared" si="37"/>
        <v>-5974.5000000000073</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2741.68</v>
      </c>
      <c r="M138" s="246"/>
      <c r="N138" s="296">
        <f t="shared" si="35"/>
        <v>283.34666666666635</v>
      </c>
      <c r="O138" s="246"/>
      <c r="P138" s="318"/>
      <c r="Q138" s="248">
        <f t="array" ref="Q138">+INDEX('Réel 2023'!$A$2:$AO$501,MATCH($A138,'Réel 2023'!$A$2:$A$501,0),MATCH(Q$2,'Réel 2023'!$A$2:$AO$2,0))</f>
        <v>111.3</v>
      </c>
      <c r="R138" s="246"/>
      <c r="S138" s="296">
        <f t="shared" si="37"/>
        <v>2630.3799999999997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3915.83</v>
      </c>
      <c r="M139" s="253"/>
      <c r="N139" s="276">
        <f t="shared" si="35"/>
        <v>288.78846266666687</v>
      </c>
      <c r="O139" s="253"/>
      <c r="P139" s="41"/>
      <c r="Q139" s="256">
        <f t="array" ref="Q139">+INDEX('Réel 2023'!$A$2:$AO$501,MATCH($A139,'Réel 2023'!$A$2:$A$501,0),MATCH(Q$2,'Réel 2023'!$A$2:$AO$2,0))</f>
        <v>3588.82</v>
      </c>
      <c r="R139" s="253"/>
      <c r="S139" s="276">
        <f t="shared" si="37"/>
        <v>327.00999999999976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419.41</v>
      </c>
      <c r="M140" s="253"/>
      <c r="N140" s="276">
        <f t="shared" si="35"/>
        <v>-101.69924639426284</v>
      </c>
      <c r="O140" s="253"/>
      <c r="P140" s="41"/>
      <c r="Q140" s="256">
        <f t="array" ref="Q140">+INDEX('Réel 2023'!$A$2:$AO$501,MATCH($A140,'Réel 2023'!$A$2:$A$501,0),MATCH(Q$2,'Réel 2023'!$A$2:$AO$2,0))</f>
        <v>403</v>
      </c>
      <c r="R140" s="253"/>
      <c r="S140" s="276">
        <f t="shared" si="37"/>
        <v>16.410000000000025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2602.9</v>
      </c>
      <c r="M141" s="246"/>
      <c r="N141" s="296">
        <f t="shared" si="35"/>
        <v>1113.3089466722224</v>
      </c>
      <c r="O141" s="246"/>
      <c r="P141" s="318"/>
      <c r="Q141" s="248">
        <f t="array" ref="Q141">+INDEX('Réel 2023'!$A$2:$AO$501,MATCH($A141,'Réel 2023'!$A$2:$A$501,0),MATCH(Q$2,'Réel 2023'!$A$2:$AO$2,0))</f>
        <v>1326.64</v>
      </c>
      <c r="R141" s="246"/>
      <c r="S141" s="296">
        <f t="shared" si="37"/>
        <v>1276.26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21.93</v>
      </c>
      <c r="M142" s="253"/>
      <c r="N142" s="276">
        <f t="shared" si="35"/>
        <v>-103.07</v>
      </c>
      <c r="O142" s="253"/>
      <c r="P142" s="41"/>
      <c r="Q142" s="256">
        <f t="array" ref="Q142">+INDEX('Réel 2023'!$A$2:$AO$501,MATCH($A142,'Réel 2023'!$A$2:$A$501,0),MATCH(Q$2,'Réel 2023'!$A$2:$AO$2,0))</f>
        <v>71.819999999999993</v>
      </c>
      <c r="R142" s="253"/>
      <c r="S142" s="276">
        <f t="shared" si="37"/>
        <v>-49.889999999999993</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433.14</v>
      </c>
      <c r="M144" s="253"/>
      <c r="N144" s="276">
        <f t="shared" si="35"/>
        <v>126.355743012</v>
      </c>
      <c r="O144" s="253"/>
      <c r="P144" s="41"/>
      <c r="Q144" s="256">
        <f t="array" ref="Q144">+INDEX('Réel 2023'!$A$2:$AO$501,MATCH($A144,'Réel 2023'!$A$2:$A$501,0),MATCH(Q$2,'Réel 2023'!$A$2:$AO$2,0))</f>
        <v>403.47</v>
      </c>
      <c r="R144" s="253"/>
      <c r="S144" s="276">
        <f t="shared" si="37"/>
        <v>29.669999999999959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81.040000000000006</v>
      </c>
      <c r="M145" s="253"/>
      <c r="N145" s="276">
        <f t="shared" si="35"/>
        <v>-3.4466318948333026</v>
      </c>
      <c r="O145" s="253"/>
      <c r="P145" s="41"/>
      <c r="Q145" s="256">
        <f t="array" ref="Q145">+INDEX('Réel 2023'!$A$2:$AO$501,MATCH($A145,'Réel 2023'!$A$2:$A$501,0),MATCH(Q$2,'Réel 2023'!$A$2:$AO$2,0))</f>
        <v>91.35</v>
      </c>
      <c r="R145" s="253"/>
      <c r="S145" s="276">
        <f t="shared" si="37"/>
        <v>-10.309999999999988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12.36</v>
      </c>
      <c r="M146" s="253"/>
      <c r="N146" s="276">
        <f t="shared" si="35"/>
        <v>-47.966747465166655</v>
      </c>
      <c r="O146" s="253"/>
      <c r="P146" s="41"/>
      <c r="Q146" s="256">
        <f t="array" ref="Q146">+INDEX('Réel 2023'!$A$2:$AO$501,MATCH($A146,'Réel 2023'!$A$2:$A$501,0),MATCH(Q$2,'Réel 2023'!$A$2:$AO$2,0))</f>
        <v>86.32</v>
      </c>
      <c r="R146" s="253"/>
      <c r="S146" s="276">
        <f t="shared" si="37"/>
        <v>-73.959999999999994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35.86</v>
      </c>
      <c r="M147" s="253"/>
      <c r="N147" s="276">
        <f t="shared" si="35"/>
        <v>-163.92005128816663</v>
      </c>
      <c r="O147" s="253"/>
      <c r="P147" s="41"/>
      <c r="Q147" s="256">
        <f t="array" ref="Q147">+INDEX('Réel 2023'!$A$2:$AO$501,MATCH($A147,'Réel 2023'!$A$2:$A$501,0),MATCH(Q$2,'Réel 2023'!$A$2:$AO$2,0))</f>
        <v>35.340000000000003</v>
      </c>
      <c r="R147" s="253"/>
      <c r="S147" s="276">
        <f t="shared" si="37"/>
        <v>0.51999999999999602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38.28</v>
      </c>
      <c r="M148" s="253"/>
      <c r="N148" s="276">
        <f t="shared" si="35"/>
        <v>-463.95226969701434</v>
      </c>
      <c r="O148" s="253"/>
      <c r="P148" s="41"/>
      <c r="Q148" s="256">
        <f t="array" ref="Q148">+INDEX('Réel 2023'!$A$2:$AO$501,MATCH($A148,'Réel 2023'!$A$2:$A$501,0),MATCH(Q$2,'Réel 2023'!$A$2:$AO$2,0))</f>
        <v>32.5</v>
      </c>
      <c r="R148" s="253"/>
      <c r="S148" s="276">
        <f t="shared" si="37"/>
        <v>5.7800000000000011</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2">
        <f>SUMIFS(BV_Data_An_Cour!$O:$O,BV_Data_An_Cour!$U:$U,$B149,BV_Data_An_Cour!$V:$V,$C149,BV_Data_An_Cour!$W:$W,$L$2)</f>
        <v>934.45</v>
      </c>
      <c r="M149" s="253"/>
      <c r="N149" s="961">
        <f t="shared" si="35"/>
        <v>152.2754289417079</v>
      </c>
      <c r="O149" s="253"/>
      <c r="P149" s="41"/>
      <c r="Q149" s="256">
        <f t="array" ref="Q149">+INDEX('Réel 2023'!$A$2:$AO$501,MATCH($A149,'Réel 2023'!$A$2:$A$501,0),MATCH(Q$2,'Réel 2023'!$A$2:$AO$2,0))</f>
        <v>712.51</v>
      </c>
      <c r="R149" s="253"/>
      <c r="S149" s="276">
        <f t="shared" si="37"/>
        <v>221.94000000000005</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8.8134687163162417E-2</v>
      </c>
      <c r="F153" s="307">
        <f>+SUM(F136:F152)</f>
        <v>10240.193032113515</v>
      </c>
      <c r="G153" s="308"/>
      <c r="H153" s="306"/>
      <c r="I153" s="307"/>
      <c r="J153" s="308" t="s">
        <v>119</v>
      </c>
      <c r="K153" s="306">
        <f>L153/L$108</f>
        <v>0.2633528121655912</v>
      </c>
      <c r="L153" s="307">
        <f>+SUM(L136:L152)</f>
        <v>11236.880000000003</v>
      </c>
      <c r="M153" s="311"/>
      <c r="N153" s="307">
        <f t="shared" si="35"/>
        <v>996.68696788648776</v>
      </c>
      <c r="O153" s="308" t="s">
        <v>119</v>
      </c>
      <c r="P153" s="306">
        <f>Q153/Q$108</f>
        <v>0.18348933644537532</v>
      </c>
      <c r="Q153" s="307">
        <f>+SUM(Q136:Q152)</f>
        <v>6863.0700000000015</v>
      </c>
      <c r="R153" s="311"/>
      <c r="S153" s="307">
        <f t="shared" si="37"/>
        <v>4373.8100000000013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0.94747716746354782</v>
      </c>
      <c r="F155" s="307">
        <f>F122+F135+F153</f>
        <v>110085.4771332547</v>
      </c>
      <c r="G155" s="308"/>
      <c r="H155" s="306"/>
      <c r="I155" s="307"/>
      <c r="J155" s="308" t="s">
        <v>119</v>
      </c>
      <c r="K155" s="306">
        <f>L155/L$108</f>
        <v>2.0644821688297768</v>
      </c>
      <c r="L155" s="307">
        <f>L122+L135+L153</f>
        <v>88088.44</v>
      </c>
      <c r="M155" s="311"/>
      <c r="N155" s="320">
        <f t="shared" ref="N155:N162" si="39">L155-F155</f>
        <v>-21997.037133254693</v>
      </c>
      <c r="O155" s="308" t="s">
        <v>119</v>
      </c>
      <c r="P155" s="306">
        <f>Q155/Q$108</f>
        <v>2.3118671981734189</v>
      </c>
      <c r="Q155" s="307">
        <f>Q122+Q135+Q153</f>
        <v>86471</v>
      </c>
      <c r="R155" s="311"/>
      <c r="S155" s="320">
        <f t="shared" ref="S155:S162" si="40">L155-Q155</f>
        <v>1617.4400000000023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4">
        <f>E159/474</f>
        <v>1.0001054852320674</v>
      </c>
      <c r="E159" s="323">
        <f>F159/D97</f>
        <v>474.05</v>
      </c>
      <c r="F159" s="254">
        <f>+INDEX('Budget original'!$A$2:$AO$501,MATCH($A159,'Budget original'!$A$2:$A$501,0),MATCH(F$2,'Budget original'!$A$2:$AO$2,0))</f>
        <v>12491.217500000001</v>
      </c>
      <c r="G159" s="298"/>
      <c r="H159" s="41"/>
      <c r="I159" s="254"/>
      <c r="J159" s="1165">
        <f>K159/474</f>
        <v>1.0228551336146272</v>
      </c>
      <c r="K159" s="323">
        <f>L159/J97</f>
        <v>484.83333333333331</v>
      </c>
      <c r="L159" s="256">
        <f>-SUMIFS(BV_Data_An_Cour!$O:$O,BV_Data_An_Cour!$U:$U,$B159,BV_Data_An_Cour!$V:$V,$C159,BV_Data_An_Cour!$W:$W,L$2)</f>
        <v>8727</v>
      </c>
      <c r="M159" s="253"/>
      <c r="N159" s="276">
        <f t="shared" si="39"/>
        <v>-3764.2175000000007</v>
      </c>
      <c r="O159" s="253"/>
      <c r="P159" s="41"/>
      <c r="Q159" s="256">
        <f t="array" ref="Q159">+INDEX('Réel 2023'!$A$2:$AO$501,MATCH($A159,'Réel 2023'!$A$2:$A$501,0),MATCH(Q$2,'Réel 2023'!$A$2:$AO$2,0))</f>
        <v>7734</v>
      </c>
      <c r="R159" s="253"/>
      <c r="S159" s="276">
        <f t="shared" si="40"/>
        <v>993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12491.217500000001</v>
      </c>
      <c r="G163" s="308"/>
      <c r="H163" s="306"/>
      <c r="I163" s="307"/>
      <c r="J163" s="308"/>
      <c r="K163" s="306"/>
      <c r="L163" s="307">
        <f>+SUM(L156:L162)</f>
        <v>8727</v>
      </c>
      <c r="M163" s="311"/>
      <c r="N163" s="307">
        <f>SUM(N156:N159)</f>
        <v>-3764.2175000000007</v>
      </c>
      <c r="O163" s="308"/>
      <c r="P163" s="306"/>
      <c r="Q163" s="307">
        <f>+SUM(Q156:Q162)</f>
        <v>7734</v>
      </c>
      <c r="R163" s="311"/>
      <c r="S163" s="307">
        <f>+SUM(S156:S162)</f>
        <v>993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18593.740366745304</v>
      </c>
      <c r="G165" s="361"/>
      <c r="H165" s="333"/>
      <c r="I165" s="335"/>
      <c r="J165" s="332"/>
      <c r="K165" s="334"/>
      <c r="L165" s="335">
        <f>L108-L155+L163</f>
        <v>-36692.900000000045</v>
      </c>
      <c r="M165" s="332"/>
      <c r="N165" s="335">
        <f>L165-F165</f>
        <v>-55286.640366745349</v>
      </c>
      <c r="O165" s="332"/>
      <c r="P165" s="1148">
        <f>+Q165/Q93</f>
        <v>-5.2966252506577625E-2</v>
      </c>
      <c r="Q165" s="335">
        <f>Q108-Q155+Q163</f>
        <v>-41333.900000000089</v>
      </c>
      <c r="R165" s="332"/>
      <c r="S165" s="335">
        <f>L165-Q165</f>
        <v>4641.0000000000437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Décembre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30"/>
      <c r="H170" s="1226"/>
      <c r="I170" s="1227"/>
      <c r="J170" s="1230" t="s">
        <v>344</v>
      </c>
      <c r="K170" s="1226"/>
      <c r="L170" s="1227"/>
      <c r="M170" s="1230" t="s">
        <v>3310</v>
      </c>
      <c r="N170" s="1227"/>
      <c r="O170" s="1225" t="s">
        <v>345</v>
      </c>
      <c r="P170" s="1226"/>
      <c r="Q170" s="1227"/>
      <c r="R170" s="1228" t="s">
        <v>3312</v>
      </c>
      <c r="S170" s="1229"/>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405.69431246007315</v>
      </c>
      <c r="E172" s="291">
        <f>+INDEX('Budget original'!$A$2:$AO$501,MATCH($A172,'Budget original'!$A$2:$A$501,0),MATCH(E$2,'Budget original'!$A$2:$AO$2,0))</f>
        <v>133879.12311182416</v>
      </c>
      <c r="F172" s="291">
        <f>+INDEX('Budget original'!$A$2:$AO$501,MATCH($A172,'Budget original'!$A$2:$A$501,0),MATCH(F$2,'Budget original'!$A$2:$AO$2,0))</f>
        <v>101748.13356498636</v>
      </c>
      <c r="G172" s="277"/>
      <c r="H172" s="291"/>
      <c r="I172" s="291"/>
      <c r="J172" s="277">
        <f>-SUMIFS(BV_Data_An_Cour!$O:$O,BV_Data_An_Cour!$U:$U,$B172,BV_Data_An_Cour!$V:$V,$C172,BV_Data_An_Cour!$W:$W,J$2)</f>
        <v>341</v>
      </c>
      <c r="K172" s="254">
        <f>-SUMIFS(BV_Data_An_Cour!$O:$O,BV_Data_An_Cour!$X:$X,"Oui",BV_Data_An_Cour!$U:$U,$B172,BV_Data_An_Cour!$V:$V,$C172)</f>
        <v>116339.57</v>
      </c>
      <c r="L172" s="256">
        <f>-SUMIFS(BV_Data_An_Cour!$O:$O,BV_Data_An_Cour!$U:$U,$B172,BV_Data_An_Cour!$V:$V,$C172,BV_Data_An_Cour!$W:$W,$L$2)</f>
        <v>92906.510000000009</v>
      </c>
      <c r="M172" s="292">
        <f>(K172-E172)/E172</f>
        <v>-0.13101036744298084</v>
      </c>
      <c r="N172" s="276">
        <f>L172-F172</f>
        <v>-8841.623564986352</v>
      </c>
      <c r="O172" s="277">
        <f t="array" ref="O172">+INDEX('Réel 2023'!$A$2:$AO$501,MATCH($A172,'Réel 2023'!$A$2:$A$501,0),MATCH(O$2,'Réel 2023'!$A$2:$AO$2,0))</f>
        <v>419</v>
      </c>
      <c r="P172" s="254">
        <f t="array" ref="P172">+INDEX('Réel 2023'!$A$2:$AO$501,MATCH($A172,'Réel 2023'!$A$2:$A$501,0),MATCH(P$2,'Réel 2023'!$A$2:$AO$2,0))</f>
        <v>128700.36</v>
      </c>
      <c r="Q172" s="256">
        <f t="array" ref="Q172">+INDEX('Réel 2023'!$A$2:$AO$501,MATCH($A172,'Réel 2023'!$A$2:$A$501,0),MATCH(Q$2,'Réel 2023'!$A$2:$AO$2,0))</f>
        <v>96080.960000000006</v>
      </c>
      <c r="R172" s="292">
        <f>IF(O172=0,0,J172/O172)</f>
        <v>0.81384248210023868</v>
      </c>
      <c r="S172" s="276">
        <f>L172-Q172</f>
        <v>-3174.4499999999971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0.7985804829775458</v>
      </c>
      <c r="M173" s="292"/>
      <c r="N173" s="276"/>
      <c r="O173" s="277"/>
      <c r="P173" s="41"/>
      <c r="Q173" s="362">
        <f>Q172/P172</f>
        <v>0.74654771750444215</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330.00000000000006</v>
      </c>
      <c r="F174" s="364"/>
      <c r="G174" s="365"/>
      <c r="H174" s="363"/>
      <c r="I174" s="364"/>
      <c r="J174" s="365"/>
      <c r="K174" s="363">
        <f>IFERROR(K172/J172,0)</f>
        <v>341.1717595307918</v>
      </c>
      <c r="L174" s="364"/>
      <c r="M174" s="295"/>
      <c r="N174" s="296"/>
      <c r="O174" s="365"/>
      <c r="P174" s="363">
        <f>IFERROR(P172/O172,0)</f>
        <v>307.16076372315035</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85.921594933154992</v>
      </c>
      <c r="E175" s="291">
        <f>+INDEX('Budget original'!$A$2:$AO$501,MATCH($A175,'Budget original'!$A$2:$A$501,0),MATCH(E$2,'Budget original'!$A$2:$AO$2,0))</f>
        <v>23198.830631951849</v>
      </c>
      <c r="F175" s="291">
        <f>+INDEX('Budget original'!$A$2:$AO$501,MATCH($A175,'Budget original'!$A$2:$A$501,0),MATCH(F$2,'Budget original'!$A$2:$AO$2,0))</f>
        <v>14847.251604449184</v>
      </c>
      <c r="G175" s="367"/>
      <c r="H175" s="291"/>
      <c r="I175" s="291"/>
      <c r="J175" s="367">
        <f>-SUMIFS(BV_Data_An_Cour!$O:$O,BV_Data_An_Cour!$U:$U,$B175,BV_Data_An_Cour!$V:$V,$C175,BV_Data_An_Cour!$W:$W,J$2)</f>
        <v>177</v>
      </c>
      <c r="K175" s="271">
        <f>-SUMIFS(BV_Data_An_Cour!$O:$O,BV_Data_An_Cour!$X:$X,"Oui",BV_Data_An_Cour!$U:$U,$B175,BV_Data_An_Cour!$V:$V,$C175)</f>
        <v>49986.77</v>
      </c>
      <c r="L175" s="256">
        <f>-SUMIFS(BV_Data_An_Cour!$O:$O,BV_Data_An_Cour!$U:$U,$B175,BV_Data_An_Cour!$V:$V,$C175,BV_Data_An_Cour!$W:$W,$L$2)</f>
        <v>35192.289999999994</v>
      </c>
      <c r="M175" s="292">
        <f>(K175-E175)/E175</f>
        <v>1.1547107607722695</v>
      </c>
      <c r="N175" s="317">
        <f>L175-F175</f>
        <v>20345.038395550808</v>
      </c>
      <c r="O175" s="367">
        <f t="array" ref="O175">+INDEX('Réel 2023'!$A$2:$AO$501,MATCH($A175,'Réel 2023'!$A$2:$A$501,0),MATCH(O$2,'Réel 2023'!$A$2:$AO$2,0))</f>
        <v>147</v>
      </c>
      <c r="P175" s="271">
        <f t="array" ref="P175">+INDEX('Réel 2023'!$A$2:$AO$501,MATCH($A175,'Réel 2023'!$A$2:$A$501,0),MATCH(P$2,'Réel 2023'!$A$2:$AO$2,0))</f>
        <v>37642.85</v>
      </c>
      <c r="Q175" s="256">
        <f t="array" ref="Q175">+INDEX('Réel 2023'!$A$2:$AO$501,MATCH($A175,'Réel 2023'!$A$2:$A$501,0),MATCH(Q$2,'Réel 2023'!$A$2:$AO$2,0))</f>
        <v>23135.589999999898</v>
      </c>
      <c r="R175" s="292">
        <f>IF(O175=0,0,J175/O175)</f>
        <v>1.2040816326530612</v>
      </c>
      <c r="S175" s="276">
        <f>L175-Q175</f>
        <v>12056.700000000095</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0.70403208689019103</v>
      </c>
      <c r="M176" s="264"/>
      <c r="N176" s="265"/>
      <c r="O176" s="253"/>
      <c r="P176" s="41"/>
      <c r="Q176" s="362">
        <f>Q175/P175</f>
        <v>0.6146078206086919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282.41112994350283</v>
      </c>
      <c r="L177" s="364"/>
      <c r="M177" s="295"/>
      <c r="N177" s="296"/>
      <c r="O177" s="365"/>
      <c r="P177" s="363">
        <f>IFERROR(P175/O175,0)</f>
        <v>256.07380952380953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131.25</v>
      </c>
      <c r="E178" s="291">
        <f>+INDEX('Budget original'!$A$2:$AO$501,MATCH($A178,'Budget original'!$A$2:$A$501,0),MATCH(E$2,'Budget original'!$A$2:$AO$2,0))</f>
        <v>38587.5</v>
      </c>
      <c r="F178" s="291">
        <f>+INDEX('Budget original'!$A$2:$AO$501,MATCH($A178,'Budget original'!$A$2:$A$501,0),MATCH(F$2,'Budget original'!$A$2:$AO$2,0))</f>
        <v>28554.75</v>
      </c>
      <c r="G178" s="277"/>
      <c r="H178" s="291"/>
      <c r="I178" s="291"/>
      <c r="J178" s="277">
        <f>-SUMIFS(BV_Data_An_Cour!$O:$O,BV_Data_An_Cour!$U:$U,$B178,BV_Data_An_Cour!$V:$V,$C178,BV_Data_An_Cour!$W:$W,J$2)</f>
        <v>234</v>
      </c>
      <c r="K178" s="271">
        <f>-SUMIFS(BV_Data_An_Cour!$O:$O,BV_Data_An_Cour!$X:$X,"Oui",BV_Data_An_Cour!$U:$U,$B178,BV_Data_An_Cour!$V:$V,$C178)</f>
        <v>65784.02</v>
      </c>
      <c r="L178" s="256">
        <f>-SUMIFS(BV_Data_An_Cour!$O:$O,BV_Data_An_Cour!$U:$U,$B178,BV_Data_An_Cour!$V:$V,$C178,BV_Data_An_Cour!$W:$W,$L$2)</f>
        <v>50885.99</v>
      </c>
      <c r="M178" s="292">
        <f>(K178-E178)/E178</f>
        <v>0.70480129575639794</v>
      </c>
      <c r="N178" s="276">
        <f>L178-F178</f>
        <v>22331.239999999998</v>
      </c>
      <c r="O178" s="277">
        <f t="array" ref="O178">+INDEX('Réel 2023'!$A$2:$AO$501,MATCH($A178,'Réel 2023'!$A$2:$A$501,0),MATCH(O$2,'Réel 2023'!$A$2:$AO$2,0))</f>
        <v>225</v>
      </c>
      <c r="P178" s="271">
        <f t="array" ref="P178">+INDEX('Réel 2023'!$A$2:$AO$501,MATCH($A178,'Réel 2023'!$A$2:$A$501,0),MATCH(P$2,'Réel 2023'!$A$2:$AO$2,0))</f>
        <v>70900.88</v>
      </c>
      <c r="Q178" s="256">
        <f t="array" ref="Q178">+INDEX('Réel 2023'!$A$2:$AO$501,MATCH($A178,'Réel 2023'!$A$2:$A$501,0),MATCH(Q$2,'Réel 2023'!$A$2:$AO$2,0))</f>
        <v>49261.43</v>
      </c>
      <c r="R178" s="292">
        <f>IF(O178=0,0,J178/O178)</f>
        <v>1.04</v>
      </c>
      <c r="S178" s="276">
        <f>L178-Q178</f>
        <v>1624.5599999999977</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0.77353117063992127</v>
      </c>
      <c r="M179" s="292"/>
      <c r="N179" s="276">
        <f>L179-F179</f>
        <v>3.3531170639921282E-2</v>
      </c>
      <c r="O179" s="277"/>
      <c r="P179" s="349"/>
      <c r="Q179" s="362">
        <f>Q178/P178</f>
        <v>0.69479292781697488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281.12829059829062</v>
      </c>
      <c r="L180" s="364"/>
      <c r="M180" s="295"/>
      <c r="N180" s="296"/>
      <c r="O180" s="365"/>
      <c r="P180" s="363">
        <f>IFERROR(P178/O178,0)</f>
        <v>315.11502222222225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68.098335917235062</v>
      </c>
      <c r="E181" s="291">
        <f>+INDEX('Budget original'!$A$2:$AO$501,MATCH($A181,'Budget original'!$A$2:$A$501,0),MATCH(E$2,'Budget original'!$A$2:$AO$2,0))</f>
        <v>6809.8335917235054</v>
      </c>
      <c r="F181" s="291">
        <f>+INDEX('Budget original'!$A$2:$AO$501,MATCH($A181,'Budget original'!$A$2:$A$501,0),MATCH(F$2,'Budget original'!$A$2:$AO$2,0))</f>
        <v>5175.4735297098641</v>
      </c>
      <c r="G181" s="367"/>
      <c r="H181" s="291"/>
      <c r="I181" s="291"/>
      <c r="J181" s="367">
        <f>-SUMIFS(BV_Data_An_Cour!$O:$O,BV_Data_An_Cour!$U:$U,$B181,BV_Data_An_Cour!$V:$V,$C181,BV_Data_An_Cour!$W:$W,J$2)</f>
        <v>0</v>
      </c>
      <c r="K181" s="271">
        <f>-SUMIFS(BV_Data_An_Cour!$O:$O,BV_Data_An_Cour!$X:$X,"Oui",BV_Data_An_Cour!$U:$U,$B181,BV_Data_An_Cour!$V:$V,$C181)</f>
        <v>6881.58</v>
      </c>
      <c r="L181" s="272">
        <f>-SUMIFS(BV_Data_An_Cour!$O:$O,BV_Data_An_Cour!$U:$U,$B181,BV_Data_An_Cour!$V:$V,$C181,BV_Data_An_Cour!$W:$W,$L$2)</f>
        <v>4923.2</v>
      </c>
      <c r="M181" s="371">
        <f>IF(E181=0,0,(K181-E181)/E181)</f>
        <v>1.0535706535280577E-2</v>
      </c>
      <c r="N181" s="317">
        <f>L181-F181</f>
        <v>-252.27352970986431</v>
      </c>
      <c r="O181" s="367">
        <f t="array" ref="O181">+INDEX('Réel 2023'!$A$2:$AO$501,MATCH($A181,'Réel 2023'!$A$2:$A$501,0),MATCH(O$2,'Réel 2023'!$A$2:$AO$2,0))</f>
        <v>0</v>
      </c>
      <c r="P181" s="271">
        <f t="array" ref="P181">+INDEX('Réel 2023'!$A$2:$AO$501,MATCH($A181,'Réel 2023'!$A$2:$A$501,0),MATCH(P$2,'Réel 2023'!$A$2:$AO$2,0))</f>
        <v>5666.32</v>
      </c>
      <c r="Q181" s="272">
        <f t="array" ref="Q181">+INDEX('Réel 2023'!$A$2:$AO$501,MATCH($A181,'Réel 2023'!$A$2:$A$501,0),MATCH(Q$2,'Réel 2023'!$A$2:$AO$2,0))</f>
        <v>4409.3099999999904</v>
      </c>
      <c r="R181" s="292">
        <f>IF(O181=0,0,J181/O181)</f>
        <v>0</v>
      </c>
      <c r="S181" s="317">
        <f>L181-Q181</f>
        <v>513.89000000000942</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0.71541709898017602</v>
      </c>
      <c r="M182" s="277">
        <f>J182-D182</f>
        <v>0</v>
      </c>
      <c r="N182" s="374"/>
      <c r="O182" s="373"/>
      <c r="P182" s="372"/>
      <c r="Q182" s="362">
        <f>IFERROR(Q181/P181,0)</f>
        <v>0.77816113456352454</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-2343.0813317403599</v>
      </c>
      <c r="G184" s="253"/>
      <c r="H184" s="291"/>
      <c r="I184" s="291"/>
      <c r="J184" s="277"/>
      <c r="K184" s="291"/>
      <c r="L184" s="291">
        <f>-SUMIFS(BV_Data_An_Cour!$O:$O,BV_Data_An_Cour!$U:$U,$B184,BV_Data_An_Cour!$V:$V,$C184,BV_Data_An_Cour!$W:$W,$L$2)</f>
        <v>-2291.02</v>
      </c>
      <c r="M184" s="373"/>
      <c r="N184" s="276">
        <f>L184-F184</f>
        <v>52.061331740359947</v>
      </c>
      <c r="O184" s="277"/>
      <c r="P184" s="291"/>
      <c r="Q184" s="256">
        <f t="array" ref="Q184">+INDEX('Réel 2023'!$A$2:$AO$501,MATCH($A184,'Réel 2023'!$A$2:$A$501,0),MATCH(Q$2,'Réel 2023'!$A$2:$AO$2,0))</f>
        <v>-5573.72</v>
      </c>
      <c r="R184" s="379"/>
      <c r="S184" s="276">
        <f t="shared" ref="S184:S185" si="41">L184-Q184</f>
        <v>3282.7000000000003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690.96424331046319</v>
      </c>
      <c r="E185" s="381">
        <f>E172+E175+E178+E181+E184</f>
        <v>202475.28733549951</v>
      </c>
      <c r="F185" s="382">
        <f>F172+F175+F178+F181+F184</f>
        <v>147982.52736740501</v>
      </c>
      <c r="G185" s="383"/>
      <c r="H185" s="381"/>
      <c r="I185" s="382"/>
      <c r="J185" s="383">
        <f t="shared" ref="J185:L185" si="42">J172+J175+J178+J181+J184</f>
        <v>752</v>
      </c>
      <c r="K185" s="381">
        <f t="shared" si="42"/>
        <v>238991.93999999997</v>
      </c>
      <c r="L185" s="382">
        <f t="shared" si="42"/>
        <v>181616.97000000003</v>
      </c>
      <c r="M185" s="384">
        <f>(K185-E185)/E185</f>
        <v>0.1803511586280292</v>
      </c>
      <c r="N185" s="382">
        <f>L185-F185</f>
        <v>33634.442632595019</v>
      </c>
      <c r="O185" s="383">
        <f t="shared" ref="O185:Q185" si="43">O172+O175+O178+O181+O184</f>
        <v>791</v>
      </c>
      <c r="P185" s="381">
        <f t="shared" si="43"/>
        <v>242910.41</v>
      </c>
      <c r="Q185" s="382">
        <f t="shared" si="43"/>
        <v>167313.56999999989</v>
      </c>
      <c r="R185" s="264">
        <f>IF(O185=0,0,J185/O185)</f>
        <v>0.95069532237673826</v>
      </c>
      <c r="S185" s="382">
        <f t="shared" si="41"/>
        <v>14303.40000000014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0.73086710637530528</v>
      </c>
      <c r="G186" s="389"/>
      <c r="H186" s="387"/>
      <c r="I186" s="265"/>
      <c r="J186" s="389"/>
      <c r="K186" s="387">
        <f>IF(J185=0,0,K185/J185)</f>
        <v>317.8084308510638</v>
      </c>
      <c r="L186" s="265">
        <f>IF(L185=0,0,L185/K185)</f>
        <v>0.75992926790752879</v>
      </c>
      <c r="M186" s="389"/>
      <c r="N186" s="388">
        <f>N185/F185</f>
        <v>0.22728658059129367</v>
      </c>
      <c r="O186" s="389"/>
      <c r="P186" s="387">
        <f>IF(O185=0,0,P185/O185)</f>
        <v>307.09280657395703</v>
      </c>
      <c r="Q186" s="265">
        <f>Q185/P185</f>
        <v>0.68878715407873992</v>
      </c>
      <c r="R186" s="389"/>
      <c r="S186" s="265">
        <f>S185/Q185</f>
        <v>8.5488582904543545E-2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9668.5965791247181</v>
      </c>
      <c r="F188" s="291">
        <f>+INDEX('Budget original'!$A$2:$AO$501,MATCH($A188,'Budget original'!$A$2:$A$501,0),MATCH(F$2,'Budget original'!$A$2:$AO$2,0))</f>
        <v>2127.091247407438</v>
      </c>
      <c r="G188" s="277"/>
      <c r="H188" s="291"/>
      <c r="I188" s="291"/>
      <c r="J188" s="277"/>
      <c r="K188" s="254">
        <f>-SUMIFS(BV_Data_An_Cour!$O:$O,BV_Data_An_Cour!$X:$X,"Oui",BV_Data_An_Cour!$U:$U,$B188,BV_Data_An_Cour!$V:$V,$C188)</f>
        <v>9830.83</v>
      </c>
      <c r="L188" s="256">
        <f>-SUMIFS(BV_Data_An_Cour!$O:$O,BV_Data_An_Cour!$U:$U,$B188,BV_Data_An_Cour!$V:$V,$C188,BV_Data_An_Cour!$W:$W,$L$2)</f>
        <v>2191.8100000000004</v>
      </c>
      <c r="M188" s="292">
        <f>IF(E188=0,0,(K188-E188)/E188)</f>
        <v>1.6779417731168644E-2</v>
      </c>
      <c r="N188" s="276">
        <f>L188-F188</f>
        <v>64.718752592562396</v>
      </c>
      <c r="O188" s="277"/>
      <c r="P188" s="254">
        <f t="array" ref="P188">+INDEX('Réel 2023'!$A$2:$AO$501,MATCH($A188,'Réel 2023'!$A$2:$A$501,0),MATCH(P$2,'Réel 2023'!$A$2:$AO$2,0))</f>
        <v>9900.32</v>
      </c>
      <c r="Q188" s="256">
        <f t="array" ref="Q188">+INDEX('Réel 2023'!$A$2:$AO$501,MATCH($A188,'Réel 2023'!$A$2:$A$501,0),MATCH(Q$2,'Réel 2023'!$A$2:$AO$2,0))</f>
        <v>2901.3199999999902</v>
      </c>
      <c r="R188" s="292">
        <f>IF(O188=0,0,J188/O188)</f>
        <v>0</v>
      </c>
      <c r="S188" s="276">
        <f>L188-Q188</f>
        <v>-709.50999999998976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v>
      </c>
      <c r="G189" s="253"/>
      <c r="H189" s="349"/>
      <c r="I189" s="362"/>
      <c r="J189" s="373"/>
      <c r="K189" s="372"/>
      <c r="L189" s="362">
        <f>IF(L188=0,0,L188/K188)</f>
        <v>0.22295269066803111</v>
      </c>
      <c r="M189" s="373"/>
      <c r="N189" s="374"/>
      <c r="O189" s="373"/>
      <c r="P189" s="372"/>
      <c r="Q189" s="362">
        <f>IFERROR(Q188/P188,0)</f>
        <v>0.29305315383745073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6809.8335917235054</v>
      </c>
      <c r="F191" s="291">
        <f>+INDEX('Budget original'!$A$2:$AO$501,MATCH($A191,'Budget original'!$A$2:$A$501,0),MATCH(F$2,'Budget original'!$A$2:$AO$2,0))</f>
        <v>4766.8835142064536</v>
      </c>
      <c r="G191" s="253"/>
      <c r="H191" s="291"/>
      <c r="I191" s="291"/>
      <c r="J191" s="277">
        <f>-SUMIFS(BV_Data_An_Cour!$O:$O,BV_Data_An_Cour!$U:$U,$B191,BV_Data_An_Cour!$V:$V,$C191,BV_Data_An_Cour!$W:$W,J$2)</f>
        <v>24</v>
      </c>
      <c r="K191" s="254">
        <f>-SUMIFS(BV_Data_An_Cour!$O:$O,BV_Data_An_Cour!$X:$X,"Oui",BV_Data_An_Cour!$U:$U,$B191,BV_Data_An_Cour!$V:$V,$C191)</f>
        <v>5879.95</v>
      </c>
      <c r="L191" s="256">
        <f>-SUMIFS(BV_Data_An_Cour!$O:$O,BV_Data_An_Cour!$U:$U,$B191,BV_Data_An_Cour!$V:$V,$C191,BV_Data_An_Cour!$W:$W,$L$2)</f>
        <v>4060.59</v>
      </c>
      <c r="M191" s="292">
        <f>IF(E191=0,0,(K191-E191)/E191)</f>
        <v>-0.13655011964663305</v>
      </c>
      <c r="N191" s="276">
        <f>L191-F191</f>
        <v>-706.29351420645344</v>
      </c>
      <c r="O191" s="373"/>
      <c r="P191" s="254">
        <f t="array" ref="P191">+INDEX('Réel 2023'!$A$2:$AO$501,MATCH($A191,'Réel 2023'!$A$2:$A$501,0),MATCH(P$2,'Réel 2023'!$A$2:$AO$2,0))</f>
        <v>12624.6</v>
      </c>
      <c r="Q191" s="256">
        <f t="array" ref="Q191">+INDEX('Réel 2023'!$A$2:$AO$501,MATCH($A191,'Réel 2023'!$A$2:$A$501,0),MATCH(Q$2,'Réel 2023'!$A$2:$AO$2,0))</f>
        <v>9293.4699999999993</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0.69058240291158945</v>
      </c>
      <c r="M192" s="373"/>
      <c r="N192" s="374"/>
      <c r="O192" s="373"/>
      <c r="P192" s="372"/>
      <c r="Q192" s="362">
        <f>IF(Q191=0,0,Q191/P191)</f>
        <v>0.73613975888344974</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218953.71750634772</v>
      </c>
      <c r="F194" s="281">
        <f>F185+F188+F191</f>
        <v>154876.50212901889</v>
      </c>
      <c r="G194" s="282"/>
      <c r="H194" s="279"/>
      <c r="I194" s="281"/>
      <c r="J194" s="282"/>
      <c r="K194" s="279">
        <f t="shared" ref="K194:L194" si="44">K185+K188+K191</f>
        <v>254702.71999999997</v>
      </c>
      <c r="L194" s="281">
        <f t="shared" si="44"/>
        <v>187869.37000000002</v>
      </c>
      <c r="M194" s="399">
        <f>L195-F195</f>
        <v>3.0254399679314092E-2</v>
      </c>
      <c r="N194" s="281">
        <f>L194-F194</f>
        <v>32992.867870981136</v>
      </c>
      <c r="O194" s="282"/>
      <c r="P194" s="279">
        <f t="shared" ref="P194:Q194" si="45">P185+P188+P191</f>
        <v>265435.33</v>
      </c>
      <c r="Q194" s="281">
        <f t="shared" si="45"/>
        <v>179508.35999999987</v>
      </c>
      <c r="R194" s="399"/>
      <c r="S194" s="281">
        <f>L194-Q194</f>
        <v>8361.0100000001548</v>
      </c>
      <c r="T194" s="319"/>
      <c r="U194" s="1164"/>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0.70734812769063327</v>
      </c>
      <c r="G195" s="283"/>
      <c r="H195" s="284"/>
      <c r="I195" s="287"/>
      <c r="J195" s="283"/>
      <c r="K195" s="284"/>
      <c r="L195" s="287">
        <f>L194/K194</f>
        <v>0.73760252736994736</v>
      </c>
      <c r="M195" s="286"/>
      <c r="N195" s="287">
        <f>N194/F194</f>
        <v>0.21302694351591589</v>
      </c>
      <c r="O195" s="283"/>
      <c r="P195" s="284"/>
      <c r="Q195" s="287">
        <f>Q194/P194</f>
        <v>0.67627907709196011</v>
      </c>
      <c r="R195" s="286"/>
      <c r="S195" s="287">
        <f>L194/S194</f>
        <v>22.469698038872881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15728.762179487177</v>
      </c>
      <c r="G198" s="253"/>
      <c r="H198" s="41"/>
      <c r="I198" s="254"/>
      <c r="J198" s="253"/>
      <c r="K198" s="41"/>
      <c r="L198" s="256">
        <f>SUMIFS(BV_Data_An_Cour!$O:$O,BV_Data_An_Cour!$U:$U,$B198,BV_Data_An_Cour!$V:$V,$C198,BV_Data_An_Cour!$W:$W,$L$2)</f>
        <v>17739.560000000001</v>
      </c>
      <c r="M198" s="253"/>
      <c r="N198" s="256">
        <f t="shared" ref="N198:N229" si="46">L198-F198</f>
        <v>2010.7978205128238</v>
      </c>
      <c r="O198" s="253"/>
      <c r="P198" s="41"/>
      <c r="Q198" s="256">
        <f t="array" ref="Q198">+INDEX('Réel 2023'!$A$2:$AO$501,MATCH($A198,'Réel 2023'!$A$2:$A$501,0),MATCH(Q$2,'Réel 2023'!$A$2:$AO$2,0))</f>
        <v>18822.46</v>
      </c>
      <c r="R198" s="253"/>
      <c r="S198" s="256">
        <f t="shared" ref="S198:S229" si="47">L198-Q198</f>
        <v>-1082.8999999999978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8540.9555384615378</v>
      </c>
      <c r="G199" s="298"/>
      <c r="H199" s="41"/>
      <c r="I199" s="248"/>
      <c r="J199" s="253"/>
      <c r="K199" s="41"/>
      <c r="L199" s="256">
        <f>SUMIFS(BV_Data_An_Cour!$O:$O,BV_Data_An_Cour!$U:$U,$B199,BV_Data_An_Cour!$V:$V,$C199,BV_Data_An_Cour!$W:$W,$L$2)</f>
        <v>7290.69</v>
      </c>
      <c r="M199" s="253"/>
      <c r="N199" s="256">
        <f t="shared" si="46"/>
        <v>-1250.2655384615382</v>
      </c>
      <c r="O199" s="253"/>
      <c r="P199" s="41"/>
      <c r="Q199" s="256">
        <f t="array" ref="Q199">+INDEX('Réel 2023'!$A$2:$AO$501,MATCH($A199,'Réel 2023'!$A$2:$A$501,0),MATCH(Q$2,'Réel 2023'!$A$2:$AO$2,0))</f>
        <v>8759.42</v>
      </c>
      <c r="R199" s="253"/>
      <c r="S199" s="276">
        <f t="shared" si="47"/>
        <v>-1468.7300000000005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17386.576923076926</v>
      </c>
      <c r="G200" s="316"/>
      <c r="H200" s="315"/>
      <c r="I200" s="254"/>
      <c r="J200" s="241"/>
      <c r="K200" s="315"/>
      <c r="L200" s="272">
        <f>SUMIFS(BV_Data_An_Cour!$O:$O,BV_Data_An_Cour!$U:$U,$B200,BV_Data_An_Cour!$V:$V,$C200,BV_Data_An_Cour!$W:$W,$L$2)</f>
        <v>11607.22</v>
      </c>
      <c r="M200" s="241"/>
      <c r="N200" s="272">
        <f t="shared" si="46"/>
        <v>-5779.3569230769263</v>
      </c>
      <c r="O200" s="241"/>
      <c r="P200" s="315"/>
      <c r="Q200" s="272">
        <f t="array" ref="Q200">+INDEX('Réel 2023'!$A$2:$AO$501,MATCH($A200,'Réel 2023'!$A$2:$A$501,0),MATCH(Q$2,'Réel 2023'!$A$2:$AO$2,0))</f>
        <v>21328.98</v>
      </c>
      <c r="R200" s="241"/>
      <c r="S200" s="317">
        <f t="shared" si="47"/>
        <v>-9721.76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5">
        <f>F201/E172</f>
        <v>0.19207689239036846</v>
      </c>
      <c r="F201" s="254">
        <f>+INDEX('Budget original'!$A$2:$AO$501,MATCH($A201,'Budget original'!$A$2:$A$501,0),MATCH(F$2,'Budget original'!$A$2:$AO$2,0))</f>
        <v>25715.085923266739</v>
      </c>
      <c r="G201" s="298"/>
      <c r="H201" s="41"/>
      <c r="I201" s="254"/>
      <c r="J201" s="253"/>
      <c r="K201" s="1166">
        <f>L201/K172</f>
        <v>0.17726127060638094</v>
      </c>
      <c r="L201" s="256">
        <f>SUMIFS(BV_Data_An_Cour!$O:$O,BV_Data_An_Cour!$U:$U,$B201,BV_Data_An_Cour!$V:$V,$C201,BV_Data_An_Cour!$W:$W,$L$2)</f>
        <v>20622.5</v>
      </c>
      <c r="M201" s="253"/>
      <c r="N201" s="256">
        <f t="shared" si="46"/>
        <v>-5092.585923266739</v>
      </c>
      <c r="O201" s="253"/>
      <c r="P201" s="41"/>
      <c r="Q201" s="256">
        <f t="array" ref="Q201">+INDEX('Réel 2023'!$A$2:$AO$501,MATCH($A201,'Réel 2023'!$A$2:$A$501,0),MATCH(Q$2,'Réel 2023'!$A$2:$AO$2,0))</f>
        <v>36407.18</v>
      </c>
      <c r="R201" s="253"/>
      <c r="S201" s="276">
        <f t="shared" si="47"/>
        <v>-15784.68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14180.047650425911</v>
      </c>
      <c r="G205" s="298"/>
      <c r="H205" s="41"/>
      <c r="I205" s="254"/>
      <c r="J205" s="253"/>
      <c r="K205" s="41"/>
      <c r="L205" s="256">
        <f>SUMIFS(BV_Data_An_Cour!$O:$O,BV_Data_An_Cour!$U:$U,$B205,BV_Data_An_Cour!$V:$V,$C205,BV_Data_An_Cour!$W:$W,$L$2)</f>
        <v>14158.46</v>
      </c>
      <c r="M205" s="253"/>
      <c r="N205" s="256">
        <f t="shared" si="46"/>
        <v>-21.587650425912216</v>
      </c>
      <c r="O205" s="253"/>
      <c r="P205" s="41"/>
      <c r="Q205" s="256">
        <f t="array" ref="Q205">+INDEX('Réel 2023'!$A$2:$AO$501,MATCH($A205,'Réel 2023'!$A$2:$A$501,0),MATCH(Q$2,'Réel 2023'!$A$2:$AO$2,0))</f>
        <v>14379.26</v>
      </c>
      <c r="R205" s="253"/>
      <c r="S205" s="276">
        <f t="shared" si="47"/>
        <v>-220.80000000000109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17240.93899346939</v>
      </c>
      <c r="G206" s="316"/>
      <c r="H206" s="315"/>
      <c r="I206" s="272"/>
      <c r="J206" s="241"/>
      <c r="K206" s="315"/>
      <c r="L206" s="272">
        <f>SUMIFS(BV_Data_An_Cour!$O:$O,BV_Data_An_Cour!$U:$U,$B206,BV_Data_An_Cour!$V:$V,$C206,BV_Data_An_Cour!$W:$W,$L$2)</f>
        <v>17254.759999999998</v>
      </c>
      <c r="M206" s="241"/>
      <c r="N206" s="272">
        <f t="shared" si="46"/>
        <v>13.821006530608429</v>
      </c>
      <c r="O206" s="241"/>
      <c r="P206" s="315"/>
      <c r="Q206" s="272">
        <f t="array" ref="Q206">+INDEX('Réel 2023'!$A$2:$AO$501,MATCH($A206,'Réel 2023'!$A$2:$A$501,0),MATCH(Q$2,'Réel 2023'!$A$2:$AO$2,0))</f>
        <v>25082.79</v>
      </c>
      <c r="R206" s="241"/>
      <c r="S206" s="317">
        <f t="shared" si="47"/>
        <v>-7828.0300000000025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8882.8316118527073</v>
      </c>
      <c r="G207" s="298"/>
      <c r="H207" s="41"/>
      <c r="I207" s="254"/>
      <c r="J207" s="253"/>
      <c r="K207" s="41"/>
      <c r="L207" s="256">
        <f>SUMIFS(BV_Data_An_Cour!$O:$O,BV_Data_An_Cour!$U:$U,$B207,BV_Data_An_Cour!$V:$V,$C207,BV_Data_An_Cour!$W:$W,$L$2)</f>
        <v>9002.2799999999988</v>
      </c>
      <c r="M207" s="253"/>
      <c r="N207" s="256">
        <f t="shared" si="46"/>
        <v>119.44838814729155</v>
      </c>
      <c r="O207" s="253"/>
      <c r="P207" s="41"/>
      <c r="Q207" s="256">
        <f t="array" ref="Q207">+INDEX('Réel 2023'!$A$2:$AO$501,MATCH($A207,'Réel 2023'!$A$2:$A$501,0),MATCH(Q$2,'Réel 2023'!$A$2:$AO$2,0))</f>
        <v>14126.66</v>
      </c>
      <c r="R207" s="253"/>
      <c r="S207" s="276">
        <f t="shared" si="47"/>
        <v>-5124.380000000001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3872.9645565039932</v>
      </c>
      <c r="G208" s="298"/>
      <c r="H208" s="41"/>
      <c r="I208" s="254"/>
      <c r="J208" s="253"/>
      <c r="K208" s="41"/>
      <c r="L208" s="256">
        <f>SUMIFS(BV_Data_An_Cour!$O:$O,BV_Data_An_Cour!$U:$U,$B208,BV_Data_An_Cour!$V:$V,$C208,BV_Data_An_Cour!$W:$W,$L$2)</f>
        <v>4450.8500000000004</v>
      </c>
      <c r="M208" s="253"/>
      <c r="N208" s="256">
        <f t="shared" si="46"/>
        <v>577.88544349600716</v>
      </c>
      <c r="O208" s="253"/>
      <c r="P208" s="41"/>
      <c r="Q208" s="256">
        <f t="array" ref="Q208">+INDEX('Réel 2023'!$A$2:$AO$501,MATCH($A208,'Réel 2023'!$A$2:$A$501,0),MATCH(Q$2,'Réel 2023'!$A$2:$AO$2,0))</f>
        <v>5359.92</v>
      </c>
      <c r="R208" s="253"/>
      <c r="S208" s="276">
        <f t="shared" si="47"/>
        <v>-909.06999999999971</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0.72023942846810873</v>
      </c>
      <c r="F210" s="307">
        <f>+SUM(F198:F209)</f>
        <v>111548.16337654438</v>
      </c>
      <c r="G210" s="308"/>
      <c r="H210" s="306"/>
      <c r="I210" s="307"/>
      <c r="J210" s="308" t="s">
        <v>175</v>
      </c>
      <c r="K210" s="306">
        <f>L210/L$194</f>
        <v>0.54360282360024936</v>
      </c>
      <c r="L210" s="307">
        <f>+SUM(L198:L209)</f>
        <v>102126.31999999999</v>
      </c>
      <c r="M210" s="355"/>
      <c r="N210" s="307">
        <f t="shared" si="46"/>
        <v>-9421.8433765443915</v>
      </c>
      <c r="O210" s="308" t="s">
        <v>175</v>
      </c>
      <c r="P210" s="306">
        <f>Q210/Q$194</f>
        <v>0.80367660871059221</v>
      </c>
      <c r="Q210" s="307">
        <f>+SUM(Q198:Q209)</f>
        <v>144266.67000000001</v>
      </c>
      <c r="R210" s="355"/>
      <c r="S210" s="320">
        <f t="shared" si="47"/>
        <v>-42140.35000000002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11869.48</v>
      </c>
      <c r="M211" s="253"/>
      <c r="N211" s="276">
        <f t="shared" si="46"/>
        <v>1482.4876808680583</v>
      </c>
      <c r="O211" s="253"/>
      <c r="P211" s="41"/>
      <c r="Q211" s="256">
        <f t="array" ref="Q211">+INDEX('Réel 2023'!$A$2:$AO$501,MATCH($A211,'Réel 2023'!$A$2:$A$501,0),MATCH(Q$2,'Réel 2023'!$A$2:$AO$2,0))</f>
        <v>11341.71</v>
      </c>
      <c r="R211" s="253"/>
      <c r="S211" s="276">
        <f t="shared" si="47"/>
        <v>527.77000000000044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12880.5</v>
      </c>
      <c r="M212" s="253"/>
      <c r="N212" s="276">
        <f t="shared" si="46"/>
        <v>9020.107343165555</v>
      </c>
      <c r="O212" s="253"/>
      <c r="P212" s="41"/>
      <c r="Q212" s="256">
        <f t="array" ref="Q212">+INDEX('Réel 2023'!$A$2:$AO$501,MATCH($A212,'Réel 2023'!$A$2:$A$501,0),MATCH(Q$2,'Réel 2023'!$A$2:$AO$2,0))</f>
        <v>2205.7199999999998</v>
      </c>
      <c r="R212" s="253"/>
      <c r="S212" s="276">
        <f t="shared" si="47"/>
        <v>10674.78</v>
      </c>
      <c r="T212" s="41"/>
      <c r="U212" s="1184"/>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12584.47</v>
      </c>
      <c r="M213" s="246"/>
      <c r="N213" s="296">
        <f t="shared" si="46"/>
        <v>-748.86333333333459</v>
      </c>
      <c r="O213" s="246"/>
      <c r="P213" s="318"/>
      <c r="Q213" s="256">
        <f t="array" ref="Q213">+INDEX('Réel 2023'!$A$2:$AO$501,MATCH($A213,'Réel 2023'!$A$2:$A$501,0),MATCH(Q$2,'Réel 2023'!$A$2:$AO$2,0))</f>
        <v>19012.240000000002</v>
      </c>
      <c r="R213" s="246"/>
      <c r="S213" s="296">
        <f t="shared" si="47"/>
        <v>-6427.7700000000023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5943.38</v>
      </c>
      <c r="M214" s="253"/>
      <c r="N214" s="276">
        <f t="shared" si="46"/>
        <v>1582.4981253333344</v>
      </c>
      <c r="O214" s="253"/>
      <c r="P214" s="41"/>
      <c r="Q214" s="272">
        <f t="array" ref="Q214">+INDEX('Réel 2023'!$A$2:$AO$501,MATCH($A214,'Réel 2023'!$A$2:$A$501,0),MATCH(Q$2,'Réel 2023'!$A$2:$AO$2,0))</f>
        <v>7663.33</v>
      </c>
      <c r="R214" s="253"/>
      <c r="S214" s="276">
        <f t="shared" si="47"/>
        <v>-1719.9499999999998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1111.47</v>
      </c>
      <c r="M215" s="253"/>
      <c r="N215" s="276">
        <f t="shared" si="46"/>
        <v>12.088145312676261</v>
      </c>
      <c r="O215" s="253"/>
      <c r="P215" s="41"/>
      <c r="Q215" s="256">
        <f t="array" ref="Q215">+INDEX('Réel 2023'!$A$2:$AO$501,MATCH($A215,'Réel 2023'!$A$2:$A$501,0),MATCH(Q$2,'Réel 2023'!$A$2:$AO$2,0))</f>
        <v>864.5</v>
      </c>
      <c r="R215" s="253"/>
      <c r="S215" s="276">
        <f t="shared" si="47"/>
        <v>246.97000000000003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4141.7720024888895</v>
      </c>
      <c r="G216" s="300"/>
      <c r="H216" s="318"/>
      <c r="I216" s="248"/>
      <c r="J216" s="246"/>
      <c r="K216" s="318"/>
      <c r="L216" s="256">
        <f>SUMIFS(BV_Data_An_Cour!$O:$O,BV_Data_An_Cour!$U:$U,$B216,BV_Data_An_Cour!$V:$V,$C216,BV_Data_An_Cour!$W:$W,$L$2)</f>
        <v>15667.61</v>
      </c>
      <c r="M216" s="246"/>
      <c r="N216" s="296">
        <f t="shared" si="46"/>
        <v>11525.837997511111</v>
      </c>
      <c r="O216" s="246"/>
      <c r="P216" s="318"/>
      <c r="Q216" s="256">
        <f t="array" ref="Q216">+INDEX('Réel 2023'!$A$2:$AO$501,MATCH($A216,'Réel 2023'!$A$2:$A$501,0),MATCH(Q$2,'Réel 2023'!$A$2:$AO$2,0))</f>
        <v>8982.7000000000007</v>
      </c>
      <c r="R216" s="246"/>
      <c r="S216" s="296">
        <f t="shared" si="47"/>
        <v>6684.91</v>
      </c>
      <c r="T216" s="41"/>
      <c r="U216" s="38" t="s">
        <v>3944</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9472.7999999999993</v>
      </c>
      <c r="M218" s="253"/>
      <c r="N218" s="276">
        <f t="shared" si="46"/>
        <v>3889.4666666666662</v>
      </c>
      <c r="O218" s="253"/>
      <c r="P218" s="41"/>
      <c r="Q218" s="256">
        <f t="array" ref="Q218">+INDEX('Réel 2023'!$A$2:$AO$501,MATCH($A218,'Réel 2023'!$A$2:$A$501,0),MATCH(Q$2,'Réel 2023'!$A$2:$AO$2,0))</f>
        <v>3956.24</v>
      </c>
      <c r="R218" s="253"/>
      <c r="S218" s="276">
        <f t="shared" si="47"/>
        <v>5516.5599999999995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1044.83</v>
      </c>
      <c r="M219" s="253"/>
      <c r="N219" s="276">
        <f t="shared" si="46"/>
        <v>-177.11163760710974</v>
      </c>
      <c r="O219" s="253"/>
      <c r="P219" s="41"/>
      <c r="Q219" s="256">
        <f t="array" ref="Q219">+INDEX('Réel 2023'!$A$2:$AO$501,MATCH($A219,'Réel 2023'!$A$2:$A$501,0),MATCH(Q$2,'Réel 2023'!$A$2:$AO$2,0))</f>
        <v>820.17</v>
      </c>
      <c r="R219" s="253"/>
      <c r="S219" s="276">
        <f t="shared" si="47"/>
        <v>224.65999999999997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2936.04</v>
      </c>
      <c r="M220" s="253"/>
      <c r="N220" s="276">
        <f t="shared" si="46"/>
        <v>2187.8357360240002</v>
      </c>
      <c r="O220" s="253"/>
      <c r="P220" s="41"/>
      <c r="Q220" s="256">
        <f t="array" ref="Q220">+INDEX('Réel 2023'!$A$2:$AO$501,MATCH($A220,'Réel 2023'!$A$2:$A$501,0),MATCH(Q$2,'Réel 2023'!$A$2:$AO$2,0))</f>
        <v>806.94</v>
      </c>
      <c r="R220" s="253"/>
      <c r="S220" s="276">
        <f t="shared" si="47"/>
        <v>2129.1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162.08000000000001</v>
      </c>
      <c r="M221" s="253"/>
      <c r="N221" s="276">
        <f t="shared" si="46"/>
        <v>-54.007063789666631</v>
      </c>
      <c r="O221" s="253"/>
      <c r="P221" s="41"/>
      <c r="Q221" s="256">
        <f t="array" ref="Q221">+INDEX('Réel 2023'!$A$2:$AO$501,MATCH($A221,'Réel 2023'!$A$2:$A$501,0),MATCH(Q$2,'Réel 2023'!$A$2:$AO$2,0))</f>
        <v>155.01</v>
      </c>
      <c r="R221" s="253"/>
      <c r="S221" s="276">
        <f t="shared" si="47"/>
        <v>7.0700000000000216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24.72</v>
      </c>
      <c r="M222" s="253"/>
      <c r="N222" s="276">
        <f t="shared" si="46"/>
        <v>-79.058444930333323</v>
      </c>
      <c r="O222" s="253"/>
      <c r="P222" s="41"/>
      <c r="Q222" s="256">
        <f t="array" ref="Q222">+INDEX('Réel 2023'!$A$2:$AO$501,MATCH($A222,'Réel 2023'!$A$2:$A$501,0),MATCH(Q$2,'Réel 2023'!$A$2:$AO$2,0))</f>
        <v>194.45</v>
      </c>
      <c r="R222" s="253"/>
      <c r="S222" s="276">
        <f t="shared" si="47"/>
        <v>-169.73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71.73</v>
      </c>
      <c r="M223" s="253"/>
      <c r="N223" s="276">
        <f t="shared" si="46"/>
        <v>-144.74265257633328</v>
      </c>
      <c r="O223" s="253"/>
      <c r="P223" s="41"/>
      <c r="Q223" s="256">
        <f t="array" ref="Q223">+INDEX('Réel 2023'!$A$2:$AO$501,MATCH($A223,'Réel 2023'!$A$2:$A$501,0),MATCH(Q$2,'Réel 2023'!$A$2:$AO$2,0))</f>
        <v>70.67</v>
      </c>
      <c r="R223" s="253"/>
      <c r="S223" s="276">
        <f t="shared" si="47"/>
        <v>1.0600000000000023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338.27</v>
      </c>
      <c r="M224" s="253"/>
      <c r="N224" s="276">
        <f t="shared" si="46"/>
        <v>-3648.1845554484885</v>
      </c>
      <c r="O224" s="253"/>
      <c r="P224" s="41"/>
      <c r="Q224" s="256">
        <f t="array" ref="Q224">+INDEX('Réel 2023'!$A$2:$AO$501,MATCH($A224,'Réel 2023'!$A$2:$A$501,0),MATCH(Q$2,'Réel 2023'!$A$2:$AO$2,0))</f>
        <v>3261.13</v>
      </c>
      <c r="R224" s="253"/>
      <c r="S224" s="276">
        <f t="shared" si="47"/>
        <v>-2922.86</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2069.1999999999998</v>
      </c>
      <c r="M225" s="253"/>
      <c r="N225" s="276">
        <f t="shared" si="46"/>
        <v>119.33660214561019</v>
      </c>
      <c r="O225" s="253"/>
      <c r="P225" s="41"/>
      <c r="Q225" s="256">
        <f t="array" ref="Q225">+INDEX('Réel 2023'!$A$2:$AO$501,MATCH($A225,'Réel 2023'!$A$2:$A$501,0),MATCH(Q$2,'Réel 2023'!$A$2:$AO$2,0))</f>
        <v>1603.17</v>
      </c>
      <c r="R225" s="253"/>
      <c r="S225" s="276">
        <f t="shared" si="47"/>
        <v>466.02999999999975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0.33064337511960989</v>
      </c>
      <c r="F229" s="307">
        <f>+SUM(F211:F228)</f>
        <v>51208.889390658253</v>
      </c>
      <c r="G229" s="308"/>
      <c r="H229" s="306"/>
      <c r="I229" s="307"/>
      <c r="J229" s="308" t="s">
        <v>175</v>
      </c>
      <c r="K229" s="306">
        <f>L229/L$194</f>
        <v>0.40547631580390125</v>
      </c>
      <c r="L229" s="307">
        <f>+SUM(L211:L228)</f>
        <v>76176.579999999987</v>
      </c>
      <c r="M229" s="311"/>
      <c r="N229" s="307">
        <f t="shared" si="46"/>
        <v>24967.690609341735</v>
      </c>
      <c r="O229" s="308" t="s">
        <v>175</v>
      </c>
      <c r="P229" s="306">
        <f>Q229/Q$194</f>
        <v>0.33947154327519918</v>
      </c>
      <c r="Q229" s="307">
        <f>+SUM(Q211:Q228)</f>
        <v>60937.979999999989</v>
      </c>
      <c r="R229" s="311"/>
      <c r="S229" s="307">
        <f t="shared" si="47"/>
        <v>15238.599999999999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1.0508828035877187</v>
      </c>
      <c r="F231" s="307">
        <f>F210+F229</f>
        <v>162757.05276720264</v>
      </c>
      <c r="G231" s="308"/>
      <c r="H231" s="306"/>
      <c r="I231" s="307"/>
      <c r="J231" s="308" t="s">
        <v>119</v>
      </c>
      <c r="K231" s="306">
        <f>L231/L$194</f>
        <v>0.94907913940415056</v>
      </c>
      <c r="L231" s="307">
        <f>L210+L229</f>
        <v>178302.89999999997</v>
      </c>
      <c r="M231" s="311"/>
      <c r="N231" s="320">
        <f>L231-F231</f>
        <v>15545.847232797329</v>
      </c>
      <c r="O231" s="308" t="s">
        <v>119</v>
      </c>
      <c r="P231" s="306">
        <f>Q231/Q$194</f>
        <v>1.1431481519857913</v>
      </c>
      <c r="Q231" s="307">
        <f>Q210+Q229</f>
        <v>205204.65</v>
      </c>
      <c r="R231" s="311"/>
      <c r="S231" s="320">
        <f>L231-Q231</f>
        <v>-26901.750000000029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-7880.5506381837477</v>
      </c>
      <c r="G233" s="361"/>
      <c r="H233" s="333"/>
      <c r="I233" s="335"/>
      <c r="J233" s="332"/>
      <c r="K233" s="334"/>
      <c r="L233" s="335">
        <f>L194-L231</f>
        <v>9566.4700000000594</v>
      </c>
      <c r="M233" s="332"/>
      <c r="N233" s="335">
        <f>L233-F233</f>
        <v>17447.020638183807</v>
      </c>
      <c r="O233" s="332"/>
      <c r="P233" s="1148">
        <f>+Q233/P194</f>
        <v>-9.6808100112370579E-2</v>
      </c>
      <c r="Q233" s="335">
        <f>Q194-Q231</f>
        <v>-25696.290000000125</v>
      </c>
      <c r="R233" s="332"/>
      <c r="S233" s="335">
        <f>L233-Q233</f>
        <v>35262.760000000184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Décembre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30"/>
      <c r="H238" s="1226"/>
      <c r="I238" s="1227"/>
      <c r="J238" s="1230" t="s">
        <v>344</v>
      </c>
      <c r="K238" s="1226"/>
      <c r="L238" s="1227"/>
      <c r="M238" s="1230" t="s">
        <v>3310</v>
      </c>
      <c r="N238" s="1227"/>
      <c r="O238" s="1225" t="s">
        <v>345</v>
      </c>
      <c r="P238" s="1226"/>
      <c r="Q238" s="1227"/>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62023.022893078683</v>
      </c>
      <c r="F241" s="291">
        <f>+INDEX('Budget original'!$A$2:$AO$501,MATCH($A241,'Budget original'!$A$2:$A$501,0),MATCH(F$2,'Budget original'!$A$2:$AO$2,0))</f>
        <v>9303.4534339618021</v>
      </c>
      <c r="G241" s="322"/>
      <c r="H241" s="291"/>
      <c r="I241" s="291"/>
      <c r="J241" s="277">
        <f>-SUMIFS(BV_Data_An_Cour!$O:$O,BV_Data_An_Cour!$U:$U,$B241,BV_Data_An_Cour!$V:$V,$C241,BV_Data_An_Cour!$W:$W,J$2)</f>
        <v>11</v>
      </c>
      <c r="K241" s="254">
        <f>-SUMIFS(BV_Data_An_Cour!$O:$O,BV_Data_An_Cour!$X:$X,"Oui",BV_Data_An_Cour!$U:$U,$B241,BV_Data_An_Cour!$V:$V,$C241)</f>
        <v>17792.260000000002</v>
      </c>
      <c r="L241" s="256">
        <f>-SUMIFS(BV_Data_An_Cour!$O:$O,BV_Data_An_Cour!$U:$U,$B241,BV_Data_An_Cour!$V:$V,$C241,BV_Data_An_Cour!$W:$W,$L$2)</f>
        <v>3344.9000000000005</v>
      </c>
      <c r="M241" s="292">
        <f>IFERROR((K241-E241)/E241,0)</f>
        <v>-0.71313458825326803</v>
      </c>
      <c r="N241" s="276">
        <f>L241-F241</f>
        <v>-5958.5534339618016</v>
      </c>
      <c r="O241" s="277">
        <f t="array" ref="O241">+INDEX('Réel 2023'!$A$2:$AO$501,MATCH($A241,'Réel 2023'!$A$2:$A$501,0),MATCH(O$2,'Réel 2023'!$A$2:$AO$2,0))</f>
        <v>16</v>
      </c>
      <c r="P241" s="254">
        <f t="array" ref="P241">+INDEX('Réel 2023'!$A$2:$AO$501,MATCH($A241,'Réel 2023'!$A$2:$A$501,0),MATCH(P$2,'Réel 2023'!$A$2:$AO$2,0))</f>
        <v>31749.51</v>
      </c>
      <c r="Q241" s="256">
        <f t="array" ref="Q241">+INDEX('Réel 2023'!$A$2:$AO$501,MATCH($A241,'Réel 2023'!$A$2:$A$501,0),MATCH(Q$2,'Réel 2023'!$A$2:$AO$2,0))</f>
        <v>4215.9799999999996</v>
      </c>
      <c r="R241" s="292">
        <f>IF(O241=0,0,J241/O241)</f>
        <v>0.6875</v>
      </c>
      <c r="S241" s="276">
        <f>L241-Q241</f>
        <v>-871.07999999999902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0.18799747755484689</v>
      </c>
      <c r="M242" s="292"/>
      <c r="N242" s="276">
        <f>IFERROR(N241/M241,0)</f>
        <v>8355.4402382256012</v>
      </c>
      <c r="O242" s="277"/>
      <c r="P242" s="41"/>
      <c r="Q242" s="362">
        <f>IFERROR(Q241/P241,0)</f>
        <v>0.13278882099282791</v>
      </c>
      <c r="R242" s="277"/>
      <c r="S242" s="276">
        <f>IFERROR(S241/R241,0)</f>
        <v>-1267.0254545454532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62023.022893078683</v>
      </c>
      <c r="F250" s="281">
        <f>F244+F247+F241</f>
        <v>9303.4534339618021</v>
      </c>
      <c r="G250" s="282"/>
      <c r="H250" s="279"/>
      <c r="I250" s="281"/>
      <c r="J250" s="282"/>
      <c r="K250" s="279">
        <f t="shared" ref="K250:L250" si="48">K244+K247+K241</f>
        <v>17792.260000000002</v>
      </c>
      <c r="L250" s="281">
        <f t="shared" si="48"/>
        <v>3344.9000000000005</v>
      </c>
      <c r="M250" s="399">
        <f>L251-F251</f>
        <v>3.7997477554846892E-2</v>
      </c>
      <c r="N250" s="281">
        <f>L250-F250</f>
        <v>-5958.5534339618016</v>
      </c>
      <c r="O250" s="282"/>
      <c r="P250" s="279">
        <f t="shared" ref="P250:Q250" si="49">P244+P247+P241</f>
        <v>31749.51</v>
      </c>
      <c r="Q250" s="281">
        <f t="shared" si="49"/>
        <v>4215.9799999999996</v>
      </c>
      <c r="R250" s="405">
        <f>L251-Q251</f>
        <v>5.5208656562018982E-2</v>
      </c>
      <c r="S250" s="281">
        <f>L250-Q250</f>
        <v>-871.07999999999902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0.18799747755484689</v>
      </c>
      <c r="M251" s="286"/>
      <c r="N251" s="287">
        <f>N250/F250</f>
        <v>-0.64046684129254561</v>
      </c>
      <c r="O251" s="283"/>
      <c r="P251" s="284"/>
      <c r="Q251" s="287">
        <f>Q250/P250</f>
        <v>0.13278882099282791</v>
      </c>
      <c r="R251" s="286"/>
      <c r="S251" s="287">
        <f>S250/Q250</f>
        <v>-0.20661388336756795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2023'!$A$2:$AO$501,MATCH($A254,'Réel 2023'!$A$2:$A$501,0),MATCH(Q$2,'Réel 2023'!$A$2:$AO$2,0))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4703.7506153846152</v>
      </c>
      <c r="G255" s="298"/>
      <c r="H255" s="41"/>
      <c r="I255" s="248"/>
      <c r="J255" s="253"/>
      <c r="K255" s="41"/>
      <c r="L255" s="256">
        <f>SUMIFS(BV_Data_An_Cour!$O:$O,BV_Data_An_Cour!$U:$U,$B255,BV_Data_An_Cour!$V:$V,$C255,BV_Data_An_Cour!$W:$W,$L$2)</f>
        <v>4446.97</v>
      </c>
      <c r="M255" s="253"/>
      <c r="N255" s="276">
        <f t="shared" si="50"/>
        <v>-256.78061538461498</v>
      </c>
      <c r="O255" s="253"/>
      <c r="P255" s="41"/>
      <c r="Q255" s="256">
        <f t="array" ref="Q255">+INDEX('Réel 2023'!$A$2:$AO$501,MATCH($A255,'Réel 2023'!$A$2:$A$501,0),MATCH(Q$2,'Réel 2023'!$A$2:$AO$2,0))</f>
        <v>0</v>
      </c>
      <c r="R255" s="253"/>
      <c r="S255" s="276">
        <f t="shared" si="51"/>
        <v>4446.97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2023'!$A$2:$AO$501,MATCH($A256,'Réel 2023'!$A$2:$A$501,0),MATCH(Q$2,'Réel 2023'!$A$2:$AO$2,0))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5218</v>
      </c>
      <c r="R257" s="253"/>
      <c r="S257" s="276">
        <f t="shared" si="51"/>
        <v>-5218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596.62482465384608</v>
      </c>
      <c r="G261" s="298"/>
      <c r="H261" s="41"/>
      <c r="I261" s="248"/>
      <c r="J261" s="253"/>
      <c r="K261" s="41"/>
      <c r="L261" s="256">
        <f>SUMIFS(BV_Data_An_Cour!$O:$O,BV_Data_An_Cour!$U:$U,$B261,BV_Data_An_Cour!$V:$V,$C261,BV_Data_An_Cour!$W:$W,$L$2)</f>
        <v>556.45000000000005</v>
      </c>
      <c r="M261" s="253"/>
      <c r="N261" s="276">
        <f t="shared" si="50"/>
        <v>-40.174824653846031</v>
      </c>
      <c r="O261" s="253"/>
      <c r="P261" s="41"/>
      <c r="Q261" s="256">
        <f t="array" ref="Q261">+INDEX('Réel 2023'!$A$2:$AO$501,MATCH($A261,'Réel 2023'!$A$2:$A$501,0),MATCH(Q$2,'Réel 2023'!$A$2:$AO$2,0))</f>
        <v>979.8</v>
      </c>
      <c r="R261" s="253"/>
      <c r="S261" s="276">
        <f t="shared" si="51"/>
        <v>-423.34999999999991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725.41168107692306</v>
      </c>
      <c r="G262" s="316"/>
      <c r="H262" s="315"/>
      <c r="I262" s="254"/>
      <c r="J262" s="241"/>
      <c r="K262" s="315"/>
      <c r="L262" s="272">
        <f>SUMIFS(BV_Data_An_Cour!$O:$O,BV_Data_An_Cour!$U:$U,$B262,BV_Data_An_Cour!$V:$V,$C262,BV_Data_An_Cour!$W:$W,$L$2)</f>
        <v>1265.0999999999999</v>
      </c>
      <c r="M262" s="241"/>
      <c r="N262" s="317">
        <f t="shared" si="50"/>
        <v>539.68831892307685</v>
      </c>
      <c r="O262" s="241"/>
      <c r="P262" s="315"/>
      <c r="Q262" s="272">
        <f t="array" ref="Q262">+INDEX('Réel 2023'!$A$2:$AO$501,MATCH($A262,'Réel 2023'!$A$2:$A$501,0),MATCH(Q$2,'Réel 2023'!$A$2:$AO$2,0))</f>
        <v>1476.89</v>
      </c>
      <c r="R262" s="241"/>
      <c r="S262" s="317">
        <f t="shared" si="51"/>
        <v>-211.79000000000019</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373.74471394615375</v>
      </c>
      <c r="G263" s="298"/>
      <c r="H263" s="41"/>
      <c r="I263" s="254"/>
      <c r="J263" s="253"/>
      <c r="K263" s="41"/>
      <c r="L263" s="256">
        <f>SUMIFS(BV_Data_An_Cour!$O:$O,BV_Data_An_Cour!$U:$U,$B263,BV_Data_An_Cour!$V:$V,$C263,BV_Data_An_Cour!$W:$W,$L$2)</f>
        <v>341.2</v>
      </c>
      <c r="M263" s="253"/>
      <c r="N263" s="276">
        <f t="shared" si="50"/>
        <v>-32.544713946153763</v>
      </c>
      <c r="O263" s="253"/>
      <c r="P263" s="41"/>
      <c r="Q263" s="256">
        <f t="array" ref="Q263">+INDEX('Réel 2023'!$A$2:$AO$501,MATCH($A263,'Réel 2023'!$A$2:$A$501,0),MATCH(Q$2,'Réel 2023'!$A$2:$AO$2,0))</f>
        <v>430.85</v>
      </c>
      <c r="R263" s="253"/>
      <c r="S263" s="276">
        <f t="shared" si="51"/>
        <v>-89.650000000000034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162.95479792307691</v>
      </c>
      <c r="G264" s="298"/>
      <c r="H264" s="41"/>
      <c r="I264" s="254"/>
      <c r="J264" s="253"/>
      <c r="K264" s="41"/>
      <c r="L264" s="256">
        <f>SUMIFS(BV_Data_An_Cour!$O:$O,BV_Data_An_Cour!$U:$U,$B264,BV_Data_An_Cour!$V:$V,$C264,BV_Data_An_Cour!$W:$W,$L$2)</f>
        <v>439.69</v>
      </c>
      <c r="M264" s="253"/>
      <c r="N264" s="276">
        <f t="shared" si="50"/>
        <v>276.73520207692309</v>
      </c>
      <c r="O264" s="253"/>
      <c r="P264" s="41"/>
      <c r="Q264" s="256">
        <f t="array" ref="Q264">+INDEX('Réel 2023'!$A$2:$AO$501,MATCH($A264,'Réel 2023'!$A$2:$A$501,0),MATCH(Q$2,'Réel 2023'!$A$2:$AO$2,0))</f>
        <v>214.93</v>
      </c>
      <c r="R264" s="253"/>
      <c r="S264" s="276">
        <f t="shared" si="51"/>
        <v>224.76</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0.73922468156931709</v>
      </c>
      <c r="F266" s="307">
        <f>+SUM(F254:F265)</f>
        <v>6877.3424022153831</v>
      </c>
      <c r="G266" s="308"/>
      <c r="H266" s="306"/>
      <c r="I266" s="307"/>
      <c r="J266" s="308" t="s">
        <v>119</v>
      </c>
      <c r="K266" s="306">
        <f>IF(L250=0,0,L266/L$250)</f>
        <v>2.3771622470028992</v>
      </c>
      <c r="L266" s="307">
        <f>+SUM(L254:L265)</f>
        <v>7951.369999999999</v>
      </c>
      <c r="M266" s="355"/>
      <c r="N266" s="320">
        <f t="shared" si="50"/>
        <v>1074.0275977846159</v>
      </c>
      <c r="O266" s="308" t="s">
        <v>119</v>
      </c>
      <c r="P266" s="306">
        <f>IF(Q244=0,0,Q266/Q$244)</f>
        <v>0</v>
      </c>
      <c r="Q266" s="307">
        <f>+SUM(Q254:Q265)</f>
        <v>9222.43</v>
      </c>
      <c r="R266" s="355"/>
      <c r="S266" s="320">
        <f t="shared" si="51"/>
        <v>-1271.0600000000013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42.89</v>
      </c>
      <c r="M267" s="253"/>
      <c r="N267" s="276">
        <f t="shared" si="50"/>
        <v>42.89</v>
      </c>
      <c r="O267" s="253"/>
      <c r="P267" s="41"/>
      <c r="Q267" s="276">
        <f t="array" ref="Q267">+INDEX('Réel 2023'!$A$2:$AO$501,MATCH($A267,'Réel 2023'!$A$2:$A$501,0),MATCH(Q$2,'Réel 2023'!$A$2:$AO$2,0))</f>
        <v>3.35</v>
      </c>
      <c r="R267" s="253"/>
      <c r="S267" s="276">
        <f t="shared" si="51"/>
        <v>39.54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2379.02</v>
      </c>
      <c r="M268" s="253"/>
      <c r="N268" s="276">
        <f t="shared" si="50"/>
        <v>1785.1134374100855</v>
      </c>
      <c r="O268" s="253"/>
      <c r="P268" s="41"/>
      <c r="Q268" s="276">
        <f t="array" ref="Q268">+INDEX('Réel 2023'!$A$2:$AO$501,MATCH($A268,'Réel 2023'!$A$2:$A$501,0),MATCH(Q$2,'Réel 2023'!$A$2:$AO$2,0))</f>
        <v>-1127.1400000000001</v>
      </c>
      <c r="R268" s="253"/>
      <c r="S268" s="276">
        <f t="shared" si="51"/>
        <v>3506.16</v>
      </c>
      <c r="T268" s="41"/>
      <c r="U268" s="1184"/>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164.91</v>
      </c>
      <c r="M269" s="246"/>
      <c r="N269" s="296">
        <f t="shared" si="50"/>
        <v>164.91</v>
      </c>
      <c r="O269" s="246"/>
      <c r="P269" s="318"/>
      <c r="Q269" s="296">
        <f t="array" ref="Q269">+INDEX('Réel 2023'!$A$2:$AO$501,MATCH($A269,'Réel 2023'!$A$2:$A$501,0),MATCH(Q$2,'Réel 2023'!$A$2:$AO$2,0))</f>
        <v>1473.42</v>
      </c>
      <c r="R269" s="246"/>
      <c r="S269" s="296">
        <f t="shared" si="51"/>
        <v>-1308.51</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1365.12</v>
      </c>
      <c r="M270" s="253"/>
      <c r="N270" s="276">
        <f t="shared" si="50"/>
        <v>-69.013930111111449</v>
      </c>
      <c r="O270" s="253"/>
      <c r="P270" s="41"/>
      <c r="Q270" s="276">
        <f t="array" ref="Q270">+INDEX('Réel 2023'!$A$2:$AO$501,MATCH($A270,'Réel 2023'!$A$2:$A$501,0),MATCH(Q$2,'Réel 2023'!$A$2:$AO$2,0))</f>
        <v>1350.96</v>
      </c>
      <c r="R270" s="253"/>
      <c r="S270" s="276">
        <f t="shared" si="51"/>
        <v>14.159999999999854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244.65</v>
      </c>
      <c r="M271" s="253"/>
      <c r="N271" s="276">
        <f t="shared" si="50"/>
        <v>66.21826947475904</v>
      </c>
      <c r="O271" s="253"/>
      <c r="P271" s="41"/>
      <c r="Q271" s="276">
        <f t="array" ref="Q271">+INDEX('Réel 2023'!$A$2:$AO$501,MATCH($A271,'Réel 2023'!$A$2:$A$501,0),MATCH(Q$2,'Réel 2023'!$A$2:$AO$2,0))</f>
        <v>235.1</v>
      </c>
      <c r="R271" s="253"/>
      <c r="S271" s="276">
        <f t="shared" si="51"/>
        <v>9.5500000000000114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667.58</v>
      </c>
      <c r="M272" s="246"/>
      <c r="N272" s="296">
        <f t="shared" si="50"/>
        <v>-8.9712029828701816</v>
      </c>
      <c r="O272" s="246"/>
      <c r="P272" s="318"/>
      <c r="Q272" s="296">
        <f t="array" ref="Q272">+INDEX('Réel 2023'!$A$2:$AO$501,MATCH($A272,'Réel 2023'!$A$2:$A$501,0),MATCH(Q$2,'Réel 2023'!$A$2:$AO$2,0))</f>
        <v>790.47</v>
      </c>
      <c r="R272" s="246"/>
      <c r="S272" s="296">
        <f t="shared" si="51"/>
        <v>-122.88999999999999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12.79</v>
      </c>
      <c r="M274" s="253"/>
      <c r="N274" s="276">
        <f t="shared" si="50"/>
        <v>-112.21000000000001</v>
      </c>
      <c r="O274" s="253"/>
      <c r="P274" s="41"/>
      <c r="Q274" s="276">
        <f t="array" ref="Q274">+INDEX('Réel 2023'!$A$2:$AO$501,MATCH($A274,'Réel 2023'!$A$2:$A$501,0),MATCH(Q$2,'Réel 2023'!$A$2:$AO$2,0))</f>
        <v>0</v>
      </c>
      <c r="R274" s="253"/>
      <c r="S274" s="276">
        <f t="shared" si="51"/>
        <v>12.79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90.15</v>
      </c>
      <c r="M276" s="253"/>
      <c r="N276" s="276">
        <f t="shared" si="50"/>
        <v>-67.408520742999997</v>
      </c>
      <c r="O276" s="253"/>
      <c r="P276" s="41"/>
      <c r="Q276" s="276">
        <f t="array" ref="Q276">+INDEX('Réel 2023'!$A$2:$AO$501,MATCH($A276,'Réel 2023'!$A$2:$A$501,0),MATCH(Q$2,'Réel 2023'!$A$2:$AO$2,0))</f>
        <v>235.37</v>
      </c>
      <c r="R276" s="253"/>
      <c r="S276" s="276">
        <f t="shared" si="51"/>
        <v>-145.22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25.75</v>
      </c>
      <c r="M277" s="253"/>
      <c r="N277" s="276">
        <f t="shared" si="50"/>
        <v>-11.030368605319445</v>
      </c>
      <c r="O277" s="253"/>
      <c r="P277" s="41"/>
      <c r="Q277" s="276">
        <f t="array" ref="Q277">+INDEX('Réel 2023'!$A$2:$AO$501,MATCH($A277,'Réel 2023'!$A$2:$A$501,0),MATCH(Q$2,'Réel 2023'!$A$2:$AO$2,0))</f>
        <v>20.98</v>
      </c>
      <c r="R277" s="253"/>
      <c r="S277" s="276">
        <f t="shared" si="51"/>
        <v>4.7699999999999996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7.21</v>
      </c>
      <c r="M278" s="253"/>
      <c r="N278" s="276">
        <f t="shared" si="50"/>
        <v>-17.535731854680556</v>
      </c>
      <c r="O278" s="253"/>
      <c r="P278" s="41"/>
      <c r="Q278" s="276">
        <f t="array" ref="Q278">+INDEX('Réel 2023'!$A$2:$AO$501,MATCH($A278,'Réel 2023'!$A$2:$A$501,0),MATCH(Q$2,'Réel 2023'!$A$2:$AO$2,0))</f>
        <v>50.35</v>
      </c>
      <c r="R278" s="253"/>
      <c r="S278" s="276">
        <f t="shared" si="51"/>
        <v>-43.14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20.93</v>
      </c>
      <c r="M279" s="253"/>
      <c r="N279" s="276">
        <f t="shared" si="50"/>
        <v>-214.06946325143051</v>
      </c>
      <c r="O279" s="253"/>
      <c r="P279" s="41"/>
      <c r="Q279" s="276">
        <f t="array" ref="Q279">+INDEX('Réel 2023'!$A$2:$AO$501,MATCH($A279,'Réel 2023'!$A$2:$A$501,0),MATCH(Q$2,'Réel 2023'!$A$2:$AO$2,0))</f>
        <v>20.61</v>
      </c>
      <c r="R279" s="253"/>
      <c r="S279" s="276">
        <f t="shared" si="51"/>
        <v>0.32000000000000028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22.33</v>
      </c>
      <c r="M280" s="253"/>
      <c r="N280" s="276">
        <f t="shared" si="50"/>
        <v>-411.99515231465455</v>
      </c>
      <c r="O280" s="253"/>
      <c r="P280" s="41"/>
      <c r="Q280" s="276">
        <f t="array" ref="Q280">+INDEX('Réel 2023'!$A$2:$AO$501,MATCH($A280,'Réel 2023'!$A$2:$A$501,0),MATCH(Q$2,'Réel 2023'!$A$2:$AO$2,0))</f>
        <v>18.96</v>
      </c>
      <c r="R280" s="253"/>
      <c r="S280" s="276">
        <f t="shared" si="51"/>
        <v>3.3699999999999974</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229.91</v>
      </c>
      <c r="M281" s="253"/>
      <c r="N281" s="276">
        <f t="shared" si="50"/>
        <v>24.628461152880192</v>
      </c>
      <c r="O281" s="253"/>
      <c r="P281" s="41"/>
      <c r="Q281" s="276">
        <f t="array" ref="Q281">+INDEX('Réel 2023'!$A$2:$AO$501,MATCH($A281,'Réel 2023'!$A$2:$A$501,0),MATCH(Q$2,'Réel 2023'!$A$2:$AO$2,0))</f>
        <v>178.14</v>
      </c>
      <c r="R281" s="253"/>
      <c r="S281" s="276">
        <f t="shared" si="51"/>
        <v>51.77000000000001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1.5765015396573883</v>
      </c>
      <c r="L285" s="307">
        <f>+SUM(L267:L284)</f>
        <v>5273.2399999999989</v>
      </c>
      <c r="M285" s="311"/>
      <c r="N285" s="307">
        <f>+SUM(N267:N284)</f>
        <v>1088.1924648413249</v>
      </c>
      <c r="O285" s="308" t="s">
        <v>119</v>
      </c>
      <c r="P285" s="306">
        <f>IF(Q$244=0,0,Q285/Q$244)</f>
        <v>0</v>
      </c>
      <c r="Q285" s="307">
        <f>+SUM(Q267:Q284)</f>
        <v>3250.5699999999997</v>
      </c>
      <c r="R285" s="311"/>
      <c r="S285" s="307">
        <f t="shared" si="51"/>
        <v>2022.6699999999992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11062.389937374057</v>
      </c>
      <c r="G287" s="308"/>
      <c r="H287" s="306"/>
      <c r="I287" s="307"/>
      <c r="J287" s="308" t="s">
        <v>119</v>
      </c>
      <c r="K287" s="306">
        <f>L287/L$250</f>
        <v>3.9536637866602873</v>
      </c>
      <c r="L287" s="307">
        <f>L266+L285</f>
        <v>13224.609999999997</v>
      </c>
      <c r="M287" s="311"/>
      <c r="N287" s="320">
        <f>L287-F287</f>
        <v>2162.22006262594</v>
      </c>
      <c r="O287" s="308" t="s">
        <v>119</v>
      </c>
      <c r="P287" s="306">
        <f>IF(Q$244=0,0,Q287/Q$244)</f>
        <v>0</v>
      </c>
      <c r="Q287" s="307">
        <f>Q266+Q285</f>
        <v>12473</v>
      </c>
      <c r="R287" s="311"/>
      <c r="S287" s="320">
        <f>L287-Q287</f>
        <v>751.60999999999694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-1758.9365034122548</v>
      </c>
      <c r="G289" s="361"/>
      <c r="H289" s="333"/>
      <c r="I289" s="335"/>
      <c r="J289" s="332"/>
      <c r="K289" s="334"/>
      <c r="L289" s="335">
        <f>L250-L287</f>
        <v>-9879.7099999999955</v>
      </c>
      <c r="M289" s="332"/>
      <c r="N289" s="335">
        <f>L289-F289</f>
        <v>-8120.7734965877407</v>
      </c>
      <c r="O289" s="332"/>
      <c r="P289" s="1148">
        <f>+Q289/P250</f>
        <v>-0.2600676356894957</v>
      </c>
      <c r="Q289" s="335">
        <f>Q250-Q287</f>
        <v>-8257.02</v>
      </c>
      <c r="R289" s="332"/>
      <c r="S289" s="335">
        <f>L289-Q289</f>
        <v>-1622.6899999999951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Décembre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30"/>
      <c r="H293" s="1226"/>
      <c r="I293" s="1227"/>
      <c r="J293" s="1230" t="s">
        <v>344</v>
      </c>
      <c r="K293" s="1226"/>
      <c r="L293" s="1227"/>
      <c r="M293" s="1230" t="s">
        <v>3310</v>
      </c>
      <c r="N293" s="1227"/>
      <c r="O293" s="1225" t="s">
        <v>345</v>
      </c>
      <c r="P293" s="1226"/>
      <c r="Q293" s="1227"/>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93715.386178276894</v>
      </c>
      <c r="E295" s="353">
        <f>IF(D295=0,0,F295/D295)</f>
        <v>0.34200000000000003</v>
      </c>
      <c r="F295" s="276">
        <f>+INDEX('Budget original'!$A$2:$AO$501,MATCH($A295,'Budget original'!$A$2:$A$501,0),MATCH(F$2,'Budget original'!$A$2:$AO$2,0))</f>
        <v>32050.662072970699</v>
      </c>
      <c r="G295" s="291"/>
      <c r="H295" s="353"/>
      <c r="I295" s="276"/>
      <c r="J295" s="254">
        <f>-SUMIFS(BV_Data_An_Cour!$O:$O,BV_Data_An_Cour!$X:$X,"Oui",BV_Data_An_Cour!$U:$U,$B295,BV_Data_An_Cour!$V:$V,$C295)</f>
        <v>72850.430000000008</v>
      </c>
      <c r="K295" s="353">
        <f t="shared" ref="K295:K304" si="52">IF(J295&lt;=0,0,L295/J295)</f>
        <v>0.30179382606252292</v>
      </c>
      <c r="L295" s="276">
        <f>-SUMIFS(BV_Data_An_Cour!$O:$O,BV_Data_An_Cour!$U:$U,$B295,BV_Data_An_Cour!$V:$V,$C295,BV_Data_An_Cour!$W:$W,$L$2)</f>
        <v>21985.810000000005</v>
      </c>
      <c r="M295" s="292">
        <f t="shared" ref="M295:M301" si="53">(+J295-D295)/D295</f>
        <v>-0.22264173503574974</v>
      </c>
      <c r="N295" s="276">
        <f t="shared" ref="N295:N304" si="54">L295-F295</f>
        <v>-10064.852072970694</v>
      </c>
      <c r="O295" s="254">
        <f t="array" ref="O295">+INDEX('Réel 2023'!$A$2:$AO$501,MATCH($A295,'Réel 2023'!$A$2:$A$501,0),MATCH(O$2,'Réel 2023'!$A$2:$AO$2,0))</f>
        <v>103411.11</v>
      </c>
      <c r="P295" s="353">
        <f t="shared" ref="P295:P303" si="55">IF(O295=0,0,Q295/O295)</f>
        <v>0.35698146939917769</v>
      </c>
      <c r="Q295" s="276">
        <f t="array" ref="Q295">+INDEX('Réel 2023'!$A$2:$AO$501,MATCH($A295,'Réel 2023'!$A$2:$A$501,0),MATCH(Q$2,'Réel 2023'!$A$2:$AO$2,0))</f>
        <v>36915.85</v>
      </c>
      <c r="R295" s="292">
        <f t="shared" ref="R295:R304" si="56">IF(O295=0,0,(J295-O295)/O295)</f>
        <v>-0.2955260803215437</v>
      </c>
      <c r="S295" s="276">
        <f t="shared" ref="S295:S304" si="57">L295-Q295</f>
        <v>-14930.039999999994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49349.178408324966</v>
      </c>
      <c r="E296" s="353">
        <f t="shared" ref="E296:E303" si="58">IF(D296=0,0,F296/D296)</f>
        <v>0.248</v>
      </c>
      <c r="F296" s="276">
        <f>+INDEX('Budget original'!$A$2:$AO$501,MATCH($A296,'Budget original'!$A$2:$A$501,0),MATCH(F$2,'Budget original'!$A$2:$AO$2,0))</f>
        <v>12238.596245264591</v>
      </c>
      <c r="G296" s="291"/>
      <c r="H296" s="353"/>
      <c r="I296" s="276"/>
      <c r="J296" s="254">
        <f>-SUMIFS(BV_Data_An_Cour!$O:$O,BV_Data_An_Cour!$X:$X,"Oui",BV_Data_An_Cour!$U:$U,$B296,BV_Data_An_Cour!$V:$V,$C296)</f>
        <v>7516.38</v>
      </c>
      <c r="K296" s="353">
        <f t="shared" si="52"/>
        <v>0.2620862702524353</v>
      </c>
      <c r="L296" s="276">
        <f>-SUMIFS(BV_Data_An_Cour!$O:$O,BV_Data_An_Cour!$U:$U,$B296,BV_Data_An_Cour!$V:$V,$C296,BV_Data_An_Cour!$W:$W,$L$2)</f>
        <v>1969.9399999999998</v>
      </c>
      <c r="M296" s="292">
        <f t="shared" si="53"/>
        <v>-0.84768986551695014</v>
      </c>
      <c r="N296" s="276">
        <f t="shared" si="54"/>
        <v>-10268.65624526459</v>
      </c>
      <c r="O296" s="254">
        <f t="array" ref="O296">+INDEX('Réel 2023'!$A$2:$AO$501,MATCH($A296,'Réel 2023'!$A$2:$A$501,0),MATCH(O$2,'Réel 2023'!$A$2:$AO$2,0))</f>
        <v>23807.919999999998</v>
      </c>
      <c r="P296" s="353">
        <f t="shared" si="55"/>
        <v>0.26243115736275996</v>
      </c>
      <c r="Q296" s="276">
        <f t="array" ref="Q296">+INDEX('Réel 2023'!$A$2:$AO$501,MATCH($A296,'Réel 2023'!$A$2:$A$501,0),MATCH(Q$2,'Réel 2023'!$A$2:$AO$2,0))</f>
        <v>6247.94</v>
      </c>
      <c r="R296" s="292">
        <f t="shared" si="56"/>
        <v>-0.68429077382652492</v>
      </c>
      <c r="S296" s="276">
        <f t="shared" si="57"/>
        <v>-4278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34806.947684848987</v>
      </c>
      <c r="E297" s="353">
        <f t="shared" si="58"/>
        <v>0.24300000000000002</v>
      </c>
      <c r="F297" s="276">
        <f>+INDEX('Budget original'!$A$2:$AO$501,MATCH($A297,'Budget original'!$A$2:$A$501,0),MATCH(F$2,'Budget original'!$A$2:$AO$2,0))</f>
        <v>8458.0882874183044</v>
      </c>
      <c r="G297" s="291"/>
      <c r="H297" s="353"/>
      <c r="I297" s="276"/>
      <c r="J297" s="254">
        <f>-SUMIFS(BV_Data_An_Cour!$O:$O,BV_Data_An_Cour!$X:$X,"Oui",BV_Data_An_Cour!$U:$U,$B297,BV_Data_An_Cour!$V:$V,$C297)</f>
        <v>50223.29</v>
      </c>
      <c r="K297" s="353">
        <f t="shared" si="52"/>
        <v>0.2356876660210831</v>
      </c>
      <c r="L297" s="276">
        <f>-SUMIFS(BV_Data_An_Cour!$O:$O,BV_Data_An_Cour!$U:$U,$B297,BV_Data_An_Cour!$V:$V,$C297,BV_Data_An_Cour!$W:$W,$L$2)</f>
        <v>11837.010000000002</v>
      </c>
      <c r="M297" s="292">
        <f t="shared" si="53"/>
        <v>0.44290991714454608</v>
      </c>
      <c r="N297" s="276">
        <f t="shared" si="54"/>
        <v>3378.9217125816976</v>
      </c>
      <c r="O297" s="254">
        <f t="array" ref="O297">+INDEX('Réel 2023'!$A$2:$AO$501,MATCH($A297,'Réel 2023'!$A$2:$A$501,0),MATCH(O$2,'Réel 2023'!$A$2:$AO$2,0))</f>
        <v>66360.08</v>
      </c>
      <c r="P297" s="353">
        <f t="shared" si="55"/>
        <v>0.23864121321131621</v>
      </c>
      <c r="Q297" s="276">
        <f t="array" ref="Q297">+INDEX('Réel 2023'!$A$2:$AO$501,MATCH($A297,'Réel 2023'!$A$2:$A$501,0),MATCH(Q$2,'Réel 2023'!$A$2:$AO$2,0))</f>
        <v>15836.25</v>
      </c>
      <c r="R297" s="292">
        <f t="shared" si="56"/>
        <v>-0.24317014084371208</v>
      </c>
      <c r="S297" s="276">
        <f t="shared" si="57"/>
        <v>-3999.239999999998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35542.231583772656</v>
      </c>
      <c r="E298" s="353">
        <f t="shared" si="58"/>
        <v>0.316</v>
      </c>
      <c r="F298" s="276">
        <f>+INDEX('Budget original'!$A$2:$AO$501,MATCH($A298,'Budget original'!$A$2:$A$501,0),MATCH(F$2,'Budget original'!$A$2:$AO$2,0))</f>
        <v>11231.345180472159</v>
      </c>
      <c r="G298" s="291"/>
      <c r="H298" s="353"/>
      <c r="I298" s="276"/>
      <c r="J298" s="254">
        <f>-SUMIFS(BV_Data_An_Cour!$O:$O,BV_Data_An_Cour!$X:$X,"Oui",BV_Data_An_Cour!$U:$U,$B298,BV_Data_An_Cour!$V:$V,$C298)</f>
        <v>52437.25</v>
      </c>
      <c r="K298" s="353">
        <f t="shared" si="52"/>
        <v>0.274711965253708</v>
      </c>
      <c r="L298" s="276">
        <f>-SUMIFS(BV_Data_An_Cour!$O:$O,BV_Data_An_Cour!$U:$U,$B298,BV_Data_An_Cour!$V:$V,$C298,BV_Data_An_Cour!$W:$W,$L$2)</f>
        <v>14405.14</v>
      </c>
      <c r="M298" s="292">
        <f t="shared" si="53"/>
        <v>0.47535052424623275</v>
      </c>
      <c r="N298" s="276">
        <f t="shared" si="54"/>
        <v>3173.7948195278404</v>
      </c>
      <c r="O298" s="254">
        <f t="array" ref="O298">+INDEX('Réel 2023'!$A$2:$AO$501,MATCH($A298,'Réel 2023'!$A$2:$A$501,0),MATCH(O$2,'Réel 2023'!$A$2:$AO$2,0))</f>
        <v>41992</v>
      </c>
      <c r="P298" s="353">
        <f t="shared" si="55"/>
        <v>0.29809678033911224</v>
      </c>
      <c r="Q298" s="276">
        <f t="array" ref="Q298">+INDEX('Réel 2023'!$A$2:$AO$501,MATCH($A298,'Réel 2023'!$A$2:$A$501,0),MATCH(Q$2,'Réel 2023'!$A$2:$AO$2,0))</f>
        <v>12517.68</v>
      </c>
      <c r="R298" s="292">
        <f t="shared" si="56"/>
        <v>0.24874380834444657</v>
      </c>
      <c r="S298" s="276">
        <f t="shared" si="57"/>
        <v>1887.4599999999991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12781.800000000001</v>
      </c>
      <c r="E299" s="353">
        <f t="shared" si="58"/>
        <v>0.26500000000000001</v>
      </c>
      <c r="F299" s="276">
        <f>+INDEX('Budget original'!$A$2:$AO$501,MATCH($A299,'Budget original'!$A$2:$A$501,0),MATCH(F$2,'Budget original'!$A$2:$AO$2,0))</f>
        <v>3387.1770000000006</v>
      </c>
      <c r="G299" s="291"/>
      <c r="H299" s="353"/>
      <c r="I299" s="276"/>
      <c r="J299" s="254">
        <f>-SUMIFS(BV_Data_An_Cour!$O:$O,BV_Data_An_Cour!$X:$X,"Oui",BV_Data_An_Cour!$U:$U,$B299,BV_Data_An_Cour!$V:$V,$C299)</f>
        <v>16991.91</v>
      </c>
      <c r="K299" s="353">
        <f t="shared" si="52"/>
        <v>0.26246607944604222</v>
      </c>
      <c r="L299" s="276">
        <f>-SUMIFS(BV_Data_An_Cour!$O:$O,BV_Data_An_Cour!$U:$U,$B299,BV_Data_An_Cour!$V:$V,$C299,BV_Data_An_Cour!$W:$W,$L$2)</f>
        <v>4459.7999999999993</v>
      </c>
      <c r="M299" s="292">
        <f t="shared" si="53"/>
        <v>0.32938318546683554</v>
      </c>
      <c r="N299" s="276">
        <f t="shared" si="54"/>
        <v>1072.6229999999987</v>
      </c>
      <c r="O299" s="254">
        <f t="array" ref="O299">+INDEX('Réel 2023'!$A$2:$AO$501,MATCH($A299,'Réel 2023'!$A$2:$A$501,0),MATCH(O$2,'Réel 2023'!$A$2:$AO$2,0))</f>
        <v>14066.7</v>
      </c>
      <c r="P299" s="353">
        <f t="shared" si="55"/>
        <v>0.28857301286015907</v>
      </c>
      <c r="Q299" s="276">
        <f t="array" ref="Q299">+INDEX('Réel 2023'!$A$2:$AO$501,MATCH($A299,'Réel 2023'!$A$2:$A$501,0),MATCH(Q$2,'Réel 2023'!$A$2:$AO$2,0))</f>
        <v>4059.27</v>
      </c>
      <c r="R299" s="292">
        <f t="shared" si="56"/>
        <v>0.20795282475633936</v>
      </c>
      <c r="S299" s="276">
        <f t="shared" si="57"/>
        <v>400.52999999999929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144796.27810775323</v>
      </c>
      <c r="E300" s="353">
        <f t="shared" si="58"/>
        <v>0.14499999999999999</v>
      </c>
      <c r="F300" s="276">
        <f>+INDEX('Budget original'!$A$2:$AO$501,MATCH($A300,'Budget original'!$A$2:$A$501,0),MATCH(F$2,'Budget original'!$A$2:$AO$2,0))</f>
        <v>20995.460325624215</v>
      </c>
      <c r="G300" s="291"/>
      <c r="H300" s="353"/>
      <c r="I300" s="276"/>
      <c r="J300" s="254">
        <f>-SUMIFS(BV_Data_An_Cour!$O:$O,BV_Data_An_Cour!$X:$X,"Oui",BV_Data_An_Cour!$U:$U,$B300,BV_Data_An_Cour!$V:$V,$C300)</f>
        <v>169183.24</v>
      </c>
      <c r="K300" s="353">
        <f t="shared" si="52"/>
        <v>0.11761141351826578</v>
      </c>
      <c r="L300" s="276">
        <f>-SUMIFS(BV_Data_An_Cour!$O:$O,BV_Data_An_Cour!$U:$U,$B300,BV_Data_An_Cour!$V:$V,$C300,BV_Data_An_Cour!$W:$W,$L$2)</f>
        <v>19897.88</v>
      </c>
      <c r="M300" s="292">
        <f t="shared" si="53"/>
        <v>0.16842257419143528</v>
      </c>
      <c r="N300" s="276">
        <f t="shared" si="54"/>
        <v>-1097.5803256242143</v>
      </c>
      <c r="O300" s="254">
        <f t="array" ref="O300">+INDEX('Réel 2023'!$A$2:$AO$501,MATCH($A300,'Réel 2023'!$A$2:$A$501,0),MATCH(O$2,'Réel 2023'!$A$2:$AO$2,0))</f>
        <v>109269.89</v>
      </c>
      <c r="P300" s="353">
        <f t="shared" si="55"/>
        <v>0.13503930497230207</v>
      </c>
      <c r="Q300" s="276">
        <f t="array" ref="Q300">+INDEX('Réel 2023'!$A$2:$AO$501,MATCH($A300,'Réel 2023'!$A$2:$A$501,0),MATCH(Q$2,'Réel 2023'!$A$2:$AO$2,0))</f>
        <v>14755.7299999999</v>
      </c>
      <c r="R300" s="292">
        <f t="shared" si="56"/>
        <v>0.54830612531960998</v>
      </c>
      <c r="S300" s="276">
        <f t="shared" si="57"/>
        <v>5142.1500000001015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6788.2380397027628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11210.039999999999</v>
      </c>
      <c r="M302" s="292"/>
      <c r="N302" s="276">
        <f t="shared" si="54"/>
        <v>4421.8019602972363</v>
      </c>
      <c r="O302" s="254">
        <f t="array" ref="O302">+INDEX('Réel 2023'!$A$2:$AO$501,MATCH($A302,'Réel 2023'!$A$2:$A$501,0),MATCH(O$2,'Réel 2023'!$A$2:$AO$2,0))</f>
        <v>0</v>
      </c>
      <c r="P302" s="353">
        <f t="shared" si="55"/>
        <v>0</v>
      </c>
      <c r="Q302" s="276">
        <f t="array" ref="Q302">+INDEX('Réel 2023'!$A$2:$AO$501,MATCH($A302,'Réel 2023'!$A$2:$A$501,0),MATCH(Q$2,'Réel 2023'!$A$2:$AO$2,0))</f>
        <v>10502.949999999901</v>
      </c>
      <c r="R302" s="292">
        <f t="shared" si="56"/>
        <v>0</v>
      </c>
      <c r="S302" s="276">
        <f t="shared" si="57"/>
        <v>707.09000000009837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370991.82196297671</v>
      </c>
      <c r="E304" s="407">
        <f>IF(D304&lt;=0,0,F304/D304)</f>
        <v>0.25647348949095761</v>
      </c>
      <c r="F304" s="392">
        <f>SUM(F295:F303)</f>
        <v>95149.56715145272</v>
      </c>
      <c r="G304" s="390"/>
      <c r="H304" s="407"/>
      <c r="I304" s="392"/>
      <c r="J304" s="390">
        <f t="shared" ref="J304" si="59">SUM(J295:J303)</f>
        <v>369202.5</v>
      </c>
      <c r="K304" s="407">
        <f t="shared" si="52"/>
        <v>0.23229967294370979</v>
      </c>
      <c r="L304" s="392">
        <f>SUM(L295:L303)</f>
        <v>85765.62000000001</v>
      </c>
      <c r="M304" s="408">
        <f>(+J304-D304)/D304</f>
        <v>-4.8230765667801644E-3</v>
      </c>
      <c r="N304" s="392">
        <f t="shared" si="54"/>
        <v>-9383.9471514527104</v>
      </c>
      <c r="O304" s="390">
        <f>SUM(O295:O303)</f>
        <v>358907.7</v>
      </c>
      <c r="P304" s="407">
        <f>IF(O304&lt;=0,0,Q304/O304)</f>
        <v>0.28095153712221776</v>
      </c>
      <c r="Q304" s="392">
        <f t="shared" ref="Q304" si="60">SUM(Q295:Q303)</f>
        <v>100835.66999999979</v>
      </c>
      <c r="R304" s="408">
        <f t="shared" si="56"/>
        <v>2.8683697786366768E-2</v>
      </c>
      <c r="S304" s="392">
        <f t="shared" si="57"/>
        <v>-15070.049999999785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-9.8623119709162418E-2</v>
      </c>
      <c r="O305" s="253"/>
      <c r="P305" s="41"/>
      <c r="Q305" s="263"/>
      <c r="R305" s="253"/>
      <c r="S305" s="265">
        <f>IF(Q304=0,0,S304/Q304)</f>
        <v>-0.1494515779981411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28256.45</v>
      </c>
      <c r="E307" s="353">
        <f>IF(D307=0,0,F307/D307)</f>
        <v>0.18</v>
      </c>
      <c r="F307" s="317">
        <f>+INDEX('Budget original'!$A$2:$AO$501,MATCH($A307,'Budget original'!$A$2:$A$501,0),MATCH(F$2,'Budget original'!$A$2:$AO$2,0))</f>
        <v>5086.1610000000001</v>
      </c>
      <c r="G307" s="291"/>
      <c r="H307" s="353"/>
      <c r="I307" s="317"/>
      <c r="J307" s="254">
        <f>-SUMIFS(BV_Data_An_Cour!$O:$O,BV_Data_An_Cour!$X:$X,"Oui",BV_Data_An_Cour!$U:$U,$B307,BV_Data_An_Cour!$V:$V,$C307)</f>
        <v>57268.47</v>
      </c>
      <c r="K307" s="353">
        <f t="shared" ref="K307:K309" si="61">IF(J307&lt;=0,0,L307/J307)</f>
        <v>0.1903179882403005</v>
      </c>
      <c r="L307" s="317">
        <f>-SUMIFS(BV_Data_An_Cour!$O:$O,BV_Data_An_Cour!$U:$U,$B307,BV_Data_An_Cour!$V:$V,$C307,BV_Data_An_Cour!$W:$W,$L$2)</f>
        <v>10899.220000000001</v>
      </c>
      <c r="M307" s="292">
        <f>(+J307-D307)/D307</f>
        <v>1.0267397355294101</v>
      </c>
      <c r="N307" s="276">
        <f>L307-F307</f>
        <v>5813.0590000000011</v>
      </c>
      <c r="O307" s="254">
        <f t="array" ref="O307">+INDEX('Réel 2023'!$A$2:$AO$501,MATCH($A307,'Réel 2023'!$A$2:$A$501,0),MATCH(O$2,'Réel 2023'!$A$2:$AO$2,0))</f>
        <v>58490.41</v>
      </c>
      <c r="P307" s="353">
        <f t="shared" ref="P307:P308" si="62">IF(O307=0,0,Q307/O307)</f>
        <v>0.17809586221057433</v>
      </c>
      <c r="Q307" s="317">
        <f t="array" ref="Q307">+INDEX('Réel 2023'!$A$2:$AO$501,MATCH($A307,'Réel 2023'!$A$2:$A$501,0),MATCH(Q$2,'Réel 2023'!$A$2:$AO$2,0))</f>
        <v>10416.9</v>
      </c>
      <c r="R307" s="292">
        <f t="shared" ref="R307:R309" si="63">IF(O307=0,0,(J307-O307)/O307)</f>
        <v>-2.0891287990629615E-2</v>
      </c>
      <c r="S307" s="276">
        <f t="shared" ref="S307:S309" si="64">L307-Q307</f>
        <v>482.32000000000153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18136.675749674781</v>
      </c>
      <c r="E308" s="353">
        <f>IF(D308=0,0,F308/D308)</f>
        <v>0.26</v>
      </c>
      <c r="F308" s="296">
        <f>+INDEX('Budget original'!$A$2:$AO$501,MATCH($A308,'Budget original'!$A$2:$A$501,0),MATCH(F$2,'Budget original'!$A$2:$AO$2,0))</f>
        <v>4715.5356949154429</v>
      </c>
      <c r="G308" s="291"/>
      <c r="H308" s="353"/>
      <c r="I308" s="296"/>
      <c r="J308" s="254">
        <f>-SUMIFS(BV_Data_An_Cour!$O:$O,BV_Data_An_Cour!$X:$X,"Oui",BV_Data_An_Cour!$U:$U,$B308,BV_Data_An_Cour!$V:$V,$C308)</f>
        <v>18305.580000000002</v>
      </c>
      <c r="K308" s="353">
        <f t="shared" si="61"/>
        <v>0.26086963647150224</v>
      </c>
      <c r="L308" s="296">
        <f>-SUMIFS(BV_Data_An_Cour!$O:$O,BV_Data_An_Cour!$U:$U,$B308,BV_Data_An_Cour!$V:$V,$C308,BV_Data_An_Cour!$W:$W,$L$2)</f>
        <v>4775.3700000000026</v>
      </c>
      <c r="M308" s="292">
        <f>(+J308-D308)/D308</f>
        <v>9.3128560413420335E-3</v>
      </c>
      <c r="N308" s="276">
        <f>L308-F308</f>
        <v>59.834305084559674</v>
      </c>
      <c r="O308" s="254">
        <f t="array" ref="O308">+INDEX('Réel 2023'!$A$2:$AO$501,MATCH($A308,'Réel 2023'!$A$2:$A$501,0),MATCH(O$2,'Réel 2023'!$A$2:$AO$2,0))</f>
        <v>20079.73</v>
      </c>
      <c r="P308" s="353">
        <f t="shared" si="62"/>
        <v>0.2369070699655817</v>
      </c>
      <c r="Q308" s="296">
        <f t="array" ref="Q308">+INDEX('Réel 2023'!$A$2:$AO$501,MATCH($A308,'Réel 2023'!$A$2:$A$501,0),MATCH(Q$2,'Réel 2023'!$A$2:$AO$2,0))</f>
        <v>4757.0299999999897</v>
      </c>
      <c r="R308" s="292">
        <f t="shared" si="63"/>
        <v>-8.8355271709330649E-2</v>
      </c>
      <c r="S308" s="276">
        <f t="shared" si="64"/>
        <v>18.340000000012878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417384.94771265151</v>
      </c>
      <c r="E309" s="407">
        <f>IF(D309&lt;=0,0,F309/D309)</f>
        <v>0.2514495657342723</v>
      </c>
      <c r="F309" s="392">
        <f>F304+F307+F308</f>
        <v>104951.26384636817</v>
      </c>
      <c r="G309" s="393"/>
      <c r="H309" s="407"/>
      <c r="I309" s="392"/>
      <c r="J309" s="393">
        <f t="shared" ref="J309" si="65">J304+J307+J308</f>
        <v>444776.55</v>
      </c>
      <c r="K309" s="407">
        <f t="shared" si="61"/>
        <v>0.22807005000600869</v>
      </c>
      <c r="L309" s="392">
        <f>L304+L307+L308</f>
        <v>101440.21000000002</v>
      </c>
      <c r="M309" s="408">
        <f>(+J309-D309)/D309</f>
        <v>6.5626713271428785E-2</v>
      </c>
      <c r="N309" s="392">
        <f>L309-F309</f>
        <v>-3511.0538463681441</v>
      </c>
      <c r="O309" s="393">
        <f>O304+O307+O308</f>
        <v>437477.83999999997</v>
      </c>
      <c r="P309" s="407">
        <f>IF(O309&lt;=0,0,Q309/O309)</f>
        <v>0.26517823165625892</v>
      </c>
      <c r="Q309" s="392">
        <f t="shared" ref="Q309" si="66">Q304+Q307+Q308</f>
        <v>116009.59999999977</v>
      </c>
      <c r="R309" s="408">
        <f t="shared" si="63"/>
        <v>1.668361076300464E-2</v>
      </c>
      <c r="S309" s="392">
        <f t="shared" si="64"/>
        <v>-14569.389999999752</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-3.3454135926440719E-2</v>
      </c>
      <c r="O310" s="253"/>
      <c r="P310" s="41"/>
      <c r="Q310" s="263"/>
      <c r="R310" s="253"/>
      <c r="S310" s="265">
        <f>IF(Q309=0,0,S309/Q309)</f>
        <v>-0.12558779618238303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417384.94771265151</v>
      </c>
      <c r="E314" s="410">
        <f>IF(D314&lt;=0,0,F314/D314)</f>
        <v>0.2514495657342723</v>
      </c>
      <c r="F314" s="281">
        <f>F309+F312</f>
        <v>104951.26384636817</v>
      </c>
      <c r="G314" s="282"/>
      <c r="H314" s="410"/>
      <c r="I314" s="281"/>
      <c r="J314" s="282">
        <f t="shared" ref="J314" si="67">J309+J312</f>
        <v>444776.55</v>
      </c>
      <c r="K314" s="410">
        <f>IF(J314&lt;=0,0,L314/J314)</f>
        <v>0.22807005000600869</v>
      </c>
      <c r="L314" s="281">
        <f>L309+L312</f>
        <v>101440.21000000002</v>
      </c>
      <c r="M314" s="411">
        <f>(+J314-D314)/D314</f>
        <v>6.5626713271428785E-2</v>
      </c>
      <c r="N314" s="412">
        <f>L314-F314</f>
        <v>-3511.0538463681441</v>
      </c>
      <c r="O314" s="282">
        <f>O309+O312</f>
        <v>437477.83999999997</v>
      </c>
      <c r="P314" s="410">
        <f>IF(O314&lt;=0,0,Q314/O314)</f>
        <v>0.26517823165625892</v>
      </c>
      <c r="Q314" s="281">
        <f t="shared" ref="Q314" si="68">Q309+Q312</f>
        <v>116009.59999999977</v>
      </c>
      <c r="R314" s="411">
        <f>IF(O314=0,0,(J314-O314)/O314)</f>
        <v>1.668361076300464E-2</v>
      </c>
      <c r="S314" s="412">
        <f>L314-Q314</f>
        <v>-14569.389999999752</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0.96654586407355925</v>
      </c>
      <c r="M315" s="416"/>
      <c r="N315" s="287">
        <f>N314/F314</f>
        <v>-3.3454135926440719E-2</v>
      </c>
      <c r="O315" s="415"/>
      <c r="P315" s="414"/>
      <c r="Q315" s="335"/>
      <c r="R315" s="416"/>
      <c r="S315" s="287">
        <f>IF(Q314=0,0,S314/Q314)</f>
        <v>-0.12558779618238303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6564.9358974358984</v>
      </c>
      <c r="G318" s="253"/>
      <c r="H318" s="41"/>
      <c r="I318" s="254"/>
      <c r="J318" s="253"/>
      <c r="K318" s="41"/>
      <c r="L318" s="256">
        <f>SUMIFS(BV_Data_An_Cour!$O:$O,BV_Data_An_Cour!$U:$U,$B318,BV_Data_An_Cour!$V:$V,$C318,BV_Data_An_Cour!$W:$W,$L$2)</f>
        <v>10247.76</v>
      </c>
      <c r="M318" s="253"/>
      <c r="N318" s="256">
        <f t="shared" ref="N318:N348" si="69">L318-F318</f>
        <v>3682.8241025641018</v>
      </c>
      <c r="O318" s="253"/>
      <c r="P318" s="41"/>
      <c r="Q318" s="256">
        <f t="array" ref="Q318">+INDEX('Réel 2023'!$A$2:$AO$501,MATCH($A318,'Réel 2023'!$A$2:$A$501,0),MATCH(Q$2,'Réel 2023'!$A$2:$AO$2,0))</f>
        <v>11352.55</v>
      </c>
      <c r="R318" s="253"/>
      <c r="S318" s="256">
        <f t="shared" ref="S318:S348" si="70">L318-Q318</f>
        <v>-1104.7899999999991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26566.084923076924</v>
      </c>
      <c r="G319" s="298"/>
      <c r="H319" s="41"/>
      <c r="I319" s="248"/>
      <c r="J319" s="253"/>
      <c r="K319" s="41"/>
      <c r="L319" s="256">
        <f>SUMIFS(BV_Data_An_Cour!$O:$O,BV_Data_An_Cour!$U:$U,$B319,BV_Data_An_Cour!$V:$V,$C319,BV_Data_An_Cour!$W:$W,$L$2)</f>
        <v>23560.57</v>
      </c>
      <c r="M319" s="253"/>
      <c r="N319" s="256">
        <f t="shared" si="69"/>
        <v>-3005.5149230769239</v>
      </c>
      <c r="O319" s="253"/>
      <c r="P319" s="41"/>
      <c r="Q319" s="256">
        <f t="array" ref="Q319">+INDEX('Réel 2023'!$A$2:$AO$501,MATCH($A319,'Réel 2023'!$A$2:$A$501,0),MATCH(Q$2,'Réel 2023'!$A$2:$AO$2,0))</f>
        <v>25556.46</v>
      </c>
      <c r="R319" s="253"/>
      <c r="S319" s="276">
        <f t="shared" si="70"/>
        <v>-1995.8899999999994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2023'!$A$2:$AO$501,MATCH($A320,'Réel 2023'!$A$2:$A$501,0),MATCH(Q$2,'Réel 2023'!$A$2:$AO$2,0))</f>
        <v>3885.42</v>
      </c>
      <c r="R320" s="241"/>
      <c r="S320" s="317">
        <f t="shared" si="70"/>
        <v>-3771.5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4086.0378682564101</v>
      </c>
      <c r="G325" s="298"/>
      <c r="H325" s="41"/>
      <c r="I325" s="248"/>
      <c r="J325" s="253"/>
      <c r="K325" s="41"/>
      <c r="L325" s="256">
        <f>SUMIFS(BV_Data_An_Cour!$O:$O,BV_Data_An_Cour!$U:$U,$B325,BV_Data_An_Cour!$V:$V,$C325,BV_Data_An_Cour!$W:$W,$L$2)</f>
        <v>4269.59</v>
      </c>
      <c r="M325" s="253"/>
      <c r="N325" s="256">
        <f t="shared" si="69"/>
        <v>183.55213174359005</v>
      </c>
      <c r="O325" s="253"/>
      <c r="P325" s="41"/>
      <c r="Q325" s="256">
        <f t="array" ref="Q325">+INDEX('Réel 2023'!$A$2:$AO$501,MATCH($A325,'Réel 2023'!$A$2:$A$501,0),MATCH(Q$2,'Réel 2023'!$A$2:$AO$2,0))</f>
        <v>4393.2700000000004</v>
      </c>
      <c r="R325" s="253"/>
      <c r="S325" s="276">
        <f t="shared" si="70"/>
        <v>-123.68000000000029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4968.0460424615385</v>
      </c>
      <c r="G326" s="316"/>
      <c r="H326" s="315"/>
      <c r="I326" s="254"/>
      <c r="J326" s="241"/>
      <c r="K326" s="315"/>
      <c r="L326" s="272">
        <f>SUMIFS(BV_Data_An_Cour!$O:$O,BV_Data_An_Cour!$U:$U,$B326,BV_Data_An_Cour!$V:$V,$C326,BV_Data_An_Cour!$W:$W,$L$2)</f>
        <v>5518.53</v>
      </c>
      <c r="M326" s="241"/>
      <c r="N326" s="272">
        <f t="shared" si="69"/>
        <v>550.48395753846125</v>
      </c>
      <c r="O326" s="241"/>
      <c r="P326" s="315"/>
      <c r="Q326" s="272">
        <f t="array" ref="Q326">+INDEX('Réel 2023'!$A$2:$AO$501,MATCH($A326,'Réel 2023'!$A$2:$A$501,0),MATCH(Q$2,'Réel 2023'!$A$2:$AO$2,0))</f>
        <v>7153.2</v>
      </c>
      <c r="R326" s="241"/>
      <c r="S326" s="317">
        <f t="shared" si="70"/>
        <v>-1634.67</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2559.6237218769229</v>
      </c>
      <c r="G327" s="298"/>
      <c r="H327" s="41"/>
      <c r="I327" s="254"/>
      <c r="J327" s="253"/>
      <c r="K327" s="41"/>
      <c r="L327" s="256">
        <f>SUMIFS(BV_Data_An_Cour!$O:$O,BV_Data_An_Cour!$U:$U,$B327,BV_Data_An_Cour!$V:$V,$C327,BV_Data_An_Cour!$W:$W,$L$2)</f>
        <v>1451</v>
      </c>
      <c r="M327" s="253"/>
      <c r="N327" s="256">
        <f t="shared" si="69"/>
        <v>-1108.6237218769229</v>
      </c>
      <c r="O327" s="253"/>
      <c r="P327" s="41"/>
      <c r="Q327" s="256">
        <f t="array" ref="Q327">+INDEX('Réel 2023'!$A$2:$AO$501,MATCH($A327,'Réel 2023'!$A$2:$A$501,0),MATCH(Q$2,'Réel 2023'!$A$2:$AO$2,0))</f>
        <v>1120.01</v>
      </c>
      <c r="R327" s="253"/>
      <c r="S327" s="276">
        <f t="shared" si="70"/>
        <v>330.99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1116.0103428717948</v>
      </c>
      <c r="G328" s="298"/>
      <c r="H328" s="41"/>
      <c r="I328" s="254"/>
      <c r="J328" s="253"/>
      <c r="K328" s="41"/>
      <c r="L328" s="256">
        <f>SUMIFS(BV_Data_An_Cour!$O:$O,BV_Data_An_Cour!$U:$U,$B328,BV_Data_An_Cour!$V:$V,$C328,BV_Data_An_Cour!$W:$W,$L$2)</f>
        <v>1860.87</v>
      </c>
      <c r="M328" s="253"/>
      <c r="N328" s="256">
        <f t="shared" si="69"/>
        <v>744.85965712820507</v>
      </c>
      <c r="O328" s="253"/>
      <c r="P328" s="41"/>
      <c r="Q328" s="256">
        <f t="array" ref="Q328">+INDEX('Réel 2023'!$A$2:$AO$501,MATCH($A328,'Réel 2023'!$A$2:$A$501,0),MATCH(Q$2,'Réel 2023'!$A$2:$AO$2,0))</f>
        <v>1468.11</v>
      </c>
      <c r="R328" s="253"/>
      <c r="S328" s="276">
        <f t="shared" si="70"/>
        <v>392.76</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0.43830806094115943</v>
      </c>
      <c r="F330" s="307">
        <f>+SUM(F318:F329)</f>
        <v>46000.984949825637</v>
      </c>
      <c r="G330" s="308"/>
      <c r="H330" s="306"/>
      <c r="I330" s="307"/>
      <c r="J330" s="308" t="s">
        <v>119</v>
      </c>
      <c r="K330" s="306">
        <f>L330/L$314</f>
        <v>0.46354635898328667</v>
      </c>
      <c r="L330" s="307">
        <f>+SUM(L318:L329)</f>
        <v>47022.239999999998</v>
      </c>
      <c r="M330" s="355"/>
      <c r="N330" s="320">
        <f t="shared" si="69"/>
        <v>1021.2550501743608</v>
      </c>
      <c r="O330" s="308" t="s">
        <v>119</v>
      </c>
      <c r="P330" s="306">
        <f>Q330/Q$314</f>
        <v>0.47348684936419144</v>
      </c>
      <c r="Q330" s="307">
        <f>+SUM(Q318:Q329)</f>
        <v>54929.02</v>
      </c>
      <c r="R330" s="355"/>
      <c r="S330" s="320">
        <f t="shared" si="70"/>
        <v>-7906.7799999999988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3945.26</v>
      </c>
      <c r="M331" s="253"/>
      <c r="N331" s="276">
        <f t="shared" si="69"/>
        <v>-506.30813677083188</v>
      </c>
      <c r="O331" s="253"/>
      <c r="P331" s="41"/>
      <c r="Q331" s="256">
        <f t="array" ref="Q331">+INDEX('Réel 2023'!$A$2:$AO$501,MATCH($A331,'Réel 2023'!$A$2:$A$501,0),MATCH(Q$2,'Réel 2023'!$A$2:$AO$2,0))</f>
        <v>4316.62</v>
      </c>
      <c r="R331" s="253"/>
      <c r="S331" s="276">
        <f t="shared" si="70"/>
        <v>-371.35999999999967</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991.88</v>
      </c>
      <c r="M332" s="253"/>
      <c r="N332" s="276">
        <f t="shared" si="69"/>
        <v>-492.88640647478621</v>
      </c>
      <c r="O332" s="253"/>
      <c r="P332" s="41"/>
      <c r="Q332" s="256">
        <f t="array" ref="Q332">+INDEX('Réel 2023'!$A$2:$AO$501,MATCH($A332,'Réel 2023'!$A$2:$A$501,0),MATCH(Q$2,'Réel 2023'!$A$2:$AO$2,0))</f>
        <v>99.04</v>
      </c>
      <c r="R332" s="253"/>
      <c r="S332" s="276">
        <f t="shared" si="70"/>
        <v>892.84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1140.48</v>
      </c>
      <c r="M333" s="246"/>
      <c r="N333" s="296">
        <f t="shared" si="69"/>
        <v>57.146666666666761</v>
      </c>
      <c r="O333" s="246"/>
      <c r="P333" s="318"/>
      <c r="Q333" s="256">
        <f t="array" ref="Q333">+INDEX('Réel 2023'!$A$2:$AO$501,MATCH($A333,'Réel 2023'!$A$2:$A$501,0),MATCH(Q$2,'Réel 2023'!$A$2:$AO$2,0))</f>
        <v>1579.5</v>
      </c>
      <c r="R333" s="246"/>
      <c r="S333" s="296">
        <f t="shared" si="70"/>
        <v>-439.02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5726.42</v>
      </c>
      <c r="M334" s="253"/>
      <c r="N334" s="276">
        <f t="shared" si="69"/>
        <v>1917.4842972222227</v>
      </c>
      <c r="O334" s="253"/>
      <c r="P334" s="41"/>
      <c r="Q334" s="272">
        <f t="array" ref="Q334">+INDEX('Réel 2023'!$A$2:$AO$501,MATCH($A334,'Réel 2023'!$A$2:$A$501,0),MATCH(Q$2,'Réel 2023'!$A$2:$AO$2,0))</f>
        <v>3554.73</v>
      </c>
      <c r="R334" s="253"/>
      <c r="S334" s="276">
        <f t="shared" si="70"/>
        <v>2171.69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873.75</v>
      </c>
      <c r="M335" s="253"/>
      <c r="N335" s="276">
        <f t="shared" si="69"/>
        <v>188.12950330350316</v>
      </c>
      <c r="O335" s="253"/>
      <c r="P335" s="41"/>
      <c r="Q335" s="256">
        <f t="array" ref="Q335">+INDEX('Réel 2023'!$A$2:$AO$501,MATCH($A335,'Réel 2023'!$A$2:$A$501,0),MATCH(Q$2,'Réel 2023'!$A$2:$AO$2,0))</f>
        <v>839.57</v>
      </c>
      <c r="R335" s="253"/>
      <c r="S335" s="276">
        <f t="shared" si="70"/>
        <v>34.17999999999995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10908.3</v>
      </c>
      <c r="M336" s="246"/>
      <c r="N336" s="296">
        <f t="shared" si="69"/>
        <v>-1508.5277505324084</v>
      </c>
      <c r="O336" s="246"/>
      <c r="P336" s="318"/>
      <c r="Q336" s="248">
        <f t="array" ref="Q336">+INDEX('Réel 2023'!$A$2:$AO$501,MATCH($A336,'Réel 2023'!$A$2:$A$501,0),MATCH(Q$2,'Réel 2023'!$A$2:$AO$2,0))</f>
        <v>14575.02</v>
      </c>
      <c r="R336" s="246"/>
      <c r="S336" s="296">
        <f t="shared" si="70"/>
        <v>-3666.7200000000012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150.28</v>
      </c>
      <c r="M338" s="253"/>
      <c r="N338" s="276">
        <f t="shared" si="69"/>
        <v>25.28</v>
      </c>
      <c r="O338" s="253"/>
      <c r="P338" s="41"/>
      <c r="Q338" s="256">
        <f t="array" ref="Q338">+INDEX('Réel 2023'!$A$2:$AO$501,MATCH($A338,'Réel 2023'!$A$2:$A$501,0),MATCH(Q$2,'Réel 2023'!$A$2:$AO$2,0))</f>
        <v>0</v>
      </c>
      <c r="R338" s="253"/>
      <c r="S338" s="276">
        <f t="shared" si="70"/>
        <v>150.28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890.57</v>
      </c>
      <c r="M340" s="253"/>
      <c r="N340" s="276">
        <f t="shared" si="69"/>
        <v>272.61706877500001</v>
      </c>
      <c r="O340" s="253"/>
      <c r="P340" s="41"/>
      <c r="Q340" s="256">
        <f t="array" ref="Q340">+INDEX('Réel 2023'!$A$2:$AO$501,MATCH($A340,'Réel 2023'!$A$2:$A$501,0),MATCH(Q$2,'Réel 2023'!$A$2:$AO$2,0))</f>
        <v>840.54</v>
      </c>
      <c r="R340" s="253"/>
      <c r="S340" s="276">
        <f t="shared" si="70"/>
        <v>50.030000000000086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91.86</v>
      </c>
      <c r="M341" s="253"/>
      <c r="N341" s="276">
        <f t="shared" si="69"/>
        <v>-39.498216447569447</v>
      </c>
      <c r="O341" s="253"/>
      <c r="P341" s="41"/>
      <c r="Q341" s="256">
        <f t="array" ref="Q341">+INDEX('Réel 2023'!$A$2:$AO$501,MATCH($A341,'Réel 2023'!$A$2:$A$501,0),MATCH(Q$2,'Réel 2023'!$A$2:$AO$2,0))</f>
        <v>74.95</v>
      </c>
      <c r="R341" s="253"/>
      <c r="S341" s="276">
        <f t="shared" si="70"/>
        <v>16.909999999999997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-363.89</v>
      </c>
      <c r="M342" s="253"/>
      <c r="N342" s="276">
        <f t="shared" si="69"/>
        <v>-524.18647805243052</v>
      </c>
      <c r="O342" s="253"/>
      <c r="P342" s="41"/>
      <c r="Q342" s="256">
        <f t="array" ref="Q342">+INDEX('Réel 2023'!$A$2:$AO$501,MATCH($A342,'Réel 2023'!$A$2:$A$501,0),MATCH(Q$2,'Réel 2023'!$A$2:$AO$2,0))</f>
        <v>-317.70999999999998</v>
      </c>
      <c r="R342" s="253"/>
      <c r="S342" s="276">
        <f t="shared" si="70"/>
        <v>-46.180000000000007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74.7</v>
      </c>
      <c r="M343" s="253"/>
      <c r="N343" s="276">
        <f t="shared" si="69"/>
        <v>-144.06449018368056</v>
      </c>
      <c r="O343" s="253"/>
      <c r="P343" s="41"/>
      <c r="Q343" s="256">
        <f t="array" ref="Q343">+INDEX('Réel 2023'!$A$2:$AO$501,MATCH($A343,'Réel 2023'!$A$2:$A$501,0),MATCH(Q$2,'Réel 2023'!$A$2:$AO$2,0))</f>
        <v>73.64</v>
      </c>
      <c r="R343" s="253"/>
      <c r="S343" s="276">
        <f t="shared" si="70"/>
        <v>1.0600000000000023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79.75</v>
      </c>
      <c r="M344" s="253"/>
      <c r="N344" s="276">
        <f t="shared" si="69"/>
        <v>-742.50903298327421</v>
      </c>
      <c r="O344" s="253"/>
      <c r="P344" s="41"/>
      <c r="Q344" s="256">
        <f t="array" ref="Q344">+INDEX('Réel 2023'!$A$2:$AO$501,MATCH($A344,'Réel 2023'!$A$2:$A$501,0),MATCH(Q$2,'Réel 2023'!$A$2:$AO$2,0))</f>
        <v>67.7</v>
      </c>
      <c r="R344" s="253"/>
      <c r="S344" s="276">
        <f t="shared" si="70"/>
        <v>12.049999999999997</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1844.38</v>
      </c>
      <c r="M345" s="253"/>
      <c r="N345" s="276">
        <f t="shared" si="69"/>
        <v>364.71915102035473</v>
      </c>
      <c r="O345" s="253"/>
      <c r="P345" s="41"/>
      <c r="Q345" s="256">
        <f t="array" ref="Q345">+INDEX('Réel 2023'!$A$2:$AO$501,MATCH($A345,'Réel 2023'!$A$2:$A$501,0),MATCH(Q$2,'Réel 2023'!$A$2:$AO$2,0))</f>
        <v>1425.01</v>
      </c>
      <c r="R345" s="253"/>
      <c r="S345" s="276">
        <f t="shared" si="70"/>
        <v>419.37000000000012</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0.26269028258819405</v>
      </c>
      <c r="F349" s="307">
        <f>+SUM(F331:F348)</f>
        <v>27569.677157790564</v>
      </c>
      <c r="G349" s="308"/>
      <c r="H349" s="306"/>
      <c r="I349" s="307"/>
      <c r="J349" s="308" t="s">
        <v>119</v>
      </c>
      <c r="K349" s="306">
        <f>L349/L$314</f>
        <v>0.25979579498110261</v>
      </c>
      <c r="L349" s="307">
        <f>+SUM(L331:L348)</f>
        <v>26353.74</v>
      </c>
      <c r="M349" s="311"/>
      <c r="N349" s="307">
        <f>+SUM(N331:N348)</f>
        <v>-1215.9371577905672</v>
      </c>
      <c r="O349" s="308" t="s">
        <v>119</v>
      </c>
      <c r="P349" s="306">
        <f>Q349/Q$314</f>
        <v>0.23384797465037421</v>
      </c>
      <c r="Q349" s="307">
        <f>+SUM(Q331:Q348)</f>
        <v>27128.61</v>
      </c>
      <c r="R349" s="311"/>
      <c r="S349" s="307">
        <f>+SUM(S331:S348)</f>
        <v>-774.8700000000008</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0.70099834352935342</v>
      </c>
      <c r="F351" s="307">
        <f>F330+F349</f>
        <v>73570.662107616197</v>
      </c>
      <c r="G351" s="308"/>
      <c r="H351" s="306"/>
      <c r="I351" s="307"/>
      <c r="J351" s="308" t="s">
        <v>119</v>
      </c>
      <c r="K351" s="306">
        <f>L351/L$314</f>
        <v>0.72334215396438928</v>
      </c>
      <c r="L351" s="307">
        <f>L330+L349</f>
        <v>73375.98</v>
      </c>
      <c r="M351" s="311"/>
      <c r="N351" s="320">
        <f>L351-F351</f>
        <v>-194.68210761620139</v>
      </c>
      <c r="O351" s="308" t="s">
        <v>119</v>
      </c>
      <c r="P351" s="306">
        <f>Q351/Q$314</f>
        <v>0.70733482401456571</v>
      </c>
      <c r="Q351" s="307">
        <f>Q330+Q349</f>
        <v>82057.63</v>
      </c>
      <c r="R351" s="311"/>
      <c r="S351" s="320">
        <f>L351-Q351</f>
        <v>-8681.6500000000087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31380.601738751968</v>
      </c>
      <c r="G353" s="361"/>
      <c r="H353" s="333"/>
      <c r="I353" s="335"/>
      <c r="J353" s="332"/>
      <c r="K353" s="334"/>
      <c r="L353" s="335">
        <f>L314-L351</f>
        <v>28064.230000000025</v>
      </c>
      <c r="M353" s="332"/>
      <c r="N353" s="335">
        <f>L353-F353</f>
        <v>-3316.3717387519428</v>
      </c>
      <c r="O353" s="332"/>
      <c r="P353" s="1148">
        <f>+Q353/O314</f>
        <v>7.7608433835185273E-2</v>
      </c>
      <c r="Q353" s="335">
        <f>Q314-Q351</f>
        <v>33951.969999999768</v>
      </c>
      <c r="R353" s="332"/>
      <c r="S353" s="335">
        <f>L353-Q353</f>
        <v>-5887.7399999997433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Décembre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5" t="s">
        <v>343</v>
      </c>
      <c r="E358" s="1226"/>
      <c r="F358" s="1227"/>
      <c r="G358" s="1230"/>
      <c r="H358" s="1226"/>
      <c r="I358" s="1227"/>
      <c r="J358" s="1230" t="s">
        <v>344</v>
      </c>
      <c r="K358" s="1226"/>
      <c r="L358" s="1227"/>
      <c r="M358" s="1230"/>
      <c r="N358" s="1227"/>
      <c r="O358" s="1225" t="s">
        <v>345</v>
      </c>
      <c r="P358" s="1226"/>
      <c r="Q358" s="1227"/>
      <c r="R358" s="1230"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23500.05110056822</v>
      </c>
      <c r="G400" s="297"/>
      <c r="H400" s="41"/>
      <c r="I400" s="319"/>
      <c r="J400" s="1040"/>
      <c r="K400" s="11"/>
      <c r="L400" s="319">
        <f>L353+L233</f>
        <v>37630.700000000084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Décembre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4" t="s">
        <v>600</v>
      </c>
      <c r="Y404" s="1232"/>
      <c r="Z404" s="1235"/>
      <c r="AA404" s="1231"/>
      <c r="AB404" s="1232"/>
      <c r="AC404" s="1235"/>
      <c r="AD404" s="1231" t="s">
        <v>344</v>
      </c>
      <c r="AE404" s="1232"/>
      <c r="AF404" s="1235"/>
      <c r="AG404" s="1231" t="s">
        <v>3310</v>
      </c>
      <c r="AH404" s="1232"/>
      <c r="AI404" s="1235"/>
      <c r="AJ404" s="1231" t="s">
        <v>601</v>
      </c>
      <c r="AK404" s="1232"/>
      <c r="AL404" s="1232"/>
      <c r="AM404" s="1231" t="s">
        <v>602</v>
      </c>
      <c r="AN404" s="1232"/>
      <c r="AO404" s="123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3630443.4705679556</v>
      </c>
      <c r="AA406" s="440"/>
      <c r="AB406" s="440"/>
      <c r="AC406" s="441"/>
      <c r="AD406" s="442"/>
      <c r="AE406" s="443"/>
      <c r="AF406" s="443">
        <f>L5+L93+K194+K250+J314+J362</f>
        <v>3688847.9799999995</v>
      </c>
      <c r="AG406" s="442"/>
      <c r="AH406" s="443"/>
      <c r="AI406" s="444"/>
      <c r="AJ406" s="442"/>
      <c r="AK406" s="443"/>
      <c r="AL406" s="443">
        <f>Q5+Q93+P194+P250+O314+O362</f>
        <v>9614340.6600000001</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4">
        <f>Z407/Z406</f>
        <v>0.14590655789732473</v>
      </c>
      <c r="Y407" s="448"/>
      <c r="Z407" s="449">
        <f>F27+F108+F194+F250+F314+F362</f>
        <v>529705.51043138793</v>
      </c>
      <c r="AA407" s="448"/>
      <c r="AB407" s="448"/>
      <c r="AC407" s="449"/>
      <c r="AD407" s="1194">
        <f>AF407/AF406</f>
        <v>0.12405635105624496</v>
      </c>
      <c r="AE407" s="451"/>
      <c r="AF407" s="449">
        <f>L27+L108+L194+L250+L314+L362</f>
        <v>457625.02</v>
      </c>
      <c r="AG407" s="450"/>
      <c r="AH407" s="451">
        <f>AF407-Z407</f>
        <v>-72080.490431387909</v>
      </c>
      <c r="AI407" s="452">
        <f>AH407/Z407</f>
        <v>-0.13607653500279077</v>
      </c>
      <c r="AJ407" s="450">
        <f>+AL407/AL406</f>
        <v>5.4127057528248562E-2</v>
      </c>
      <c r="AK407" s="451"/>
      <c r="AL407" s="451">
        <f>Q27+Q108+Q194+Q250+Q314+Q362</f>
        <v>520395.96999999927</v>
      </c>
      <c r="AM407" s="453"/>
      <c r="AN407" s="451">
        <f>AF407-AL407</f>
        <v>-62770.949999999255</v>
      </c>
      <c r="AO407" s="454">
        <f>IF(AL407=0,0,AN407/AL407)</f>
        <v>-0.12062151442102702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810.37530837980125</v>
      </c>
      <c r="Z409" s="457">
        <f t="shared" ref="Z409:Z415" si="75">+SUMIF($C:$C,$V409,F:F)</f>
        <v>46475.023935581601</v>
      </c>
      <c r="AA409" s="456"/>
      <c r="AB409" s="464"/>
      <c r="AC409" s="457"/>
      <c r="AD409" s="465"/>
      <c r="AE409" s="464">
        <f t="shared" ref="AE409:AE414" si="76">IF(AF409=0,0,AF409/(J$13+J$97))</f>
        <v>772.54458333333332</v>
      </c>
      <c r="AF409" s="457">
        <f t="shared" ref="AF409:AF415" si="77">+SUMIF($C:$C,$V409,L:L)</f>
        <v>37082.14</v>
      </c>
      <c r="AG409" s="458">
        <f t="shared" ref="AG409:AG418" si="78">AE409-Y409</f>
        <v>-37.830725046467933</v>
      </c>
      <c r="AH409" s="459">
        <f t="shared" ref="AH409:AH418" si="79">AF409-Z409</f>
        <v>-9392.8839355816017</v>
      </c>
      <c r="AI409" s="460">
        <f t="shared" ref="AI409:AI418" si="80">IF(Z409=0,0,AH409/Z409)</f>
        <v>-0.2021060591297586</v>
      </c>
      <c r="AJ409" s="1149">
        <f t="shared" ref="AJ409:AJ415" si="81">AL409/AL$407</f>
        <v>8.6728976782814188E-2</v>
      </c>
      <c r="AK409" s="459">
        <f t="shared" ref="AK409:AK418" si="82">AL409/(O$13+O$97)</f>
        <v>654.10739130434786</v>
      </c>
      <c r="AL409" s="457">
        <f t="shared" ref="AL409:AL414" si="83">+SUMIF($C:$C,$V409,Q:Q)</f>
        <v>45133.41</v>
      </c>
      <c r="AM409" s="461">
        <f t="shared" ref="AM409:AM418" si="84">AE409-Y409</f>
        <v>-37.830725046467933</v>
      </c>
      <c r="AN409" s="459">
        <f t="shared" ref="AN409:AN431" si="85">AF409-AL409</f>
        <v>-8051.2700000000041</v>
      </c>
      <c r="AO409" s="466">
        <f t="shared" ref="AO409:AO431" si="86">IF(AL409=0,0,AN409/AL409)</f>
        <v>-0.17838824941434744</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530.71490845684389</v>
      </c>
      <c r="Z410" s="441">
        <f t="shared" si="75"/>
        <v>30436.5</v>
      </c>
      <c r="AA410" s="440"/>
      <c r="AB410" s="468"/>
      <c r="AC410" s="441"/>
      <c r="AD410" s="469"/>
      <c r="AE410" s="468">
        <f t="shared" si="76"/>
        <v>488.11083333333335</v>
      </c>
      <c r="AF410" s="441">
        <f t="shared" si="77"/>
        <v>23429.32</v>
      </c>
      <c r="AG410" s="442">
        <f t="shared" si="78"/>
        <v>-42.60407512351054</v>
      </c>
      <c r="AH410" s="443">
        <f t="shared" si="79"/>
        <v>-7007.18</v>
      </c>
      <c r="AI410" s="470">
        <f t="shared" si="80"/>
        <v>-0.23022292313505169</v>
      </c>
      <c r="AJ410" s="1150">
        <f t="shared" si="81"/>
        <v>4.7989514599815278E-2</v>
      </c>
      <c r="AK410" s="443">
        <f t="shared" si="82"/>
        <v>361.9355072463768</v>
      </c>
      <c r="AL410" s="441">
        <f t="shared" si="83"/>
        <v>24973.55</v>
      </c>
      <c r="AM410" s="445">
        <f t="shared" si="84"/>
        <v>-42.60407512351054</v>
      </c>
      <c r="AN410" s="443">
        <f t="shared" si="85"/>
        <v>-1544.2299999999996</v>
      </c>
      <c r="AO410" s="446">
        <f t="shared" si="86"/>
        <v>-6.1834621029048721E-2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71.66957279860506</v>
      </c>
      <c r="Z411" s="457">
        <f t="shared" si="75"/>
        <v>4110.25</v>
      </c>
      <c r="AA411" s="456"/>
      <c r="AB411" s="464"/>
      <c r="AC411" s="457"/>
      <c r="AD411" s="465"/>
      <c r="AE411" s="464">
        <f t="shared" si="76"/>
        <v>84.63729166666667</v>
      </c>
      <c r="AF411" s="457">
        <f t="shared" si="77"/>
        <v>4062.59</v>
      </c>
      <c r="AG411" s="458">
        <f t="shared" si="78"/>
        <v>12.96771886806161</v>
      </c>
      <c r="AH411" s="459">
        <f t="shared" si="79"/>
        <v>-47.659999999999854</v>
      </c>
      <c r="AI411" s="460">
        <f t="shared" si="80"/>
        <v>-1.1595401739553519E-2</v>
      </c>
      <c r="AJ411" s="1149">
        <f t="shared" si="81"/>
        <v>1.5221255460529434E-2</v>
      </c>
      <c r="AK411" s="459">
        <f t="shared" si="82"/>
        <v>114.79826086956521</v>
      </c>
      <c r="AL411" s="457">
        <f t="shared" si="83"/>
        <v>7921.08</v>
      </c>
      <c r="AM411" s="461">
        <f t="shared" si="84"/>
        <v>12.96771886806161</v>
      </c>
      <c r="AN411" s="459">
        <f t="shared" si="85"/>
        <v>-3858.49</v>
      </c>
      <c r="AO411" s="466">
        <f t="shared" si="86"/>
        <v>-0.48711665580956132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4.9659982563208374</v>
      </c>
      <c r="Z412" s="457">
        <f t="shared" si="75"/>
        <v>284.8</v>
      </c>
      <c r="AA412" s="456"/>
      <c r="AB412" s="464"/>
      <c r="AC412" s="457"/>
      <c r="AD412" s="465"/>
      <c r="AE412" s="464">
        <f t="shared" si="76"/>
        <v>-16.292916666666667</v>
      </c>
      <c r="AF412" s="457">
        <f t="shared" si="77"/>
        <v>-782.06</v>
      </c>
      <c r="AG412" s="458">
        <f t="shared" si="78"/>
        <v>-21.258914922987504</v>
      </c>
      <c r="AH412" s="459">
        <f t="shared" si="79"/>
        <v>-1066.8599999999999</v>
      </c>
      <c r="AI412" s="460">
        <f t="shared" si="80"/>
        <v>-3.7459971910112353</v>
      </c>
      <c r="AJ412" s="1149">
        <f t="shared" si="81"/>
        <v>4.9236161456054387E-3</v>
      </c>
      <c r="AK412" s="459">
        <f t="shared" si="82"/>
        <v>37.133768115942033</v>
      </c>
      <c r="AL412" s="457">
        <f t="shared" si="83"/>
        <v>2562.23</v>
      </c>
      <c r="AM412" s="461">
        <f t="shared" si="84"/>
        <v>-21.258914922987504</v>
      </c>
      <c r="AN412" s="459">
        <f t="shared" si="85"/>
        <v>-3344.29</v>
      </c>
      <c r="AO412" s="466">
        <f t="shared" si="86"/>
        <v>-1.3052263067718355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124.03875326939841</v>
      </c>
      <c r="Z413" s="441">
        <f t="shared" si="75"/>
        <v>7113.6224999999995</v>
      </c>
      <c r="AA413" s="440"/>
      <c r="AB413" s="468"/>
      <c r="AC413" s="441"/>
      <c r="AD413" s="469"/>
      <c r="AE413" s="468">
        <f t="shared" si="76"/>
        <v>149.33000000000001</v>
      </c>
      <c r="AF413" s="441">
        <f t="shared" si="77"/>
        <v>7167.84</v>
      </c>
      <c r="AG413" s="442">
        <f t="shared" si="78"/>
        <v>25.2912467306016</v>
      </c>
      <c r="AH413" s="443">
        <f t="shared" si="79"/>
        <v>54.217500000000655</v>
      </c>
      <c r="AI413" s="470">
        <f t="shared" si="80"/>
        <v>7.6216442466550145E-3</v>
      </c>
      <c r="AJ413" s="1150">
        <f t="shared" si="81"/>
        <v>1.4191635650060878E-2</v>
      </c>
      <c r="AK413" s="443">
        <f t="shared" si="82"/>
        <v>107.03289855072464</v>
      </c>
      <c r="AL413" s="441">
        <f t="shared" si="83"/>
        <v>7385.27</v>
      </c>
      <c r="AM413" s="445">
        <f t="shared" si="84"/>
        <v>25.2912467306016</v>
      </c>
      <c r="AN413" s="443">
        <f t="shared" si="85"/>
        <v>-217.43000000000029</v>
      </c>
      <c r="AO413" s="446">
        <f t="shared" si="86"/>
        <v>-2.9441036008162232E-2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329.69485614646902</v>
      </c>
      <c r="Z414" s="457">
        <f t="shared" si="75"/>
        <v>18908</v>
      </c>
      <c r="AA414" s="460"/>
      <c r="AB414" s="464"/>
      <c r="AC414" s="457"/>
      <c r="AD414" s="465"/>
      <c r="AE414" s="464">
        <f t="shared" si="76"/>
        <v>516.10833333333323</v>
      </c>
      <c r="AF414" s="457">
        <f t="shared" si="77"/>
        <v>24773.199999999997</v>
      </c>
      <c r="AG414" s="458">
        <f t="shared" si="78"/>
        <v>186.41347718686421</v>
      </c>
      <c r="AH414" s="459">
        <f t="shared" si="79"/>
        <v>5865.1999999999971</v>
      </c>
      <c r="AI414" s="460">
        <f t="shared" si="80"/>
        <v>0.31019674211973752</v>
      </c>
      <c r="AJ414" s="1149">
        <f t="shared" si="81"/>
        <v>5.1314713294186402E-2</v>
      </c>
      <c r="AK414" s="459">
        <f t="shared" si="82"/>
        <v>387.01405797101432</v>
      </c>
      <c r="AL414" s="457">
        <f t="shared" si="83"/>
        <v>26703.96999999999</v>
      </c>
      <c r="AM414" s="461">
        <f t="shared" si="84"/>
        <v>186.41347718686421</v>
      </c>
      <c r="AN414" s="459">
        <f t="shared" si="85"/>
        <v>-1930.7699999999932</v>
      </c>
      <c r="AO414" s="466">
        <f t="shared" si="86"/>
        <v>-7.2302732515052773E-2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319.42042330895822</v>
      </c>
      <c r="Z415" s="457">
        <f t="shared" si="75"/>
        <v>18318.761276768753</v>
      </c>
      <c r="AA415" s="456"/>
      <c r="AB415" s="464"/>
      <c r="AC415" s="457"/>
      <c r="AD415" s="465"/>
      <c r="AE415" s="464">
        <f t="shared" ref="AE415:AE418" si="87">IF(AF415=0,0,AF415/(J$13+J$13))</f>
        <v>-18.571500000000007</v>
      </c>
      <c r="AF415" s="958">
        <f t="shared" si="77"/>
        <v>-1114.2900000000004</v>
      </c>
      <c r="AG415" s="1016">
        <f t="shared" si="78"/>
        <v>-337.99192330895823</v>
      </c>
      <c r="AH415" s="962">
        <f t="shared" si="79"/>
        <v>-19433.051276768754</v>
      </c>
      <c r="AI415" s="460">
        <f t="shared" si="80"/>
        <v>-1.0608278028827804</v>
      </c>
      <c r="AJ415" s="1149">
        <f t="shared" si="81"/>
        <v>3.3801145692961505E-2</v>
      </c>
      <c r="AK415" s="459">
        <f t="shared" si="82"/>
        <v>254.92724637681158</v>
      </c>
      <c r="AL415" s="457">
        <f>IFERROR(SUMIF($C:$C,$V415,Q:Q),0)</f>
        <v>17589.98</v>
      </c>
      <c r="AM415" s="461">
        <f t="shared" si="84"/>
        <v>-337.99192330895823</v>
      </c>
      <c r="AN415" s="459">
        <f t="shared" si="85"/>
        <v>-18704.27</v>
      </c>
      <c r="AO415" s="466">
        <f t="shared" si="86"/>
        <v>-1.0633479969846469</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0.23720153035603589</v>
      </c>
      <c r="Y419" s="472"/>
      <c r="Z419" s="474">
        <f>SUM(Z409:Z418)</f>
        <v>125646.95771235035</v>
      </c>
      <c r="AA419" s="473"/>
      <c r="AB419" s="472"/>
      <c r="AC419" s="474"/>
      <c r="AD419" s="475">
        <f>AF419/AF407</f>
        <v>0.20676041707684603</v>
      </c>
      <c r="AE419" s="472"/>
      <c r="AF419" s="474">
        <f>SUM(AF409:AF418)</f>
        <v>94618.74</v>
      </c>
      <c r="AG419" s="476"/>
      <c r="AH419" s="477">
        <f t="shared" ref="AH419:AH451" si="88">AF419-Z419</f>
        <v>-31028.21771235035</v>
      </c>
      <c r="AI419" s="473">
        <f>AH419/Z419</f>
        <v>-0.24694762433790673</v>
      </c>
      <c r="AJ419" s="475">
        <f>IF($AL$407=0,0,AL419/$AL$407)</f>
        <v>0.25417085762597313</v>
      </c>
      <c r="AK419" s="472"/>
      <c r="AL419" s="474">
        <f>SUM(AL409:AL418)</f>
        <v>132269.49</v>
      </c>
      <c r="AM419" s="478"/>
      <c r="AN419" s="477">
        <f t="shared" si="85"/>
        <v>-37650.749999999985</v>
      </c>
      <c r="AO419" s="454">
        <f t="shared" si="86"/>
        <v>-0.2846518119938316</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13542.199999999997</v>
      </c>
      <c r="AA420" s="456"/>
      <c r="AB420" s="456"/>
      <c r="AC420" s="457"/>
      <c r="AD420" s="465"/>
      <c r="AE420" s="464"/>
      <c r="AF420" s="457">
        <f>SUMIFS(BV_Data_An_Cour!$O:$O,BV_Data_An_Cour!$V:$V,$V420)</f>
        <v>11445.98</v>
      </c>
      <c r="AG420" s="458"/>
      <c r="AH420" s="459">
        <f t="shared" si="88"/>
        <v>-2096.2199999999975</v>
      </c>
      <c r="AI420" s="460">
        <f t="shared" ref="AI420:AI432" si="89">IF(Z420=0,0,AH420/Z420)</f>
        <v>-0.1547916882042798</v>
      </c>
      <c r="AJ420" s="465"/>
      <c r="AK420" s="456"/>
      <c r="AL420" s="457">
        <f>+INDEX('Réel 2023'!$A$2:$AO$501,MATCH($A420,'Réel 2023'!$A$2:$A$501,0),MATCH(F$2,'Réel 2023'!$A$2:$AO$2,0))</f>
        <v>9442.2999999999993</v>
      </c>
      <c r="AM420" s="461"/>
      <c r="AN420" s="459">
        <f t="shared" si="85"/>
        <v>2003.6800000000003</v>
      </c>
      <c r="AO420" s="466">
        <f t="shared" si="86"/>
        <v>0.21220253539921421</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53378.839743589742</v>
      </c>
      <c r="AA421" s="456"/>
      <c r="AB421" s="456"/>
      <c r="AC421" s="457"/>
      <c r="AD421" s="465"/>
      <c r="AE421" s="464"/>
      <c r="AF421" s="457">
        <f>+SUMIF($C:$C,$V421,L:L)</f>
        <v>55922.130000000005</v>
      </c>
      <c r="AG421" s="458"/>
      <c r="AH421" s="459">
        <f t="shared" si="88"/>
        <v>2543.2902564102624</v>
      </c>
      <c r="AI421" s="460">
        <f t="shared" si="89"/>
        <v>4.7646038554363404E-2</v>
      </c>
      <c r="AJ421" s="465"/>
      <c r="AK421" s="456"/>
      <c r="AL421" s="457">
        <f t="shared" ref="AL421:AL429" si="91">+SUMIF($C:$C,$V421,Q:Q)</f>
        <v>52589.61</v>
      </c>
      <c r="AM421" s="461"/>
      <c r="AN421" s="459">
        <f t="shared" si="85"/>
        <v>3332.5200000000041</v>
      </c>
      <c r="AO421" s="466">
        <f t="shared" si="86"/>
        <v>6.3368410604300054E-2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55333.304615384615</v>
      </c>
      <c r="AA422" s="440"/>
      <c r="AB422" s="440"/>
      <c r="AC422" s="441"/>
      <c r="AD422" s="469"/>
      <c r="AE422" s="468"/>
      <c r="AF422" s="441">
        <f>+SUMIF($C:$C,$V422,L:L)</f>
        <v>45552.9</v>
      </c>
      <c r="AG422" s="442"/>
      <c r="AH422" s="443">
        <f t="shared" si="88"/>
        <v>-9780.4046153846139</v>
      </c>
      <c r="AI422" s="470">
        <f t="shared" si="89"/>
        <v>-0.17675439201340085</v>
      </c>
      <c r="AJ422" s="469"/>
      <c r="AK422" s="440"/>
      <c r="AL422" s="441">
        <f t="shared" si="91"/>
        <v>52534.080000000002</v>
      </c>
      <c r="AM422" s="445"/>
      <c r="AN422" s="443">
        <f t="shared" si="85"/>
        <v>-6981.18</v>
      </c>
      <c r="AO422" s="446">
        <f t="shared" si="86"/>
        <v>-0.13288859346161577</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25902.400000000001</v>
      </c>
      <c r="AA423" s="456"/>
      <c r="AB423" s="456"/>
      <c r="AC423" s="457"/>
      <c r="AD423" s="465"/>
      <c r="AE423" s="464"/>
      <c r="AF423" s="457">
        <f>+SUMIF($C:$C,$V423,L:L)</f>
        <v>20940.400000000001</v>
      </c>
      <c r="AG423" s="458"/>
      <c r="AH423" s="459">
        <f t="shared" si="88"/>
        <v>-4962</v>
      </c>
      <c r="AI423" s="460">
        <f t="shared" si="89"/>
        <v>-0.19156526036197416</v>
      </c>
      <c r="AJ423" s="465"/>
      <c r="AK423" s="456"/>
      <c r="AL423" s="457">
        <f t="shared" si="91"/>
        <v>35898.379999999997</v>
      </c>
      <c r="AM423" s="461"/>
      <c r="AN423" s="459">
        <f t="shared" si="85"/>
        <v>-14957.979999999996</v>
      </c>
      <c r="AO423" s="466">
        <f t="shared" si="86"/>
        <v>-0.41667562714529172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25715.085923266739</v>
      </c>
      <c r="AA424" s="456"/>
      <c r="AB424" s="456"/>
      <c r="AC424" s="457"/>
      <c r="AD424" s="465"/>
      <c r="AE424" s="464"/>
      <c r="AF424" s="457">
        <f>+SUMIF($C:$C,$V424,L:L)</f>
        <v>20622.5</v>
      </c>
      <c r="AG424" s="458"/>
      <c r="AH424" s="459">
        <f t="shared" si="88"/>
        <v>-5092.585923266739</v>
      </c>
      <c r="AI424" s="460">
        <f t="shared" si="89"/>
        <v>-0.19803884530904953</v>
      </c>
      <c r="AJ424" s="465"/>
      <c r="AK424" s="456"/>
      <c r="AL424" s="457">
        <f t="shared" si="91"/>
        <v>41625.18</v>
      </c>
      <c r="AM424" s="461"/>
      <c r="AN424" s="459">
        <f t="shared" si="85"/>
        <v>-21002.68</v>
      </c>
      <c r="AO424" s="466">
        <f t="shared" si="86"/>
        <v>-0.50456670697880468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1">
        <f>Z428/(SUM(Z420:Z424)+E194-F194+Z409+Z410)</f>
        <v>0.10943630574862237</v>
      </c>
      <c r="Z428" s="441">
        <f t="shared" si="90"/>
        <v>34457.177562400393</v>
      </c>
      <c r="AA428" s="440"/>
      <c r="AB428" s="440"/>
      <c r="AC428" s="441"/>
      <c r="AD428" s="469"/>
      <c r="AE428" s="468"/>
      <c r="AF428" s="441">
        <f>+SUMIF($C:$C,$V428,L:L)</f>
        <v>34826.559999999998</v>
      </c>
      <c r="AG428" s="442"/>
      <c r="AH428" s="443">
        <f t="shared" si="88"/>
        <v>369.3824375996046</v>
      </c>
      <c r="AI428" s="470">
        <f t="shared" si="89"/>
        <v>1.0720043361957598E-2</v>
      </c>
      <c r="AJ428" s="469"/>
      <c r="AK428" s="440"/>
      <c r="AL428" s="441">
        <f t="shared" si="91"/>
        <v>36009.14</v>
      </c>
      <c r="AM428" s="445"/>
      <c r="AN428" s="443">
        <f t="shared" si="85"/>
        <v>-1182.5800000000017</v>
      </c>
      <c r="AO428" s="446">
        <f t="shared" si="86"/>
        <v>-3.2841106452417411E-2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2">
        <f>Z429/(SUM(Z420:Z424)+E194-F194+Z409+Z410)</f>
        <v>0.13305912064590208</v>
      </c>
      <c r="Z429" s="457">
        <f t="shared" si="90"/>
        <v>41895.070516398715</v>
      </c>
      <c r="AA429" s="456"/>
      <c r="AB429" s="456"/>
      <c r="AC429" s="457"/>
      <c r="AD429" s="465"/>
      <c r="AE429" s="464"/>
      <c r="AF429" s="457">
        <f>+SUMIF($C:$C,$V429,L:L)</f>
        <v>40613.869999999995</v>
      </c>
      <c r="AG429" s="458"/>
      <c r="AH429" s="459">
        <f t="shared" si="88"/>
        <v>-1281.2005163987196</v>
      </c>
      <c r="AI429" s="460">
        <f t="shared" si="89"/>
        <v>-3.0581175794828358E-2</v>
      </c>
      <c r="AJ429" s="465"/>
      <c r="AK429" s="456"/>
      <c r="AL429" s="457">
        <f t="shared" si="91"/>
        <v>52351.77</v>
      </c>
      <c r="AM429" s="461"/>
      <c r="AN429" s="459">
        <f t="shared" si="85"/>
        <v>-11737.900000000001</v>
      </c>
      <c r="AO429" s="466">
        <f t="shared" si="86"/>
        <v>-0.22421209445258494</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2">
        <f>Z430/(SUM(Z420:Z424)+E194-F194+Z410+Z409)</f>
        <v>6.8554373028432161E-2</v>
      </c>
      <c r="Z430" s="457">
        <f t="shared" si="90"/>
        <v>21585.068939970643</v>
      </c>
      <c r="AA430" s="456"/>
      <c r="AB430" s="456"/>
      <c r="AC430" s="457"/>
      <c r="AD430" s="465"/>
      <c r="AE430" s="464"/>
      <c r="AF430" s="457">
        <f>+SUMIF($C:$C,$V430,L:L)</f>
        <v>15694.609999999999</v>
      </c>
      <c r="AG430" s="458"/>
      <c r="AH430" s="459">
        <f t="shared" si="88"/>
        <v>-5890.4589399706438</v>
      </c>
      <c r="AI430" s="460">
        <f t="shared" si="89"/>
        <v>-0.27289507188290013</v>
      </c>
      <c r="AJ430" s="465"/>
      <c r="AK430" s="456"/>
      <c r="AL430" s="457">
        <f>IFERROR(SUMIF($C:$C,$V430,Q:Q),0)</f>
        <v>21307.889999999996</v>
      </c>
      <c r="AM430" s="461"/>
      <c r="AN430" s="459">
        <f t="shared" si="85"/>
        <v>-5613.279999999997</v>
      </c>
      <c r="AO430" s="466">
        <f t="shared" si="86"/>
        <v>-0.26343668941410897</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9411.2114928142037</v>
      </c>
      <c r="AA431" s="456"/>
      <c r="AB431" s="456"/>
      <c r="AC431" s="457"/>
      <c r="AD431" s="465"/>
      <c r="AE431" s="464"/>
      <c r="AF431" s="457">
        <f>+SUMIF($C:$C,$V431,L:L)</f>
        <v>11032.3</v>
      </c>
      <c r="AG431" s="458"/>
      <c r="AH431" s="459">
        <f t="shared" si="88"/>
        <v>1621.0885071857956</v>
      </c>
      <c r="AI431" s="479">
        <f t="shared" si="89"/>
        <v>0.17225077859779844</v>
      </c>
      <c r="AJ431" s="465"/>
      <c r="AK431" s="456"/>
      <c r="AL431" s="457">
        <f>IFERROR(SUMIF($C:$C,$V431,Q:Q),0)</f>
        <v>9455.4700000000012</v>
      </c>
      <c r="AM431" s="461"/>
      <c r="AN431" s="459">
        <f t="shared" si="85"/>
        <v>1576.8299999999981</v>
      </c>
      <c r="AO431" s="466">
        <f t="shared" si="86"/>
        <v>0.16676378857952043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0.53089943988840393</v>
      </c>
      <c r="Y433" s="472"/>
      <c r="Z433" s="474">
        <f>SUM(Z420:Z432)</f>
        <v>281220.35879382497</v>
      </c>
      <c r="AA433" s="473"/>
      <c r="AB433" s="472"/>
      <c r="AC433" s="474"/>
      <c r="AD433" s="475">
        <f>AF433/AF407</f>
        <v>0.56083308119822639</v>
      </c>
      <c r="AE433" s="480"/>
      <c r="AF433" s="474">
        <f>SUM(AF420:AF432)</f>
        <v>256651.24999999997</v>
      </c>
      <c r="AG433" s="476"/>
      <c r="AH433" s="477">
        <f t="shared" si="88"/>
        <v>-24569.108793824998</v>
      </c>
      <c r="AI433" s="473">
        <f>AH433/Z433</f>
        <v>-8.7366038857228309E-2</v>
      </c>
      <c r="AJ433" s="475">
        <f>IF($AL$407=0,0,AL433/$AL$407)</f>
        <v>0.59803272496518467</v>
      </c>
      <c r="AK433" s="472"/>
      <c r="AL433" s="474">
        <f>SUM(AL420:AL432)</f>
        <v>311213.82000000007</v>
      </c>
      <c r="AM433" s="482"/>
      <c r="AN433" s="477">
        <f t="shared" ref="AN433:AN451" si="92">AF433-AL433</f>
        <v>-54562.570000000094</v>
      </c>
      <c r="AO433" s="454">
        <f t="shared" ref="AO433:AO461" si="93">IF(AL433=0,0,AN433/AL433)</f>
        <v>-0.1753218092949731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15857.63</v>
      </c>
      <c r="AG434" s="486"/>
      <c r="AH434" s="488">
        <f t="shared" si="88"/>
        <v>1019.0695440972249</v>
      </c>
      <c r="AI434" s="489">
        <f t="shared" ref="AI434:AI451" si="96">IF(Z434=0,0,AH434/Z434)</f>
        <v>6.8677116430916271E-2</v>
      </c>
      <c r="AJ434" s="486"/>
      <c r="AK434" s="484"/>
      <c r="AL434" s="485">
        <f t="shared" ref="AL434:AL448" si="97">+SUMIF($C:$C,$V434,Q:Q)</f>
        <v>15661.68</v>
      </c>
      <c r="AM434" s="490"/>
      <c r="AN434" s="488">
        <f t="shared" si="92"/>
        <v>195.94999999999891</v>
      </c>
      <c r="AO434" s="462">
        <f t="shared" si="93"/>
        <v>1.2511429169795252E-2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16251.4</v>
      </c>
      <c r="AG435" s="458"/>
      <c r="AH435" s="459">
        <f t="shared" si="88"/>
        <v>10312.334374100854</v>
      </c>
      <c r="AI435" s="460">
        <f t="shared" si="96"/>
        <v>1.7363563603558629</v>
      </c>
      <c r="AJ435" s="465"/>
      <c r="AK435" s="456"/>
      <c r="AL435" s="457">
        <f t="shared" si="97"/>
        <v>1177.6199999999997</v>
      </c>
      <c r="AM435" s="461"/>
      <c r="AN435" s="459">
        <f t="shared" si="92"/>
        <v>15073.78</v>
      </c>
      <c r="AO435" s="466">
        <f t="shared" si="93"/>
        <v>12.80020719756798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28719.239999999998</v>
      </c>
      <c r="AG436" s="442"/>
      <c r="AH436" s="443">
        <f t="shared" si="88"/>
        <v>2644.239999999998</v>
      </c>
      <c r="AI436" s="470">
        <f t="shared" si="96"/>
        <v>0.10140901246404595</v>
      </c>
      <c r="AJ436" s="469"/>
      <c r="AK436" s="440"/>
      <c r="AL436" s="441">
        <f t="shared" si="97"/>
        <v>29080.870000000003</v>
      </c>
      <c r="AM436" s="445"/>
      <c r="AN436" s="443">
        <f t="shared" si="92"/>
        <v>-361.63000000000466</v>
      </c>
      <c r="AO436" s="446">
        <f t="shared" si="93"/>
        <v>-1.243532260210938E-2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25130.729999999996</v>
      </c>
      <c r="AG437" s="458"/>
      <c r="AH437" s="1153">
        <f t="shared" si="88"/>
        <v>2860.0414888888881</v>
      </c>
      <c r="AI437" s="460">
        <f t="shared" si="96"/>
        <v>0.1284217812782025</v>
      </c>
      <c r="AJ437" s="465"/>
      <c r="AK437" s="456"/>
      <c r="AL437" s="457">
        <f t="shared" si="97"/>
        <v>22719.52</v>
      </c>
      <c r="AM437" s="461"/>
      <c r="AN437" s="459">
        <f t="shared" si="92"/>
        <v>2411.2099999999955</v>
      </c>
      <c r="AO437" s="466">
        <f t="shared" si="93"/>
        <v>0.10612944287555351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3767.7200000000003</v>
      </c>
      <c r="AG438" s="458"/>
      <c r="AH438" s="459">
        <f t="shared" si="88"/>
        <v>177.95078680555571</v>
      </c>
      <c r="AI438" s="460">
        <f t="shared" si="96"/>
        <v>4.9571651055306094E-2</v>
      </c>
      <c r="AJ438" s="465"/>
      <c r="AK438" s="456"/>
      <c r="AL438" s="457">
        <f t="shared" si="97"/>
        <v>3416.8500000000004</v>
      </c>
      <c r="AM438" s="461"/>
      <c r="AN438" s="459">
        <f t="shared" si="92"/>
        <v>350.86999999999989</v>
      </c>
      <c r="AO438" s="466">
        <f t="shared" si="93"/>
        <v>0.10268814844081532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25436.160651539351</v>
      </c>
      <c r="AA439" s="456"/>
      <c r="AB439" s="456"/>
      <c r="AC439" s="457"/>
      <c r="AD439" s="465"/>
      <c r="AE439" s="464"/>
      <c r="AF439" s="457">
        <f t="shared" si="95"/>
        <v>36822.300000000003</v>
      </c>
      <c r="AG439" s="458"/>
      <c r="AH439" s="459">
        <f t="shared" si="88"/>
        <v>11386.139348460652</v>
      </c>
      <c r="AI439" s="460">
        <f t="shared" si="96"/>
        <v>0.44763592683833692</v>
      </c>
      <c r="AJ439" s="465"/>
      <c r="AK439" s="456"/>
      <c r="AL439" s="457">
        <f t="shared" si="97"/>
        <v>33136.639999999999</v>
      </c>
      <c r="AM439" s="461"/>
      <c r="AN439" s="459">
        <f t="shared" si="92"/>
        <v>3685.6600000000035</v>
      </c>
      <c r="AO439" s="466">
        <f t="shared" si="93"/>
        <v>0.11122612310723126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9834.2400000000016</v>
      </c>
      <c r="AG441" s="458"/>
      <c r="AH441" s="459">
        <f t="shared" si="88"/>
        <v>3750.9066666666686</v>
      </c>
      <c r="AI441" s="460">
        <f t="shared" si="96"/>
        <v>0.61658739726027434</v>
      </c>
      <c r="AJ441" s="465"/>
      <c r="AK441" s="456"/>
      <c r="AL441" s="457">
        <f t="shared" si="97"/>
        <v>4099.88</v>
      </c>
      <c r="AM441" s="461"/>
      <c r="AN441" s="459">
        <f t="shared" si="92"/>
        <v>5734.3600000000015</v>
      </c>
      <c r="AO441" s="466">
        <f t="shared" si="93"/>
        <v>1.3986653267900526</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1044.83</v>
      </c>
      <c r="AG442" s="458"/>
      <c r="AH442" s="459">
        <f t="shared" si="88"/>
        <v>-510.444970940443</v>
      </c>
      <c r="AI442" s="479">
        <f t="shared" si="96"/>
        <v>-0.32820239538207663</v>
      </c>
      <c r="AJ442" s="465"/>
      <c r="AK442" s="456"/>
      <c r="AL442" s="457">
        <f t="shared" si="97"/>
        <v>820.17</v>
      </c>
      <c r="AM442" s="461"/>
      <c r="AN442" s="459">
        <f t="shared" si="92"/>
        <v>224.65999999999997</v>
      </c>
      <c r="AO442" s="466">
        <f t="shared" si="93"/>
        <v>0.27391882170769472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5412.08</v>
      </c>
      <c r="AG443" s="458"/>
      <c r="AH443" s="459">
        <f t="shared" si="88"/>
        <v>2824.6334250999998</v>
      </c>
      <c r="AI443" s="460">
        <f t="shared" si="96"/>
        <v>1.0916683082467766</v>
      </c>
      <c r="AJ443" s="465"/>
      <c r="AK443" s="456"/>
      <c r="AL443" s="457">
        <f t="shared" si="97"/>
        <v>3362.24</v>
      </c>
      <c r="AM443" s="461"/>
      <c r="AN443" s="459">
        <f t="shared" si="92"/>
        <v>2049.84</v>
      </c>
      <c r="AO443" s="466">
        <f t="shared" si="93"/>
        <v>0.60966498524793</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689.18000000000006</v>
      </c>
      <c r="AG444" s="458"/>
      <c r="AH444" s="459">
        <f t="shared" si="88"/>
        <v>-88.935765790277742</v>
      </c>
      <c r="AI444" s="479">
        <f t="shared" si="96"/>
        <v>-0.11429631643557807</v>
      </c>
      <c r="AJ444" s="465"/>
      <c r="AK444" s="456"/>
      <c r="AL444" s="457">
        <f t="shared" si="97"/>
        <v>658.29000000000008</v>
      </c>
      <c r="AM444" s="461"/>
      <c r="AN444" s="459">
        <f t="shared" si="92"/>
        <v>30.889999999999986</v>
      </c>
      <c r="AO444" s="466">
        <f t="shared" si="93"/>
        <v>4.6924607695696396E-2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-286.64</v>
      </c>
      <c r="AG445" s="458"/>
      <c r="AH445" s="459">
        <f t="shared" si="88"/>
        <v>-748.91621220972218</v>
      </c>
      <c r="AI445" s="460">
        <f t="shared" si="96"/>
        <v>-1.6200621888585502</v>
      </c>
      <c r="AJ445" s="465"/>
      <c r="AK445" s="456"/>
      <c r="AL445" s="457">
        <f t="shared" si="97"/>
        <v>243.60999999999996</v>
      </c>
      <c r="AM445" s="461"/>
      <c r="AN445" s="459">
        <f t="shared" si="92"/>
        <v>-530.25</v>
      </c>
      <c r="AO445" s="466">
        <f t="shared" si="93"/>
        <v>-2.176634785107344</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298.85000000000002</v>
      </c>
      <c r="AG446" s="458"/>
      <c r="AH446" s="459">
        <f t="shared" si="88"/>
        <v>-853.62926073472215</v>
      </c>
      <c r="AI446" s="479">
        <f t="shared" si="96"/>
        <v>-0.74068947686791442</v>
      </c>
      <c r="AJ446" s="465"/>
      <c r="AK446" s="456"/>
      <c r="AL446" s="457">
        <f t="shared" si="97"/>
        <v>294.48</v>
      </c>
      <c r="AM446" s="461"/>
      <c r="AN446" s="459">
        <f t="shared" si="92"/>
        <v>4.3700000000000045</v>
      </c>
      <c r="AO446" s="466">
        <f t="shared" si="93"/>
        <v>1.4839717468079341E-2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580.71</v>
      </c>
      <c r="AG447" s="458"/>
      <c r="AH447" s="459">
        <f t="shared" si="88"/>
        <v>-7063.6685104434318</v>
      </c>
      <c r="AI447" s="460">
        <f t="shared" si="96"/>
        <v>-0.92403437385960696</v>
      </c>
      <c r="AJ447" s="465"/>
      <c r="AK447" s="456"/>
      <c r="AL447" s="457">
        <f t="shared" si="97"/>
        <v>3917.2799999999997</v>
      </c>
      <c r="AM447" s="461"/>
      <c r="AN447" s="459">
        <f t="shared" si="92"/>
        <v>-3336.5699999999997</v>
      </c>
      <c r="AO447" s="466">
        <f t="shared" si="93"/>
        <v>-0.85175683127067758</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2">
        <f>Z448/Z406</f>
        <v>2.1430649860887554E-3</v>
      </c>
      <c r="Z448" s="457">
        <f t="shared" si="94"/>
        <v>7780.2762857487296</v>
      </c>
      <c r="AA448" s="456"/>
      <c r="AB448" s="464"/>
      <c r="AC448" s="457"/>
      <c r="AD448" s="465"/>
      <c r="AE448" s="464"/>
      <c r="AF448" s="958">
        <f t="shared" si="95"/>
        <v>9216.3499999999985</v>
      </c>
      <c r="AG448" s="458"/>
      <c r="AH448" s="962">
        <f t="shared" si="88"/>
        <v>1436.0737142512689</v>
      </c>
      <c r="AI448" s="460">
        <f t="shared" si="96"/>
        <v>0.18457875549763583</v>
      </c>
      <c r="AJ448" s="465"/>
      <c r="AK448" s="456"/>
      <c r="AL448" s="457">
        <f t="shared" si="97"/>
        <v>7125.14</v>
      </c>
      <c r="AM448" s="461"/>
      <c r="AN448" s="459">
        <f t="shared" si="92"/>
        <v>2091.2099999999982</v>
      </c>
      <c r="AO448" s="466">
        <f t="shared" si="93"/>
        <v>0.29349739092845867</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0.23823204193019826</v>
      </c>
      <c r="Y452" s="472"/>
      <c r="Z452" s="474">
        <f>+SUM(Z434:Z451)</f>
        <v>126192.82537174747</v>
      </c>
      <c r="AA452" s="473"/>
      <c r="AB452" s="472"/>
      <c r="AC452" s="474"/>
      <c r="AD452" s="475">
        <f>AF452/AF407</f>
        <v>0.33507481736903277</v>
      </c>
      <c r="AE452" s="472"/>
      <c r="AF452" s="474">
        <f>+SUM(AF434:AF451)</f>
        <v>153338.61999999997</v>
      </c>
      <c r="AG452" s="481"/>
      <c r="AH452" s="494">
        <f>+SUM(AH434:AH451)</f>
        <v>27145.794628252515</v>
      </c>
      <c r="AI452" s="473">
        <f>AH452/Z452</f>
        <v>0.2151136132207562</v>
      </c>
      <c r="AJ452" s="475">
        <f>IF($AL$407=0,0,AL452/$AL$407)</f>
        <v>0.24157425738712038</v>
      </c>
      <c r="AK452" s="473"/>
      <c r="AL452" s="474">
        <f>+SUM(AL434:AL451)</f>
        <v>125714.27</v>
      </c>
      <c r="AM452" s="482"/>
      <c r="AN452" s="477">
        <f>+SUM(AN434:AN451)</f>
        <v>27624.349999999991</v>
      </c>
      <c r="AO452" s="495">
        <f t="shared" si="93"/>
        <v>0.21973917519466954</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3279.99999999999</v>
      </c>
      <c r="AM455" s="445"/>
      <c r="AN455" s="443">
        <f t="shared" si="100"/>
        <v>165.00000000001046</v>
      </c>
      <c r="AO455" s="446">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203">
        <f>SUMIFS(BV_Data_An_Cour!$O:$O,BV_Data_An_Cour!$V:$V,$V458)</f>
        <v>5812.79</v>
      </c>
      <c r="AG458" s="458"/>
      <c r="AH458" s="459">
        <f t="shared" si="98"/>
        <v>2361.5399999999995</v>
      </c>
      <c r="AI458" s="460">
        <f t="shared" si="99"/>
        <v>0.68425642883013382</v>
      </c>
      <c r="AJ458" s="465"/>
      <c r="AK458" s="456"/>
      <c r="AL458" s="457">
        <f>+INDEX('Réel 2023'!$A$2:$AO$501,MATCH($A458,'Réel 2023'!$A$2:$A$501,0),MATCH(F$2,'Réel 2023'!$A$2:$AO$2,0))</f>
        <v>2571.2199999999998</v>
      </c>
      <c r="AM458" s="461"/>
      <c r="AN458" s="459">
        <f t="shared" si="100"/>
        <v>3241.57</v>
      </c>
      <c r="AO458" s="466">
        <f t="shared" si="93"/>
        <v>1.2607128133726404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2023'!$A$2:$AO$501,MATCH($A459,'Réel 2023'!$A$2:$A$501,0),MATCH(F$2,'Réel 2023'!$A$2:$AO$2,0))</f>
        <v>6550.12</v>
      </c>
      <c r="AM459" s="461"/>
      <c r="AN459" s="459">
        <f t="shared" si="100"/>
        <v>-126.79000000000087</v>
      </c>
      <c r="AO459" s="466">
        <f t="shared" si="93"/>
        <v>-1.9356897278217936E-2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0</v>
      </c>
      <c r="AG460" s="442"/>
      <c r="AH460" s="443">
        <f t="shared" si="98"/>
        <v>-1946.9211566305551</v>
      </c>
      <c r="AI460" s="470">
        <f t="shared" si="99"/>
        <v>-1</v>
      </c>
      <c r="AJ460" s="469"/>
      <c r="AK460" s="440"/>
      <c r="AL460" s="441">
        <f>+INDEX('Réel 2023'!$A$2:$AO$501,MATCH($A460,'Réel 2023'!$A$2:$A$501,0),MATCH(F$2,'Réel 2023'!$A$2:$AO$2,0))</f>
        <v>2113.94</v>
      </c>
      <c r="AM460" s="445"/>
      <c r="AN460" s="443">
        <f t="shared" si="100"/>
        <v>-2113.94</v>
      </c>
      <c r="AO460" s="446">
        <f t="shared" si="93"/>
        <v>-1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0</v>
      </c>
      <c r="AG461" s="458"/>
      <c r="AH461" s="459">
        <f t="shared" si="98"/>
        <v>-1000</v>
      </c>
      <c r="AI461" s="498">
        <f t="shared" si="99"/>
        <v>-1</v>
      </c>
      <c r="AJ461" s="456"/>
      <c r="AK461" s="456"/>
      <c r="AL461" s="457">
        <f>+INDEX('Réel 2023'!$A$2:$AO$501,MATCH($A461,'Réel 2023'!$A$2:$A$501,0),MATCH(F$2,'Réel 2023'!$A$2:$AO$2,0))</f>
        <v>553.80999999999995</v>
      </c>
      <c r="AM461" s="461"/>
      <c r="AN461" s="459">
        <f t="shared" si="100"/>
        <v>-553.80999999999995</v>
      </c>
      <c r="AO461" s="466">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0.11647427348776927</v>
      </c>
      <c r="Y466" s="472"/>
      <c r="Z466" s="474">
        <f>SUM(Z453:Z465)</f>
        <v>61697.064489963894</v>
      </c>
      <c r="AA466" s="473"/>
      <c r="AB466" s="472"/>
      <c r="AC466" s="474"/>
      <c r="AD466" s="475">
        <f>AF466/AF407</f>
        <v>0.13275323101870612</v>
      </c>
      <c r="AE466" s="472"/>
      <c r="AF466" s="474">
        <f>SUM(AF453:AF465)</f>
        <v>60751.200000000004</v>
      </c>
      <c r="AG466" s="481"/>
      <c r="AH466" s="494">
        <f>SUM(AH453:AH465)</f>
        <v>-945.86448996389004</v>
      </c>
      <c r="AI466" s="473">
        <f>IF(Z466=0,0,AH466/Z466)</f>
        <v>-1.5330785958507823E-2</v>
      </c>
      <c r="AJ466" s="475">
        <f>IF($AL$407=0,0,AL466/$AL$407)</f>
        <v>9.6599691192843146E-2</v>
      </c>
      <c r="AK466" s="473"/>
      <c r="AL466" s="474">
        <f>SUM(AL453:AL465)</f>
        <v>50270.09</v>
      </c>
      <c r="AM466" s="482"/>
      <c r="AN466" s="477">
        <f>SUM(AN453:AN465)</f>
        <v>10481.11000000001</v>
      </c>
      <c r="AO466" s="495">
        <f t="shared" ref="AO466:AO483" si="101">IF(AL466=0,0,AN466/AL466)</f>
        <v>0.20849594659567966</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1.1228072856624074</v>
      </c>
      <c r="Y468" s="472"/>
      <c r="Z468" s="474">
        <f>Z419+Z433+Z452+Z466</f>
        <v>594757.20636788674</v>
      </c>
      <c r="AA468" s="473"/>
      <c r="AB468" s="472"/>
      <c r="AC468" s="474"/>
      <c r="AD468" s="475">
        <f>AF468/AF407</f>
        <v>1.2354215466628111</v>
      </c>
      <c r="AE468" s="472"/>
      <c r="AF468" s="474">
        <f>AF419+AF433+AF452+AF466</f>
        <v>565359.80999999994</v>
      </c>
      <c r="AG468" s="481"/>
      <c r="AH468" s="494">
        <f t="shared" si="102"/>
        <v>-29397.396367886802</v>
      </c>
      <c r="AI468" s="473">
        <f>AH468/Z468</f>
        <v>-4.9427558091163434E-2</v>
      </c>
      <c r="AJ468" s="475">
        <f>IF($AL$407=0,0,AL468/$AL$407)</f>
        <v>1.1903775311711213</v>
      </c>
      <c r="AK468" s="473"/>
      <c r="AL468" s="474">
        <f>AL419+AL433+AL452+AL466</f>
        <v>619467.67000000004</v>
      </c>
      <c r="AM468" s="482"/>
      <c r="AN468" s="477">
        <f t="shared" si="103"/>
        <v>-54107.860000000102</v>
      </c>
      <c r="AO468" s="454">
        <f t="shared" si="101"/>
        <v>-8.7345736703257001E-2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22097.857499999998</v>
      </c>
      <c r="AA469" s="502"/>
      <c r="AB469" s="503"/>
      <c r="AC469" s="485"/>
      <c r="AD469" s="504"/>
      <c r="AE469" s="503"/>
      <c r="AF469" s="457">
        <f>-SUMIFS(BV_Data_An_Cour!$O:$O,BV_Data_An_Cour!$V:$V,$V469)</f>
        <v>13962.82</v>
      </c>
      <c r="AG469" s="505"/>
      <c r="AH469" s="459">
        <f t="shared" si="102"/>
        <v>-8135.0374999999985</v>
      </c>
      <c r="AI469" s="498">
        <f>IF(AH469=0,0,AH469/Z469)</f>
        <v>-0.36813693363711841</v>
      </c>
      <c r="AJ469" s="504"/>
      <c r="AK469" s="502"/>
      <c r="AL469" s="506">
        <f>+INDEX('Réel 2023'!$A$2:$AO$501,MATCH($A469,'Réel 2023'!$A$2:$A$501,0),MATCH(F$2,'Réel 2023'!$A$2:$AO$2,0))</f>
        <v>69389.759999999995</v>
      </c>
      <c r="AM469" s="507"/>
      <c r="AN469" s="459">
        <f t="shared" si="103"/>
        <v>-55426.939999999995</v>
      </c>
      <c r="AO469" s="466">
        <f t="shared" si="101"/>
        <v>-0.79877693769224734</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43066.288712401452</v>
      </c>
      <c r="AA470" s="496"/>
      <c r="AB470" s="459"/>
      <c r="AC470" s="457"/>
      <c r="AD470" s="508"/>
      <c r="AE470" s="509"/>
      <c r="AF470" s="457">
        <f t="shared" ref="AF470:AF476" si="105">+SUMIF($C:$C,$V470,L:L)</f>
        <v>54053</v>
      </c>
      <c r="AG470" s="510"/>
      <c r="AH470" s="459">
        <f t="shared" si="102"/>
        <v>10986.711287598548</v>
      </c>
      <c r="AI470" s="479">
        <f>IF(Z470=0,0,AH470/Z470)</f>
        <v>0.25511163408967702</v>
      </c>
      <c r="AJ470" s="511"/>
      <c r="AK470" s="496"/>
      <c r="AL470" s="512">
        <f t="shared" ref="AL470:AL479" si="106">+SUMIF($C:$C,$V470,Q:Q)</f>
        <v>55160.85</v>
      </c>
      <c r="AM470" s="508"/>
      <c r="AN470" s="459">
        <f t="shared" si="103"/>
        <v>-1107.8499999999985</v>
      </c>
      <c r="AO470" s="466">
        <f t="shared" si="101"/>
        <v>-2.0083990728931817E-2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20000</v>
      </c>
      <c r="AA471" s="496"/>
      <c r="AB471" s="497"/>
      <c r="AC471" s="457"/>
      <c r="AD471" s="511"/>
      <c r="AF471" s="457">
        <f t="shared" si="105"/>
        <v>20000</v>
      </c>
      <c r="AG471" s="510"/>
      <c r="AH471" s="459">
        <f t="shared" si="102"/>
        <v>0</v>
      </c>
      <c r="AI471" s="479">
        <f t="shared" ref="AI471:AI480" si="107">IF(AH471=0,0,AH471/Z471)</f>
        <v>0</v>
      </c>
      <c r="AJ471" s="511"/>
      <c r="AK471" s="496"/>
      <c r="AL471" s="512">
        <f t="shared" si="106"/>
        <v>31556</v>
      </c>
      <c r="AM471" s="508"/>
      <c r="AN471" s="459">
        <f t="shared" si="103"/>
        <v>-11556</v>
      </c>
      <c r="AO471" s="466">
        <f t="shared" si="101"/>
        <v>-0.36620610977310181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28348.190000000002</v>
      </c>
      <c r="AA480" s="496"/>
      <c r="AB480" s="497"/>
      <c r="AC480" s="457"/>
      <c r="AD480" s="513">
        <f>AF480/499</f>
        <v>50.549098196392784</v>
      </c>
      <c r="AE480" s="496">
        <f>(AF480/399)/(J13+J15+J97)</f>
        <v>1.2157316367842683</v>
      </c>
      <c r="AF480" s="457">
        <f>+SUMIF($C:$C,$V480,L:L)</f>
        <v>25224</v>
      </c>
      <c r="AG480" s="510"/>
      <c r="AH480" s="459">
        <f t="shared" si="102"/>
        <v>-3124.1900000000023</v>
      </c>
      <c r="AI480" s="479">
        <f t="shared" si="107"/>
        <v>-0.11020774165828584</v>
      </c>
      <c r="AJ480" s="511"/>
      <c r="AK480" s="496"/>
      <c r="AL480" s="512">
        <f>+INDEX('Réel 2023'!$A$2:$AO$501,MATCH($A480,'Réel 2023'!$A$2:$A$501,0),MATCH(F$2,'Réel 2023'!$A$2:$AO$2,0))</f>
        <v>30195</v>
      </c>
      <c r="AM480" s="508"/>
      <c r="AN480" s="459">
        <f t="shared" si="103"/>
        <v>-4971</v>
      </c>
      <c r="AO480" s="466">
        <f t="shared" si="101"/>
        <v>-0.16462990561351218</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0.21429328934101122</v>
      </c>
      <c r="Y481" s="493"/>
      <c r="Z481" s="474">
        <f>SUM(Z469:Z480)</f>
        <v>113512.33621240145</v>
      </c>
      <c r="AA481" s="473"/>
      <c r="AB481" s="493"/>
      <c r="AC481" s="474"/>
      <c r="AD481" s="473">
        <f>AF481/+AF407</f>
        <v>0.24745111182950619</v>
      </c>
      <c r="AE481" s="493"/>
      <c r="AF481" s="474">
        <f>SUM(AF469:AF480)</f>
        <v>113239.82</v>
      </c>
      <c r="AG481" s="481"/>
      <c r="AH481" s="477">
        <f t="shared" si="102"/>
        <v>-272.51621240144596</v>
      </c>
      <c r="AI481" s="473">
        <f>AH481/Z481</f>
        <v>-2.400762961054034E-3</v>
      </c>
      <c r="AJ481" s="514"/>
      <c r="AK481" s="515"/>
      <c r="AL481" s="474">
        <f>SUM(AL469:AL480)</f>
        <v>186301.61</v>
      </c>
      <c r="AM481" s="516"/>
      <c r="AN481" s="477">
        <f t="shared" si="103"/>
        <v>-73061.789999999979</v>
      </c>
      <c r="AO481" s="495">
        <f t="shared" si="101"/>
        <v>-0.39216939671106432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1.3348407892527062E-2</v>
      </c>
      <c r="Z483" s="534">
        <f>Z407-Z468+Z481</f>
        <v>48460.640275902639</v>
      </c>
      <c r="AA483" s="532"/>
      <c r="AB483" s="533"/>
      <c r="AC483" s="534"/>
      <c r="AD483" s="532" t="s">
        <v>219</v>
      </c>
      <c r="AE483" s="533">
        <f>AF483/AF406</f>
        <v>1.4923439593734862E-3</v>
      </c>
      <c r="AF483" s="535">
        <f>AF407-AF468+AF481</f>
        <v>5505.0300000000861</v>
      </c>
      <c r="AG483" s="536"/>
      <c r="AH483" s="536">
        <f>AF483-Z483</f>
        <v>-42955.610275902553</v>
      </c>
      <c r="AI483" s="537">
        <f>AH483/Z483</f>
        <v>-0.88640203743371715</v>
      </c>
      <c r="AJ483" s="538" t="s">
        <v>219</v>
      </c>
      <c r="AK483" s="533">
        <f>IF($AL$406=0,0,AL483/$AL$406)</f>
        <v>9.0728956966248386E-3</v>
      </c>
      <c r="AL483" s="535">
        <f>AL407-AL468+AL481</f>
        <v>87229.909999999218</v>
      </c>
      <c r="AM483" s="539"/>
      <c r="AN483" s="535">
        <f t="shared" si="103"/>
        <v>-81724.879999999132</v>
      </c>
      <c r="AO483" s="540">
        <f t="shared" si="101"/>
        <v>-0.93689056884272681</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Décembre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8" t="s">
        <v>3939</v>
      </c>
      <c r="W488" s="1189"/>
      <c r="X488" s="1190" t="s">
        <v>219</v>
      </c>
      <c r="Y488" s="1191">
        <f>Z488/Z406</f>
        <v>1.8394282157001677E-2</v>
      </c>
      <c r="Z488" s="1192">
        <f>Z489+Z415</f>
        <v>66779.401552671392</v>
      </c>
      <c r="AA488" s="1190"/>
      <c r="AB488" s="1191"/>
      <c r="AC488" s="534"/>
      <c r="AD488" s="1190" t="s">
        <v>219</v>
      </c>
      <c r="AE488" s="1191">
        <f>AF488/AF406</f>
        <v>1.1902740432258435E-3</v>
      </c>
      <c r="AF488" s="1192">
        <f>AF489+AF415</f>
        <v>4390.7400000000853</v>
      </c>
      <c r="AG488" s="536"/>
      <c r="AH488" s="536">
        <f t="shared" ref="AH488" si="108">AF488-Z488</f>
        <v>-62388.661552671307</v>
      </c>
      <c r="AI488" s="537">
        <f>AH488/Z488</f>
        <v>-0.9342500846381957</v>
      </c>
      <c r="AJ488" s="1190" t="s">
        <v>219</v>
      </c>
      <c r="AK488" s="1191">
        <f>IF($AL$406=0,0,AL488/$AL$406)</f>
        <v>1.0902452254068478E-2</v>
      </c>
      <c r="AL488" s="1192">
        <f>AL489+AL415</f>
        <v>104819.88999999921</v>
      </c>
      <c r="AM488" s="539"/>
      <c r="AN488" s="1192">
        <f t="shared" ref="AN488" si="109">AF488-AL488</f>
        <v>-100429.14999999912</v>
      </c>
      <c r="AO488" s="1193">
        <f t="shared" ref="AO488" si="110">IF(AL488=0,0,AN488/AL488)</f>
        <v>-0.95811157596139318</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hidden="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1.3348407892527062E-2</v>
      </c>
      <c r="Z489" s="534">
        <f>Z483</f>
        <v>48460.640275902639</v>
      </c>
      <c r="AA489" s="532"/>
      <c r="AB489" s="533"/>
      <c r="AC489" s="534"/>
      <c r="AD489" s="532" t="s">
        <v>219</v>
      </c>
      <c r="AE489" s="533">
        <f>AF489/AF406</f>
        <v>1.4923439593734862E-3</v>
      </c>
      <c r="AF489" s="534">
        <f>AF483</f>
        <v>5505.0300000000861</v>
      </c>
      <c r="AG489" s="535"/>
      <c r="AH489" s="536">
        <f>AF489-Z489</f>
        <v>-42955.610275902553</v>
      </c>
      <c r="AI489" s="537">
        <f>AH489/Z489</f>
        <v>-0.88640203743371715</v>
      </c>
      <c r="AJ489" s="532" t="s">
        <v>219</v>
      </c>
      <c r="AK489" s="533">
        <f>IF($AL$406=0,0,AL489/$AL$406)</f>
        <v>9.0728956966248386E-3</v>
      </c>
      <c r="AL489" s="543">
        <f>AL483</f>
        <v>87229.909999999218</v>
      </c>
      <c r="AM489" s="544"/>
      <c r="AN489" s="545">
        <f>AF489-AL489</f>
        <v>-81724.879999999132</v>
      </c>
      <c r="AO489" s="546">
        <f>IF(AL489=0,0,AN489/AL489)</f>
        <v>-0.93689056884272681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34648.333333333328</v>
      </c>
      <c r="AA491" s="456"/>
      <c r="AB491" s="464"/>
      <c r="AC491" s="457"/>
      <c r="AD491" s="456"/>
      <c r="AE491" s="464"/>
      <c r="AF491" s="457">
        <f>SUMIFS(BV_Data_An_Cour!$O:$O,BV_Data_An_Cour!$V:$V,$V491)</f>
        <v>45225.760000000009</v>
      </c>
      <c r="AG491" s="456"/>
      <c r="AH491" s="459">
        <f t="shared" ref="AH491:AH498" si="111">AF491-Z491</f>
        <v>10577.426666666681</v>
      </c>
      <c r="AI491" s="479">
        <f t="shared" ref="AI491:AI497" si="112">IF(Z491=0,0,AH491/Z491)</f>
        <v>0.30527952282457116</v>
      </c>
      <c r="AJ491" s="456"/>
      <c r="AK491" s="456"/>
      <c r="AL491" s="457">
        <f>+INDEX('Réel 2023'!$A$2:$AO$501,MATCH($A491,'Réel 2023'!$A$2:$A$501,0),MATCH(F$2,'Réel 2023'!$A$2:$AO$2,0))</f>
        <v>4314.5</v>
      </c>
      <c r="AM491" s="461"/>
      <c r="AN491" s="459">
        <f t="shared" ref="AN491:AN498" si="113">AF491-AL491</f>
        <v>40911.260000000009</v>
      </c>
      <c r="AO491" s="466">
        <f t="shared" ref="AO491:AO498" si="114">IF(AL491=0,0,AN491/AL491)</f>
        <v>9.4822714103604149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2023'!$A$2:$AO$501,MATCH($A492,'Réel 2023'!$A$2:$A$501,0),MATCH(F$2,'Réel 2023'!$A$2:$AO$2,0))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2023'!$A$2:$AO$501,MATCH($A493,'Réel 2023'!$A$2:$A$501,0),MATCH(F$2,'Réel 2023'!$A$2:$AO$2,0))</f>
        <v>-2098.77</v>
      </c>
      <c r="AM493" s="551"/>
      <c r="AN493" s="459">
        <f t="shared" si="113"/>
        <v>2098.77</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2023'!$A$2:$AO$501,MATCH($A494,'Réel 2023'!$A$2:$A$501,0),MATCH(F$2,'Réel 2023'!$A$2:$AO$2,0))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2023'!$A$2:$AO$501,MATCH($A495,'Réel 2023'!$A$2:$A$501,0),MATCH(F$2,'Réel 2023'!$A$2:$AO$2,0))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
        <v>3866</v>
      </c>
      <c r="B496" s="3"/>
      <c r="C496" s="433" t="s">
        <v>598</v>
      </c>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-1207.6500000000001</v>
      </c>
      <c r="AG496" s="458"/>
      <c r="AH496" s="459">
        <f t="shared" si="111"/>
        <v>3459.0166666666669</v>
      </c>
      <c r="AI496" s="460">
        <f t="shared" si="112"/>
        <v>-0.74121785714285715</v>
      </c>
      <c r="AJ496" s="465"/>
      <c r="AK496" s="456"/>
      <c r="AL496" s="457">
        <f>+INDEX('Réel 2023'!$A$2:$AO$501,MATCH($A496,'Réel 2023'!$A$2:$A$501,0),MATCH(F$2,'Réel 2023'!$A$2:$AO$2,0))</f>
        <v>0</v>
      </c>
      <c r="AM496" s="551"/>
      <c r="AN496" s="459">
        <f t="shared" si="113"/>
        <v>-1207.6500000000001</v>
      </c>
      <c r="AO496" s="466">
        <f t="shared" si="114"/>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2023'!$A$2:$AO$501,MATCH($A497,'Réel 2023'!$A$2:$A$501,0),MATCH(F$2,'Réel 2023'!$A$2:$AO$2,0))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5.0900045019417646E-3</v>
      </c>
      <c r="Z498" s="534">
        <f>Z489-Z491-Z492-Z493-Z497-Z496</f>
        <v>18478.973609235978</v>
      </c>
      <c r="AA498" s="532"/>
      <c r="AB498" s="533"/>
      <c r="AC498" s="534"/>
      <c r="AD498" s="532" t="s">
        <v>219</v>
      </c>
      <c r="AE498" s="533">
        <f>AF498/AF406</f>
        <v>-1.0440408552699405E-2</v>
      </c>
      <c r="AF498" s="535">
        <f>AF489-AF491-AF492-AF493-AF497-AF496</f>
        <v>-38513.079999999922</v>
      </c>
      <c r="AG498" s="536"/>
      <c r="AH498" s="536">
        <f t="shared" si="111"/>
        <v>-56992.053609235896</v>
      </c>
      <c r="AI498" s="537">
        <f>AH498/Z498</f>
        <v>-3.0841568809184667</v>
      </c>
      <c r="AJ498" s="538" t="s">
        <v>219</v>
      </c>
      <c r="AK498" s="533">
        <f>IF($AL$406=0,0,AL498/$AL$406)</f>
        <v>8.8424347551669981E-3</v>
      </c>
      <c r="AL498" s="535">
        <f>AL489-AL491-AL492-AL493-AL497-AL496</f>
        <v>85014.179999999222</v>
      </c>
      <c r="AM498" s="539"/>
      <c r="AN498" s="535">
        <f t="shared" si="113"/>
        <v>-123527.25999999914</v>
      </c>
      <c r="AO498" s="553">
        <f t="shared" si="114"/>
        <v>-1.4530194845142337</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3318</v>
      </c>
      <c r="AF500" s="555">
        <v>-20450</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4"/>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4"/>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6 Z49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I16" sqref="I16"/>
    </sheetView>
  </sheetViews>
  <sheetFormatPr baseColWidth="10" defaultColWidth="11" defaultRowHeight="14.25"/>
  <cols>
    <col min="1" max="1" width="2.5" style="1169" customWidth="1"/>
    <col min="2" max="2" width="11" style="1174"/>
    <col min="3" max="3" width="23" style="1175" customWidth="1"/>
    <col min="4" max="4" width="11.625" style="1175" customWidth="1"/>
    <col min="5" max="5" width="16" style="1175" customWidth="1"/>
    <col min="6" max="6" width="18.125" style="1175" bestFit="1" customWidth="1"/>
    <col min="7" max="7" width="10.875" style="1176" bestFit="1" customWidth="1"/>
    <col min="8" max="8" width="12.125" style="1175" customWidth="1"/>
    <col min="9" max="9" width="16.875" style="1175" customWidth="1"/>
    <col min="10" max="10" width="25.5" style="1177" customWidth="1"/>
    <col min="11" max="16384" width="11" style="1169"/>
  </cols>
  <sheetData>
    <row r="1" spans="2:10" ht="20.25">
      <c r="B1" s="1236" t="s">
        <v>3918</v>
      </c>
      <c r="C1" s="1237"/>
      <c r="D1" s="1237"/>
      <c r="E1" s="1237"/>
      <c r="F1" s="1237"/>
      <c r="G1" s="1237"/>
      <c r="H1" s="1237"/>
      <c r="I1" s="1237"/>
      <c r="J1" s="1238"/>
    </row>
    <row r="2" spans="2:10" ht="15">
      <c r="B2" s="1170" t="s">
        <v>3919</v>
      </c>
      <c r="C2" s="1171" t="s">
        <v>257</v>
      </c>
      <c r="D2" s="1171" t="s">
        <v>9</v>
      </c>
      <c r="E2" s="1171" t="s">
        <v>253</v>
      </c>
      <c r="F2" s="1171" t="s">
        <v>254</v>
      </c>
      <c r="G2" s="1172" t="s">
        <v>3920</v>
      </c>
      <c r="H2" s="1171" t="s">
        <v>3921</v>
      </c>
      <c r="I2" s="1171" t="s">
        <v>3922</v>
      </c>
      <c r="J2" s="1173" t="s">
        <v>3923</v>
      </c>
    </row>
    <row r="3" spans="2:10">
      <c r="B3" s="1174">
        <v>250040</v>
      </c>
      <c r="C3" s="1206" t="s">
        <v>3947</v>
      </c>
      <c r="D3" s="1175">
        <v>2025</v>
      </c>
      <c r="E3" s="1206" t="s">
        <v>267</v>
      </c>
      <c r="F3" s="1206" t="s">
        <v>262</v>
      </c>
      <c r="G3" s="1176">
        <v>61091.37</v>
      </c>
      <c r="H3" s="1182" t="s">
        <v>3932</v>
      </c>
      <c r="I3" s="1182" t="s">
        <v>3931</v>
      </c>
      <c r="J3" s="1183" t="s">
        <v>3934</v>
      </c>
    </row>
    <row r="4" spans="2:10">
      <c r="B4" s="1174">
        <v>241010</v>
      </c>
      <c r="C4" s="1206" t="s">
        <v>3948</v>
      </c>
      <c r="D4" s="1175">
        <v>2024</v>
      </c>
      <c r="E4" s="1206" t="s">
        <v>267</v>
      </c>
      <c r="F4" s="1206" t="s">
        <v>3574</v>
      </c>
      <c r="G4" s="1176">
        <v>50437.64</v>
      </c>
      <c r="H4" s="1199" t="s">
        <v>3941</v>
      </c>
      <c r="I4" s="1199" t="s">
        <v>3942</v>
      </c>
      <c r="J4" s="1200" t="s">
        <v>3943</v>
      </c>
    </row>
    <row r="5" spans="2:10">
      <c r="B5" s="1174">
        <v>240485</v>
      </c>
      <c r="C5" s="1208" t="s">
        <v>3956</v>
      </c>
      <c r="D5" s="1175">
        <v>2024</v>
      </c>
      <c r="E5" s="1206" t="s">
        <v>267</v>
      </c>
      <c r="F5" s="1206" t="s">
        <v>3574</v>
      </c>
      <c r="G5" s="1176">
        <v>52681.72</v>
      </c>
      <c r="H5" s="1208" t="s">
        <v>3954</v>
      </c>
      <c r="I5" s="1208" t="s">
        <v>3955</v>
      </c>
      <c r="J5" s="1200" t="s">
        <v>3943</v>
      </c>
    </row>
    <row r="6" spans="2:10">
      <c r="B6" s="1174">
        <v>240727</v>
      </c>
      <c r="C6" s="1206" t="s">
        <v>3940</v>
      </c>
      <c r="D6" s="1175">
        <v>2024</v>
      </c>
      <c r="E6" s="1206" t="s">
        <v>267</v>
      </c>
      <c r="F6" s="1206" t="s">
        <v>3441</v>
      </c>
      <c r="G6" s="1176">
        <v>33406.46</v>
      </c>
      <c r="H6" s="1182" t="s">
        <v>3935</v>
      </c>
      <c r="I6" s="1182" t="s">
        <v>3930</v>
      </c>
      <c r="J6" s="1183" t="s">
        <v>3933</v>
      </c>
    </row>
    <row r="7" spans="2:10">
      <c r="B7" s="1174">
        <v>240070</v>
      </c>
      <c r="C7" s="1208" t="s">
        <v>3499</v>
      </c>
      <c r="D7" s="1175">
        <v>2024</v>
      </c>
      <c r="E7" s="1206" t="s">
        <v>267</v>
      </c>
      <c r="F7" s="1208" t="s">
        <v>3459</v>
      </c>
      <c r="G7" s="1176">
        <v>55892</v>
      </c>
      <c r="H7" s="1182" t="s">
        <v>3937</v>
      </c>
      <c r="I7" s="1182" t="s">
        <v>3936</v>
      </c>
      <c r="J7" s="1183" t="s">
        <v>3933</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K46" sqref="K46"/>
    </sheetView>
  </sheetViews>
  <sheetFormatPr baseColWidth="10" defaultColWidth="11" defaultRowHeight="14.25"/>
  <cols>
    <col min="1" max="1" width="4.75" style="1080" customWidth="1"/>
    <col min="2" max="2" width="5.5" style="1080" customWidth="1"/>
    <col min="3" max="3" width="20" style="1080" customWidth="1"/>
    <col min="4" max="4" width="1.75" style="1080" customWidth="1"/>
    <col min="5" max="7" width="11.125" style="1083" customWidth="1"/>
    <col min="8" max="8" width="8" style="1083" customWidth="1"/>
    <col min="9" max="9" width="1.75" style="1083" customWidth="1"/>
    <col min="10" max="12" width="11.125" style="1083" customWidth="1"/>
    <col min="13" max="13" width="8" style="1083" customWidth="1"/>
    <col min="14" max="14" width="11" style="1080"/>
    <col min="15" max="15" width="10" style="1080" customWidth="1"/>
    <col min="16" max="16" width="11" style="1080"/>
    <col min="17" max="17" width="6.375" style="1080" customWidth="1"/>
    <col min="18" max="16384" width="11" style="1080"/>
  </cols>
  <sheetData>
    <row r="1" spans="1:17" ht="30.75" customHeight="1">
      <c r="C1" s="1241" t="str">
        <f>"Analyse Wholesale "&amp;Parametres!B1</f>
        <v>Analyse Wholesale Volks</v>
      </c>
      <c r="D1" s="1241"/>
      <c r="E1" s="1241"/>
      <c r="F1" s="1241"/>
      <c r="G1" s="1241"/>
      <c r="H1" s="1241"/>
      <c r="I1" s="1241"/>
      <c r="J1" s="1241"/>
      <c r="K1" s="1241"/>
      <c r="L1" s="1081"/>
      <c r="M1" s="1081"/>
      <c r="N1" s="1082"/>
      <c r="O1" s="1082"/>
      <c r="P1" s="1082"/>
      <c r="Q1" s="1082"/>
    </row>
    <row r="2" spans="1:17" ht="14.25" hidden="1" customHeight="1">
      <c r="D2" s="1080" t="s">
        <v>303</v>
      </c>
      <c r="F2" s="1083" t="s">
        <v>338</v>
      </c>
      <c r="G2" s="1083" t="s">
        <v>340</v>
      </c>
      <c r="L2" s="1083" t="s">
        <v>303</v>
      </c>
      <c r="N2" s="1080" t="s">
        <v>338</v>
      </c>
      <c r="O2" s="1080" t="s">
        <v>340</v>
      </c>
    </row>
    <row r="4" spans="1:17" ht="15" customHeight="1">
      <c r="A4" s="1084"/>
      <c r="B4" s="1084"/>
      <c r="E4" s="1242" t="str">
        <f>CONCATENATE("Pièces Wholesale ",Parametres!B3," ",Parametres!B4)</f>
        <v>Pièces Wholesale Décembre 2024</v>
      </c>
      <c r="F4" s="1243"/>
      <c r="G4" s="1243"/>
      <c r="H4" s="1244"/>
      <c r="J4" s="1245" t="str">
        <f>CONCATENATE("Pièces Wholesale AAD ",Parametres!B4)</f>
        <v>Pièces Wholesale AAD 2024</v>
      </c>
      <c r="K4" s="1246"/>
      <c r="L4" s="1246"/>
      <c r="M4" s="1247"/>
    </row>
    <row r="5" spans="1:17" ht="15">
      <c r="A5" s="1084"/>
      <c r="B5" s="1084"/>
      <c r="C5" s="1087"/>
      <c r="D5" s="1088"/>
      <c r="E5" s="1085" t="s">
        <v>656</v>
      </c>
      <c r="F5" s="1086" t="s">
        <v>3871</v>
      </c>
      <c r="G5" s="1085" t="s">
        <v>3872</v>
      </c>
      <c r="H5" s="1086" t="s">
        <v>3873</v>
      </c>
      <c r="J5" s="1085" t="s">
        <v>656</v>
      </c>
      <c r="K5" s="1086" t="s">
        <v>3871</v>
      </c>
      <c r="L5" s="1085" t="s">
        <v>3872</v>
      </c>
      <c r="M5" s="1086" t="s">
        <v>3873</v>
      </c>
    </row>
    <row r="6" spans="1:17" ht="15">
      <c r="A6" s="1084"/>
      <c r="B6" s="1084"/>
      <c r="C6" s="1089" t="s">
        <v>3874</v>
      </c>
      <c r="D6" s="1090"/>
      <c r="E6" s="1091">
        <f>SUMIF(A37:A48,"X",E37:E48)</f>
        <v>418</v>
      </c>
      <c r="F6" s="1092">
        <f>SUMIF(A37:A48,"X",F37:F48)</f>
        <v>461.73714036619947</v>
      </c>
      <c r="G6" s="1091">
        <f>E6-F6</f>
        <v>-43.737140366199469</v>
      </c>
      <c r="H6" s="1093">
        <f>G6/F6</f>
        <v>-9.4723028629475084E-2</v>
      </c>
      <c r="J6" s="1091">
        <f>SUMIF($B$37:$B$48,"X",$E$37:$E$48)</f>
        <v>5161</v>
      </c>
      <c r="K6" s="1092">
        <f>SUMIF($B$37:$B$48,"X",$F$37:$F$48)</f>
        <v>5040.0000000000009</v>
      </c>
      <c r="L6" s="1091">
        <f>J6-K6</f>
        <v>120.99999999999909</v>
      </c>
      <c r="M6" s="1093">
        <f>L6/K6</f>
        <v>2.4007936507936322E-2</v>
      </c>
    </row>
    <row r="7" spans="1:17">
      <c r="A7" s="1094" t="str">
        <f>B7&amp;C7</f>
        <v>piècesVentes de Gros</v>
      </c>
      <c r="B7" s="1094" t="s">
        <v>3875</v>
      </c>
      <c r="C7" s="1095" t="s">
        <v>187</v>
      </c>
      <c r="D7" s="1096"/>
      <c r="E7" s="1097">
        <f>-SUMIFS(BV_Data_An_Cour!$O:$O,BV_Data_An_Cour!$X:$X,"Oui",BV_Data_An_Cour!$U:$U,$B7,BV_Data_An_Cour!$V:$V,$C7)</f>
        <v>169183.24</v>
      </c>
      <c r="F7" s="1098">
        <f>+INDEX('Budget original'!$A$2:$AO$501,MATCH($A7,'Budget original'!$A$2:$A$501,0),MATCH(F$2,'Budget original'!$A$2:$AO$2,0))</f>
        <v>144796.27810775323</v>
      </c>
      <c r="G7" s="1099">
        <f>E7-F7</f>
        <v>24386.961892246763</v>
      </c>
      <c r="H7" s="1100">
        <f>G7/F7</f>
        <v>0.16842257419143528</v>
      </c>
      <c r="J7" s="1097">
        <f>-SUMIFS(BV_Data_An_Cour!$P:$P,BV_Data_An_Cour!$X:$X,"Oui",BV_Data_An_Cour!$U:$U,$B7,BV_Data_An_Cour!$V:$V,$C7)</f>
        <v>1871696.81</v>
      </c>
      <c r="K7" s="1098" cm="1">
        <f t="array" ref="K7">+SUMPRODUCT(('Budget original'!$A$8:$A$501=$A7)*('Budget original'!$C$3:$AO$3=N$2),'Budget original'!$C$8:$AO$501)</f>
        <v>1580494.9999999998</v>
      </c>
      <c r="L7" s="1099">
        <f t="shared" ref="L7:L10" si="0">J7-K7</f>
        <v>291201.81000000029</v>
      </c>
      <c r="M7" s="1100">
        <f>L7/K7</f>
        <v>0.18424722001651403</v>
      </c>
    </row>
    <row r="8" spans="1:17">
      <c r="A8" s="1094"/>
      <c r="B8" s="1094"/>
      <c r="C8" s="1101" t="s">
        <v>3876</v>
      </c>
      <c r="D8" s="1096"/>
      <c r="E8" s="1102">
        <f>E7-E9</f>
        <v>143588.01999999999</v>
      </c>
      <c r="F8" s="1103">
        <f>F7-F9</f>
        <v>118915.72949846764</v>
      </c>
      <c r="G8" s="1097">
        <f t="shared" ref="G8:G15" si="1">E8-F8</f>
        <v>24672.290501532349</v>
      </c>
      <c r="H8" s="1104">
        <f t="shared" ref="H8:H9" si="2">G8/F8</f>
        <v>0.20747709832491318</v>
      </c>
      <c r="J8" s="1102">
        <f>J7-J9</f>
        <v>1555092.82</v>
      </c>
      <c r="K8" s="1103">
        <f>K7-K9</f>
        <v>1301674.5419299039</v>
      </c>
      <c r="L8" s="1097">
        <f t="shared" si="0"/>
        <v>253418.27807009616</v>
      </c>
      <c r="M8" s="1104">
        <f t="shared" ref="M8:M9" si="3">L8/K8</f>
        <v>0.1946863596904724</v>
      </c>
    </row>
    <row r="9" spans="1:17" ht="15">
      <c r="C9" s="1105" t="s">
        <v>202</v>
      </c>
      <c r="D9" s="1096"/>
      <c r="E9" s="1106">
        <f>E12+E11</f>
        <v>25595.22</v>
      </c>
      <c r="F9" s="1107">
        <f>F12+F11</f>
        <v>25880.548609285594</v>
      </c>
      <c r="G9" s="1106">
        <f t="shared" si="1"/>
        <v>-285.32860928559239</v>
      </c>
      <c r="H9" s="1104">
        <f t="shared" si="2"/>
        <v>-1.1024828476132856E-2</v>
      </c>
      <c r="J9" s="1106">
        <f>J12+J11</f>
        <v>316603.99</v>
      </c>
      <c r="K9" s="1107">
        <f>K12+K11</f>
        <v>278820.45807009598</v>
      </c>
      <c r="L9" s="1106">
        <f t="shared" si="0"/>
        <v>37783.531929904013</v>
      </c>
      <c r="M9" s="1104">
        <f t="shared" si="3"/>
        <v>0.13551205026858237</v>
      </c>
    </row>
    <row r="10" spans="1:17">
      <c r="A10" s="1094"/>
      <c r="B10" s="1094"/>
      <c r="C10" s="1101" t="s">
        <v>3877</v>
      </c>
      <c r="D10" s="1096"/>
      <c r="E10" s="1108">
        <f>E9/E7</f>
        <v>0.15128697145178213</v>
      </c>
      <c r="F10" s="1109">
        <f>F9/F7</f>
        <v>0.17873766472109204</v>
      </c>
      <c r="G10" s="1108">
        <f t="shared" si="1"/>
        <v>-2.7450693269309906E-2</v>
      </c>
      <c r="H10" s="1104"/>
      <c r="J10" s="1108">
        <f>J9/J7</f>
        <v>0.16915345920795793</v>
      </c>
      <c r="K10" s="1109">
        <f>K9/K7</f>
        <v>0.17641337560074283</v>
      </c>
      <c r="L10" s="1108">
        <f t="shared" si="0"/>
        <v>-7.2599163927848931E-3</v>
      </c>
      <c r="M10" s="1104"/>
    </row>
    <row r="11" spans="1:17">
      <c r="A11" s="1094"/>
      <c r="B11" s="1094"/>
      <c r="C11" s="1110" t="s">
        <v>3878</v>
      </c>
      <c r="D11" s="1096"/>
      <c r="E11" s="1099">
        <f>SUMIFS(BV_Data_An_Cour!$O:$O,BV_Data_An_Cour!$W:$W,$D$2,BV_Data_An_Cour!L:L,C31)</f>
        <v>5697.34</v>
      </c>
      <c r="F11" s="1111">
        <f>SUMIF($A$37:$A$48,"X",$G$37:$G$48)</f>
        <v>4885.0882836613782</v>
      </c>
      <c r="G11" s="1099">
        <f t="shared" si="1"/>
        <v>812.25171633862192</v>
      </c>
      <c r="H11" s="1100">
        <f t="shared" ref="H11:H12" si="4">G11/F11</f>
        <v>0.16627165553082665</v>
      </c>
      <c r="J11" s="1099">
        <f>SUMIFS(BV_Data_An_Cour!$P:$P,BV_Data_An_Cour!$W:$W,$L$2,BV_Data_An_Cour!T:T,C31)</f>
        <v>58358.07</v>
      </c>
      <c r="K11" s="1111">
        <f>SUMIF($B$37:$B$48,"X",$G$37:$G$48)</f>
        <v>49648.683070096071</v>
      </c>
      <c r="L11" s="1099">
        <f>J11-K11</f>
        <v>8709.3869299039288</v>
      </c>
      <c r="M11" s="1100">
        <f t="shared" ref="M11:M12" si="5">L11/K11</f>
        <v>0.17542030103009287</v>
      </c>
    </row>
    <row r="12" spans="1:17" ht="15">
      <c r="A12" s="1112" t="s">
        <v>187</v>
      </c>
      <c r="B12" s="1094" t="s">
        <v>3875</v>
      </c>
      <c r="C12" s="1105" t="s">
        <v>3879</v>
      </c>
      <c r="D12" s="1096"/>
      <c r="E12" s="1106">
        <f>-SUMIFS(BV_Data_An_Cour!$O:$O,BV_Data_An_Cour!$U:$U,$B12,BV_Data_An_Cour!$V:$V,$A12,BV_Data_An_Cour!$W:$W,$D$2)</f>
        <v>19897.88</v>
      </c>
      <c r="F12" s="1107">
        <f>+INDEX('Budget original'!$A$2:$AO$501,MATCH(B12&amp;$A12,'Budget original'!$A$2:$A$501,0),MATCH(G$2,'Budget original'!$A$2:$AO$2,0))</f>
        <v>20995.460325624215</v>
      </c>
      <c r="G12" s="1106">
        <f t="shared" si="1"/>
        <v>-1097.5803256242143</v>
      </c>
      <c r="H12" s="1104">
        <f t="shared" si="4"/>
        <v>-5.2277030777203602E-2</v>
      </c>
      <c r="J12" s="1106">
        <f>-SUMIFS(BV_Data_An_Cour!$P:$P,BV_Data_An_Cour!$U:$U,$B12,BV_Data_An_Cour!$V:$V,$A12,BV_Data_An_Cour!$W:$W,$D$2)</f>
        <v>258245.91999999998</v>
      </c>
      <c r="K12" s="1107" cm="1">
        <f t="array" ref="K12">+SUMPRODUCT(('Budget original'!$A$8:$A$501=B12&amp;$A12)*('Budget original'!$C$3:$AO$3=O$2),'Budget original'!$C$8:$AO$501)</f>
        <v>229171.77499999994</v>
      </c>
      <c r="L12" s="1106">
        <f t="shared" ref="L12:L16" si="6">J12-K12</f>
        <v>29074.145000000048</v>
      </c>
      <c r="M12" s="1104">
        <f t="shared" si="5"/>
        <v>0.12686616840141007</v>
      </c>
    </row>
    <row r="13" spans="1:17">
      <c r="A13" s="1084"/>
      <c r="B13" s="1084"/>
      <c r="C13" s="1101" t="s">
        <v>119</v>
      </c>
      <c r="D13" s="1096"/>
      <c r="E13" s="1108">
        <f>(E12)/E7</f>
        <v>0.11761141351826578</v>
      </c>
      <c r="F13" s="1109">
        <f>(F12)/F7</f>
        <v>0.14499999999999999</v>
      </c>
      <c r="G13" s="1113">
        <f t="shared" si="1"/>
        <v>-2.7388586481734215E-2</v>
      </c>
      <c r="H13" s="1114"/>
      <c r="J13" s="1108">
        <f>(J12)/J7</f>
        <v>0.13797422671249837</v>
      </c>
      <c r="K13" s="1109">
        <f>(K12)/K7</f>
        <v>0.14499999999999999</v>
      </c>
      <c r="L13" s="1113">
        <f t="shared" si="6"/>
        <v>-7.0257732875016188E-3</v>
      </c>
      <c r="M13" s="1114"/>
    </row>
    <row r="14" spans="1:17">
      <c r="A14" s="1084"/>
      <c r="B14" s="1084"/>
      <c r="C14" s="1110" t="s">
        <v>3880</v>
      </c>
      <c r="D14" s="1096"/>
      <c r="E14" s="1099">
        <f>SUMIFS(BV_Data_An_Cour!$O:$O,BV_Data_An_Cour!$W:$W,$D$2,BV_Data_An_Cour!L:L,C33)</f>
        <v>8360</v>
      </c>
      <c r="F14" s="1115">
        <f>SUMIF(A37:A48,"X",F37:F48)*$G$33</f>
        <v>9234.7428073239898</v>
      </c>
      <c r="G14" s="1097">
        <f>E14-F14</f>
        <v>-874.74280732398984</v>
      </c>
      <c r="H14" s="1104">
        <f t="shared" ref="H14:H15" si="7">G14/F14</f>
        <v>-9.4723028629475126E-2</v>
      </c>
      <c r="J14" s="1099">
        <f>SUMIFS(BV_Data_An_Cour!$P:$P,BV_Data_An_Cour!$W:$W,$L$2,BV_Data_An_Cour!T:T,C33)</f>
        <v>108700</v>
      </c>
      <c r="K14" s="1115">
        <f>SUMIF(B37:B48,"X",F37:F48)*$G$33</f>
        <v>100800.00000000001</v>
      </c>
      <c r="L14" s="1097">
        <f t="shared" si="6"/>
        <v>7899.9999999999854</v>
      </c>
      <c r="M14" s="1104">
        <f t="shared" ref="M14:M15" si="8">L14/K14</f>
        <v>7.8373015873015719E-2</v>
      </c>
    </row>
    <row r="15" spans="1:17" ht="15">
      <c r="C15" s="1105" t="s">
        <v>3881</v>
      </c>
      <c r="D15" s="1096"/>
      <c r="E15" s="1106">
        <f>E12-E14</f>
        <v>11537.880000000001</v>
      </c>
      <c r="F15" s="1107">
        <f t="shared" ref="F15" si="9">F12-F14</f>
        <v>11760.717518300225</v>
      </c>
      <c r="G15" s="1106">
        <f t="shared" si="1"/>
        <v>-222.83751830022447</v>
      </c>
      <c r="H15" s="1104">
        <f t="shared" si="7"/>
        <v>-1.8947612503529557E-2</v>
      </c>
      <c r="J15" s="1106">
        <f t="shared" ref="J15:K15" si="10">J12-J14</f>
        <v>149545.91999999998</v>
      </c>
      <c r="K15" s="1107">
        <f t="shared" si="10"/>
        <v>128371.77499999992</v>
      </c>
      <c r="L15" s="1106">
        <f t="shared" si="6"/>
        <v>21174.145000000062</v>
      </c>
      <c r="M15" s="1104">
        <f t="shared" si="8"/>
        <v>0.16494392945801423</v>
      </c>
    </row>
    <row r="16" spans="1:17">
      <c r="C16" s="1116" t="s">
        <v>3882</v>
      </c>
      <c r="D16" s="1117"/>
      <c r="E16" s="1113">
        <f>E15/E7</f>
        <v>6.8197535405989398E-2</v>
      </c>
      <c r="F16" s="1118">
        <f>F15/F7</f>
        <v>8.1222512567265287E-2</v>
      </c>
      <c r="G16" s="1113">
        <f>E16-F16</f>
        <v>-1.3024977161275889E-2</v>
      </c>
      <c r="H16" s="1118"/>
      <c r="J16" s="1113">
        <f>J15/J7</f>
        <v>7.9898581437449781E-2</v>
      </c>
      <c r="K16" s="1118">
        <f>K15/K7</f>
        <v>8.1222512567265287E-2</v>
      </c>
      <c r="L16" s="1113">
        <f t="shared" si="6"/>
        <v>-1.323931129815506E-3</v>
      </c>
      <c r="M16" s="1119"/>
    </row>
    <row r="17" spans="3:13">
      <c r="C17" s="1120"/>
      <c r="G17" s="1121"/>
      <c r="K17" s="1121"/>
    </row>
    <row r="18" spans="3:13" ht="15">
      <c r="E18" s="1242" t="str">
        <f>CONCATENATE("Pièces Wholesale $ / livraison ",Parametres!B3," ",Parametres!B4)</f>
        <v>Pièces Wholesale $ / livraison Décembre 2024</v>
      </c>
      <c r="F18" s="1243"/>
      <c r="G18" s="1243"/>
      <c r="H18" s="1244"/>
      <c r="J18" s="1245" t="str">
        <f>CONCATENATE("Pièces Wholesale AAD $ / livraison ",Parametres!B4)</f>
        <v>Pièces Wholesale AAD $ / livraison 2024</v>
      </c>
      <c r="K18" s="1246"/>
      <c r="L18" s="1246"/>
      <c r="M18" s="1247"/>
    </row>
    <row r="19" spans="3:13" ht="15">
      <c r="C19" s="1087"/>
      <c r="D19" s="1088"/>
      <c r="E19" s="1085" t="s">
        <v>656</v>
      </c>
      <c r="F19" s="1086" t="s">
        <v>3871</v>
      </c>
      <c r="G19" s="1085" t="s">
        <v>3872</v>
      </c>
      <c r="H19" s="1086" t="s">
        <v>3873</v>
      </c>
      <c r="J19" s="1085" t="s">
        <v>656</v>
      </c>
      <c r="K19" s="1086" t="s">
        <v>3871</v>
      </c>
      <c r="L19" s="1085" t="s">
        <v>3872</v>
      </c>
      <c r="M19" s="1086" t="s">
        <v>3873</v>
      </c>
    </row>
    <row r="20" spans="3:13">
      <c r="C20" s="1095" t="s">
        <v>187</v>
      </c>
      <c r="D20" s="1096"/>
      <c r="E20" s="1097">
        <f>E7/E$6</f>
        <v>404.74459330143537</v>
      </c>
      <c r="F20" s="1098">
        <f>F7/F$6</f>
        <v>313.59027777777771</v>
      </c>
      <c r="G20" s="1099">
        <f t="shared" ref="G20:G25" si="11">E20-F20</f>
        <v>91.154315523657658</v>
      </c>
      <c r="H20" s="1100">
        <f t="shared" ref="H20:H26" si="12">G20/F20</f>
        <v>0.29067966063748046</v>
      </c>
      <c r="J20" s="1097">
        <f>J7/J$6</f>
        <v>362.6616566556869</v>
      </c>
      <c r="K20" s="1098">
        <f>K7/K$6</f>
        <v>313.59027777777766</v>
      </c>
      <c r="L20" s="1099">
        <f t="shared" ref="L20:L25" si="13">J20-K20</f>
        <v>49.07137887790924</v>
      </c>
      <c r="M20" s="1100">
        <f t="shared" ref="M20:M26" si="14">L20/K20</f>
        <v>0.15648246248464098</v>
      </c>
    </row>
    <row r="21" spans="3:13">
      <c r="C21" s="1101" t="s">
        <v>3876</v>
      </c>
      <c r="D21" s="1096"/>
      <c r="E21" s="1102">
        <f t="shared" ref="E21:F22" si="15">E8/E$6</f>
        <v>343.51200956937794</v>
      </c>
      <c r="F21" s="1103">
        <f>F8/F$6</f>
        <v>257.53988384853915</v>
      </c>
      <c r="G21" s="1097">
        <f t="shared" si="11"/>
        <v>85.97212572083879</v>
      </c>
      <c r="H21" s="1104">
        <f t="shared" si="12"/>
        <v>0.33382062784263561</v>
      </c>
      <c r="J21" s="1102">
        <f t="shared" ref="J21:K22" si="16">J8/J$6</f>
        <v>301.31618291028872</v>
      </c>
      <c r="K21" s="1103">
        <f t="shared" si="16"/>
        <v>258.26875831942533</v>
      </c>
      <c r="L21" s="1097">
        <f t="shared" si="13"/>
        <v>43.047424590863386</v>
      </c>
      <c r="M21" s="1104">
        <f t="shared" si="14"/>
        <v>0.16667685581088587</v>
      </c>
    </row>
    <row r="22" spans="3:13" ht="15">
      <c r="C22" s="1105" t="s">
        <v>202</v>
      </c>
      <c r="D22" s="1096"/>
      <c r="E22" s="1106">
        <f>E9/E$6</f>
        <v>61.232583732057421</v>
      </c>
      <c r="F22" s="1107">
        <f t="shared" si="15"/>
        <v>56.050393929238545</v>
      </c>
      <c r="G22" s="1106">
        <f t="shared" si="11"/>
        <v>5.1821898028188755</v>
      </c>
      <c r="H22" s="1104">
        <f t="shared" si="12"/>
        <v>9.2455903331583891E-2</v>
      </c>
      <c r="J22" s="1106">
        <f t="shared" si="16"/>
        <v>61.345473745398174</v>
      </c>
      <c r="K22" s="1107">
        <f t="shared" si="16"/>
        <v>55.32151945835237</v>
      </c>
      <c r="L22" s="1106">
        <f t="shared" si="13"/>
        <v>6.0239542870458038</v>
      </c>
      <c r="M22" s="1104">
        <f t="shared" si="14"/>
        <v>0.10888989214370386</v>
      </c>
    </row>
    <row r="23" spans="3:13">
      <c r="C23" s="1110" t="s">
        <v>3878</v>
      </c>
      <c r="D23" s="1096"/>
      <c r="E23" s="1099">
        <f>E11/E$6</f>
        <v>13.63</v>
      </c>
      <c r="F23" s="1111">
        <f>F11/F$6</f>
        <v>10.579803651460786</v>
      </c>
      <c r="G23" s="1099">
        <f t="shared" si="11"/>
        <v>3.050196348539215</v>
      </c>
      <c r="H23" s="1100">
        <f t="shared" si="12"/>
        <v>0.28830368209319884</v>
      </c>
      <c r="J23" s="1099">
        <f t="shared" ref="J23:K23" si="17">J11/J$6</f>
        <v>11.307512110056191</v>
      </c>
      <c r="K23" s="1111">
        <f t="shared" si="17"/>
        <v>9.8509291805746155</v>
      </c>
      <c r="L23" s="1099">
        <f t="shared" si="13"/>
        <v>1.4565829294815753</v>
      </c>
      <c r="M23" s="1100">
        <f t="shared" si="14"/>
        <v>0.14786249122101711</v>
      </c>
    </row>
    <row r="24" spans="3:13" ht="15">
      <c r="C24" s="1105" t="s">
        <v>3879</v>
      </c>
      <c r="D24" s="1096"/>
      <c r="E24" s="1106">
        <f>E12/E$6</f>
        <v>47.602583732057418</v>
      </c>
      <c r="F24" s="1107">
        <f>F12/F$6</f>
        <v>45.47059027777776</v>
      </c>
      <c r="G24" s="1122">
        <f t="shared" si="11"/>
        <v>2.1319934542796588</v>
      </c>
      <c r="H24" s="1114">
        <f t="shared" si="12"/>
        <v>4.6887305426549515E-2</v>
      </c>
      <c r="J24" s="1106">
        <f>J12/J$6</f>
        <v>50.037961635341986</v>
      </c>
      <c r="K24" s="1107">
        <f>K12/K$6</f>
        <v>45.47059027777776</v>
      </c>
      <c r="L24" s="1122">
        <f t="shared" si="13"/>
        <v>4.5673713575642267</v>
      </c>
      <c r="M24" s="1114">
        <f t="shared" si="14"/>
        <v>0.1004467135716155</v>
      </c>
    </row>
    <row r="25" spans="3:13" ht="15">
      <c r="C25" s="1110" t="s">
        <v>3880</v>
      </c>
      <c r="D25" s="1096"/>
      <c r="E25" s="1123">
        <f>E14/E$6</f>
        <v>20</v>
      </c>
      <c r="F25" s="1115">
        <f>F14/F$6</f>
        <v>20</v>
      </c>
      <c r="G25" s="1097">
        <f t="shared" si="11"/>
        <v>0</v>
      </c>
      <c r="H25" s="1104">
        <f t="shared" si="12"/>
        <v>0</v>
      </c>
      <c r="J25" s="1099">
        <f t="shared" ref="J25:K25" si="18">J14/J$6</f>
        <v>21.061809726797133</v>
      </c>
      <c r="K25" s="1115">
        <f t="shared" si="18"/>
        <v>20</v>
      </c>
      <c r="L25" s="1097">
        <f t="shared" si="13"/>
        <v>1.0618097267971329</v>
      </c>
      <c r="M25" s="1104">
        <f t="shared" si="14"/>
        <v>5.3090486339856649E-2</v>
      </c>
    </row>
    <row r="26" spans="3:13" ht="15">
      <c r="C26" s="1124" t="s">
        <v>3881</v>
      </c>
      <c r="D26" s="1096"/>
      <c r="E26" s="1122">
        <f>E15/E$6</f>
        <v>27.602583732057418</v>
      </c>
      <c r="F26" s="1125">
        <f>F15/F$6</f>
        <v>25.47059027777776</v>
      </c>
      <c r="G26" s="1122">
        <f>E26-F26</f>
        <v>2.1319934542796588</v>
      </c>
      <c r="H26" s="1114">
        <f t="shared" si="12"/>
        <v>8.3704124287207901E-2</v>
      </c>
      <c r="J26" s="1122">
        <f>J15/J$6</f>
        <v>28.976151908544853</v>
      </c>
      <c r="K26" s="1125">
        <f>K15/K$6</f>
        <v>25.470590277777756</v>
      </c>
      <c r="L26" s="1122">
        <f>J26-K26</f>
        <v>3.5055616307670974</v>
      </c>
      <c r="M26" s="1114">
        <f t="shared" si="14"/>
        <v>0.13763173890106439</v>
      </c>
    </row>
    <row r="27" spans="3:13">
      <c r="C27" s="1120"/>
      <c r="G27" s="1121"/>
      <c r="K27" s="1121"/>
    </row>
    <row r="29" spans="3:13">
      <c r="C29" s="1126" t="s">
        <v>3883</v>
      </c>
    </row>
    <row r="30" spans="3:13" ht="15">
      <c r="C30" s="1127" t="s">
        <v>3884</v>
      </c>
      <c r="E30" s="1128" t="s">
        <v>3885</v>
      </c>
      <c r="F30" s="1129"/>
      <c r="G30" s="1130">
        <f>SUMIF(A37:A48,"X",E37:E48)*$G$33-E14</f>
        <v>0</v>
      </c>
      <c r="H30" s="1131" t="s">
        <v>3886</v>
      </c>
    </row>
    <row r="31" spans="3:13" ht="15">
      <c r="C31" s="1132">
        <v>5773</v>
      </c>
      <c r="E31" s="1128" t="s">
        <v>3887</v>
      </c>
      <c r="F31" s="1129"/>
      <c r="G31" s="1130">
        <f>SUMIF(B37:B48,"X",E37:E48)*$G$33-J14</f>
        <v>-5480</v>
      </c>
      <c r="H31" s="1131" t="s">
        <v>3886</v>
      </c>
    </row>
    <row r="32" spans="3:13">
      <c r="C32" s="1127" t="s">
        <v>3888</v>
      </c>
    </row>
    <row r="33" spans="1:41" ht="15">
      <c r="C33" s="1132">
        <v>6758</v>
      </c>
      <c r="E33" s="1248" t="s">
        <v>3889</v>
      </c>
      <c r="F33" s="1248"/>
      <c r="G33" s="1133">
        <v>20</v>
      </c>
    </row>
    <row r="35" spans="1:41" ht="15">
      <c r="E35" s="1239" t="s">
        <v>3890</v>
      </c>
      <c r="F35" s="1240"/>
    </row>
    <row r="36" spans="1:41" ht="46.5" customHeight="1">
      <c r="A36" s="1134" t="s">
        <v>3</v>
      </c>
      <c r="B36" s="1134" t="s">
        <v>4</v>
      </c>
      <c r="C36" s="1135" t="s">
        <v>3</v>
      </c>
      <c r="D36" s="1129"/>
      <c r="E36" s="1136" t="s">
        <v>656</v>
      </c>
      <c r="F36" s="1136" t="s">
        <v>3891</v>
      </c>
      <c r="G36" s="1137" t="s">
        <v>3892</v>
      </c>
      <c r="H36" s="1080" t="str">
        <f>+IF(Parametres!$B$3=H$38,"X","")</f>
        <v/>
      </c>
      <c r="I36" s="1083" t="str">
        <f>+IF(Parametres!$B$3=I$38,"X","")</f>
        <v/>
      </c>
      <c r="J36" s="1083" t="str">
        <f>+IF(Parametres!$B$3=J$38,"X","")</f>
        <v/>
      </c>
      <c r="K36" s="1083" t="str">
        <f>+IF(Parametres!$B$3=K$38,"X","")</f>
        <v/>
      </c>
      <c r="L36" s="1083" t="str">
        <f>+IF(Parametres!$B$3=L$38,"X","")</f>
        <v/>
      </c>
      <c r="M36" s="1083" t="str">
        <f>+IF(Parametres!$B$3=M$38,"X","")</f>
        <v/>
      </c>
      <c r="N36" s="1083" t="str">
        <f>+IF(Parametres!$B$3=N$38,"X","")</f>
        <v/>
      </c>
      <c r="O36" s="1083" t="str">
        <f>+IF(Parametres!$B$3=O$38,"X","")</f>
        <v/>
      </c>
      <c r="P36" s="1083" t="str">
        <f>+IF(Parametres!$B$3=P$38,"X","")</f>
        <v/>
      </c>
      <c r="Q36" s="1083" t="str">
        <f>+IF(Parametres!$B$3=Q$38,"X","")</f>
        <v/>
      </c>
      <c r="R36" s="1080" t="str">
        <f>+IF(Parametres!$B$3=R$38,"X","")</f>
        <v/>
      </c>
      <c r="S36" s="1080" t="str">
        <f>+IF(Parametres!$B$3=S$38,"X","")</f>
        <v/>
      </c>
      <c r="U36" s="1080" t="str">
        <f>+IF(Parametres!$B$3=N$7,"X","")</f>
        <v/>
      </c>
      <c r="V36" s="1080" t="str">
        <f>+IF(Parametres!$B$3=N$7,"O","")</f>
        <v/>
      </c>
      <c r="W36" s="1080" t="str">
        <f>+IF(Parametres!$B$3=N$7,"U","")</f>
        <v/>
      </c>
      <c r="X36" s="1080" t="str">
        <f>+IF(Parametres!$B$3=Q$7,"X","")</f>
        <v/>
      </c>
      <c r="Y36" s="1080" t="str">
        <f>+IF(Parametres!$B$3=Q$7,"O","")</f>
        <v/>
      </c>
      <c r="Z36" s="1080" t="str">
        <f>+IF(Parametres!$B$3=Q$7,"U","")</f>
        <v/>
      </c>
      <c r="AA36" s="1080" t="str">
        <f>+IF(Parametres!$B$3=T$7,"X","")</f>
        <v/>
      </c>
      <c r="AB36" s="1080" t="str">
        <f>+IF(Parametres!$B$3=T$7,"O","")</f>
        <v/>
      </c>
      <c r="AC36" s="1080" t="str">
        <f>+IF(Parametres!$B$3=T$7,"U","")</f>
        <v/>
      </c>
      <c r="AD36" s="1080" t="str">
        <f>+IF(Parametres!$B$3=W$7,"X","")</f>
        <v/>
      </c>
      <c r="AE36" s="1080" t="str">
        <f>+IF(Parametres!$B$3=W$7,"O","")</f>
        <v/>
      </c>
      <c r="AF36" s="1080" t="str">
        <f>+IF(Parametres!$B$3=W$7,"U","")</f>
        <v/>
      </c>
      <c r="AG36" s="1080" t="str">
        <f>+IF(Parametres!$B$3=Z$7,"X","")</f>
        <v/>
      </c>
      <c r="AH36" s="1080" t="str">
        <f>+IF(Parametres!$B$3=Z$7,"O","")</f>
        <v/>
      </c>
      <c r="AI36" s="1080" t="str">
        <f>+IF(Parametres!$B$3=Z$7,"U","")</f>
        <v/>
      </c>
      <c r="AJ36" s="1080" t="str">
        <f>+IF(Parametres!$B$3=AC$7,"X","")</f>
        <v/>
      </c>
      <c r="AK36" s="1080" t="str">
        <f>+IF(Parametres!$B$3=AC$7,"O","")</f>
        <v/>
      </c>
      <c r="AL36" s="1080" t="str">
        <f>+IF(Parametres!$B$3=AC$7,"U","")</f>
        <v/>
      </c>
      <c r="AM36" s="1080" t="str">
        <f>+IF(Parametres!$B$3=AF$7,"X","")</f>
        <v/>
      </c>
      <c r="AN36" s="1080" t="str">
        <f>+IF(Parametres!$B$3=AF$7,"O","")</f>
        <v/>
      </c>
      <c r="AO36" s="1080" t="str">
        <f>+IF(Parametres!$B$3=AF$7,"U","")</f>
        <v/>
      </c>
    </row>
    <row r="37" spans="1:41" ht="15">
      <c r="A37" s="1138" t="str">
        <f>+IF(Parametres!$B$3=$C37,"X","")</f>
        <v/>
      </c>
      <c r="B37" s="1138" t="str">
        <f>+IF(VLOOKUP($C37,Parametres!$K$3:$N$14,4,0)="X","X","")</f>
        <v>X</v>
      </c>
      <c r="C37" s="1139" t="s">
        <v>8</v>
      </c>
      <c r="E37" s="1140">
        <v>533</v>
      </c>
      <c r="F37" s="1140">
        <v>418.92206904918402</v>
      </c>
      <c r="G37" s="1140">
        <v>4014.4</v>
      </c>
      <c r="H37" s="1080"/>
      <c r="I37" s="1080"/>
      <c r="J37" s="1185"/>
      <c r="K37" s="1154"/>
      <c r="L37" s="1080"/>
      <c r="M37" s="1080"/>
    </row>
    <row r="38" spans="1:41" ht="15">
      <c r="A38" s="1138" t="str">
        <f>+IF(Parametres!$B$3=$C38,"X","")</f>
        <v/>
      </c>
      <c r="B38" s="1138" t="str">
        <f>+IF(VLOOKUP($C38,Parametres!$K$3:$N$14,4,0)="X","X","")</f>
        <v>X</v>
      </c>
      <c r="C38" s="1141" t="s">
        <v>10</v>
      </c>
      <c r="E38" s="1140">
        <v>433</v>
      </c>
      <c r="F38" s="1140">
        <v>311.9435150172892</v>
      </c>
      <c r="G38" s="1140">
        <v>3551.28</v>
      </c>
      <c r="H38" s="1080"/>
      <c r="I38" s="1080"/>
      <c r="J38" s="1185"/>
      <c r="K38" s="1080"/>
      <c r="L38" s="1080"/>
      <c r="M38" s="1080"/>
    </row>
    <row r="39" spans="1:41" ht="15">
      <c r="A39" s="1080" t="str">
        <f>+IF(Parametres!$B$3=$C39,"X","")</f>
        <v/>
      </c>
      <c r="B39" s="1080" t="str">
        <f>+IF(VLOOKUP($C39,Parametres!$K$3:$N$14,4,0)="X","X","")</f>
        <v>X</v>
      </c>
      <c r="C39" s="1141" t="s">
        <v>11</v>
      </c>
      <c r="E39" s="1140">
        <v>429</v>
      </c>
      <c r="F39" s="1140">
        <v>418.68023703135316</v>
      </c>
      <c r="G39" s="1140">
        <v>4269.5213600121897</v>
      </c>
      <c r="H39" s="1080"/>
      <c r="I39" s="1080"/>
      <c r="J39" s="1185"/>
      <c r="K39" s="1080"/>
      <c r="L39" s="1080"/>
      <c r="M39" s="1080"/>
    </row>
    <row r="40" spans="1:41" ht="15">
      <c r="A40" s="1080" t="str">
        <f>+IF(Parametres!$B$3=$C40,"X","")</f>
        <v/>
      </c>
      <c r="B40" s="1080" t="str">
        <f>+IF(VLOOKUP($C40,Parametres!$K$3:$N$14,4,0)="X","X","")</f>
        <v>X</v>
      </c>
      <c r="C40" s="1141" t="s">
        <v>12</v>
      </c>
      <c r="E40" s="1140">
        <v>469</v>
      </c>
      <c r="F40" s="1140">
        <v>365.36471094335428</v>
      </c>
      <c r="G40" s="1140">
        <v>3179.2297395705646</v>
      </c>
      <c r="H40" s="1080"/>
      <c r="I40" s="1080"/>
      <c r="J40" s="1185"/>
      <c r="K40" s="1080"/>
      <c r="L40" s="1080"/>
      <c r="M40" s="1080"/>
    </row>
    <row r="41" spans="1:41" ht="15">
      <c r="A41" s="1080" t="str">
        <f>+IF(Parametres!$B$3=$C41,"X","")</f>
        <v/>
      </c>
      <c r="B41" s="1080" t="str">
        <f>+IF(VLOOKUP($C41,Parametres!$K$3:$N$14,4,0)="X","X","")</f>
        <v>X</v>
      </c>
      <c r="C41" s="1141" t="s">
        <v>13</v>
      </c>
      <c r="E41" s="1140">
        <v>461</v>
      </c>
      <c r="F41" s="1140">
        <v>375.8793196965787</v>
      </c>
      <c r="G41" s="1140">
        <v>4267.0566844986533</v>
      </c>
      <c r="H41" s="1080"/>
      <c r="I41" s="1080"/>
      <c r="J41" s="1185"/>
      <c r="K41" s="1187"/>
      <c r="L41" s="1080"/>
      <c r="M41" s="1080"/>
    </row>
    <row r="42" spans="1:41" ht="15">
      <c r="A42" s="1080" t="str">
        <f>+IF(Parametres!$B$3=$C42,"X","")</f>
        <v/>
      </c>
      <c r="B42" s="1080" t="str">
        <f>+IF(VLOOKUP($C42,Parametres!$K$3:$N$14,4,0)="X","X","")</f>
        <v>X</v>
      </c>
      <c r="C42" s="1141" t="s">
        <v>14</v>
      </c>
      <c r="E42" s="1140">
        <v>365</v>
      </c>
      <c r="F42" s="1140">
        <v>427.89426555292169</v>
      </c>
      <c r="G42" s="1140">
        <v>3723.6816888350295</v>
      </c>
      <c r="J42" s="1186"/>
      <c r="N42" s="1083"/>
      <c r="O42" s="1083"/>
      <c r="P42" s="1083"/>
      <c r="Q42" s="1083"/>
      <c r="R42" s="1129"/>
      <c r="S42" s="1129"/>
    </row>
    <row r="43" spans="1:41" ht="15">
      <c r="A43" s="1080" t="str">
        <f>+IF(Parametres!$B$3=$C43,"X","")</f>
        <v/>
      </c>
      <c r="B43" s="1080" t="str">
        <f>+IF(VLOOKUP($C43,Parametres!$K$3:$N$14,4,0)="X","X","")</f>
        <v>X</v>
      </c>
      <c r="C43" s="1141" t="s">
        <v>16</v>
      </c>
      <c r="E43" s="1140">
        <v>378</v>
      </c>
      <c r="F43" s="1140">
        <v>456.46099473794209</v>
      </c>
      <c r="G43" s="1140">
        <v>3830.8432589235963</v>
      </c>
      <c r="N43" s="1083"/>
      <c r="O43" s="1083"/>
      <c r="P43" s="1083"/>
      <c r="Q43" s="1083"/>
      <c r="R43" s="1129"/>
      <c r="S43" s="1129"/>
    </row>
    <row r="44" spans="1:41" ht="15">
      <c r="A44" s="1080" t="str">
        <f>+IF(Parametres!$B$3=$C44,"X","")</f>
        <v/>
      </c>
      <c r="B44" s="1080" t="str">
        <f>+IF(VLOOKUP($C44,Parametres!$K$3:$N$14,4,0)="X","X","")</f>
        <v>X</v>
      </c>
      <c r="C44" s="1141" t="s">
        <v>18</v>
      </c>
      <c r="E44" s="1140">
        <v>413</v>
      </c>
      <c r="F44" s="1140">
        <v>398.12415969308483</v>
      </c>
      <c r="G44" s="1140">
        <v>4360.9631518134156</v>
      </c>
      <c r="H44" s="1129"/>
      <c r="I44" s="1130"/>
      <c r="N44" s="1083"/>
      <c r="O44" s="1083"/>
      <c r="P44" s="1083"/>
      <c r="Q44" s="1083"/>
      <c r="R44" s="1129"/>
      <c r="S44" s="1129"/>
    </row>
    <row r="45" spans="1:41" ht="15">
      <c r="A45" s="1080" t="str">
        <f>+IF(Parametres!$B$3=$C45,"X","")</f>
        <v/>
      </c>
      <c r="B45" s="1080" t="str">
        <f>+IF(VLOOKUP($C45,Parametres!$K$3:$N$14,4,0)="X","X","")</f>
        <v>X</v>
      </c>
      <c r="C45" s="1141" t="s">
        <v>20</v>
      </c>
      <c r="E45" s="1140">
        <v>447</v>
      </c>
      <c r="F45" s="1140">
        <v>476.56079414871488</v>
      </c>
      <c r="G45" s="1140">
        <v>4652.1062293742398</v>
      </c>
      <c r="H45" s="1129"/>
      <c r="I45" s="1130"/>
      <c r="N45" s="1083"/>
      <c r="O45" s="1083"/>
      <c r="P45" s="1083"/>
      <c r="Q45" s="1083"/>
      <c r="R45" s="1129"/>
      <c r="S45" s="1129"/>
    </row>
    <row r="46" spans="1:41" ht="18" customHeight="1">
      <c r="A46" s="1080" t="str">
        <f>+IF(Parametres!$B$3=$C46,"X","")</f>
        <v/>
      </c>
      <c r="B46" s="1080" t="str">
        <f>+IF(VLOOKUP($C46,Parametres!$K$3:$N$14,4,0)="X","X","")</f>
        <v>X</v>
      </c>
      <c r="C46" s="1141" t="s">
        <v>22</v>
      </c>
      <c r="E46" s="1140">
        <v>430</v>
      </c>
      <c r="F46" s="1140">
        <v>479.32101018309692</v>
      </c>
      <c r="G46" s="1140">
        <v>4057.5556394164596</v>
      </c>
      <c r="H46" s="1129"/>
      <c r="I46" s="1130"/>
      <c r="N46" s="1083"/>
      <c r="O46" s="1083"/>
      <c r="P46" s="1083"/>
      <c r="Q46" s="1083"/>
      <c r="R46" s="1129"/>
      <c r="S46" s="1129"/>
    </row>
    <row r="47" spans="1:41" ht="15">
      <c r="A47" s="1080" t="str">
        <f>+IF(Parametres!$B$3=$C47,"X","")</f>
        <v/>
      </c>
      <c r="B47" s="1080" t="str">
        <f>+IF(VLOOKUP($C47,Parametres!$K$3:$N$14,4,0)="X","X","")</f>
        <v>X</v>
      </c>
      <c r="C47" s="1142" t="s">
        <v>23</v>
      </c>
      <c r="E47" s="1140">
        <v>385</v>
      </c>
      <c r="F47" s="1140">
        <v>449.1117835802815</v>
      </c>
      <c r="G47" s="1140">
        <v>4856.9570339905476</v>
      </c>
    </row>
    <row r="48" spans="1:41" ht="15">
      <c r="A48" s="1080" t="str">
        <f>+IF(Parametres!$B$3=$C48,"X","")</f>
        <v>X</v>
      </c>
      <c r="B48" s="1080" t="str">
        <f>+IF(VLOOKUP($C48,Parametres!$K$3:$N$14,4,0)="X","X","")</f>
        <v>X</v>
      </c>
      <c r="C48" s="1143" t="s">
        <v>6</v>
      </c>
      <c r="E48" s="1144">
        <v>418</v>
      </c>
      <c r="F48" s="1144">
        <v>461.73714036619947</v>
      </c>
      <c r="G48" s="1144">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9" t="s">
        <v>644</v>
      </c>
      <c r="C1" s="1250"/>
      <c r="D1" s="1250"/>
      <c r="E1" s="1250"/>
      <c r="F1" s="1250"/>
      <c r="G1" s="1250"/>
      <c r="H1" s="1250"/>
      <c r="I1" s="1250"/>
      <c r="J1" s="1250"/>
      <c r="K1" s="1250"/>
      <c r="L1" s="1250"/>
      <c r="M1" s="1250"/>
      <c r="N1" s="1250"/>
      <c r="O1" s="1250"/>
      <c r="P1" s="1250"/>
      <c r="Q1" s="1250"/>
      <c r="R1" s="1250"/>
      <c r="S1" s="1250"/>
      <c r="T1" s="1251"/>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40</v>
      </c>
      <c r="D5" s="560">
        <f>Print_Mois!L27/Print_Mois!J27</f>
        <v>3057.55</v>
      </c>
      <c r="E5" s="561">
        <f t="shared" ref="E5:E6" si="0">+C5*D5</f>
        <v>122302</v>
      </c>
      <c r="F5" s="3"/>
      <c r="G5" s="231" t="s">
        <v>656</v>
      </c>
      <c r="H5" s="559">
        <f>Print_Mois!J108</f>
        <v>40</v>
      </c>
      <c r="I5" s="560">
        <f>Print_Mois!L108/Print_Mois!J108</f>
        <v>1066.7134999999989</v>
      </c>
      <c r="J5" s="561">
        <f t="shared" ref="J5:J6" si="1">+H5*I5</f>
        <v>42668.539999999957</v>
      </c>
      <c r="K5" s="3"/>
      <c r="L5" s="231" t="s">
        <v>656</v>
      </c>
      <c r="M5" s="560">
        <f>Print_Mois!K194</f>
        <v>254702.71999999997</v>
      </c>
      <c r="N5" s="562">
        <f t="shared" ref="N5:N6" si="2">O5/M5</f>
        <v>0.73760252736994736</v>
      </c>
      <c r="O5" s="560">
        <f>Print_Mois!L194</f>
        <v>187869.37000000002</v>
      </c>
      <c r="P5" s="3"/>
      <c r="Q5" s="231" t="s">
        <v>656</v>
      </c>
      <c r="R5" s="563">
        <f>Print_Mois!J185</f>
        <v>752</v>
      </c>
      <c r="S5" s="560">
        <f>Print_Mois!K185/Print_Mois!J185</f>
        <v>317.8084308510638</v>
      </c>
      <c r="T5" s="561">
        <f t="shared" ref="T5:T6" si="3">+R5*S5</f>
        <v>238991.93999999997</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40</v>
      </c>
      <c r="D7" s="570" t="e">
        <f t="shared" si="4"/>
        <v>#DIV/0!</v>
      </c>
      <c r="E7" s="571" t="e">
        <f t="shared" si="4"/>
        <v>#DIV/0!</v>
      </c>
      <c r="F7" s="3"/>
      <c r="G7" s="133" t="s">
        <v>655</v>
      </c>
      <c r="H7" s="569">
        <f t="shared" ref="H7:J7" si="5">+H5-H6</f>
        <v>40</v>
      </c>
      <c r="I7" s="570" t="e">
        <f t="shared" si="5"/>
        <v>#DIV/0!</v>
      </c>
      <c r="J7" s="571" t="e">
        <f t="shared" si="5"/>
        <v>#DIV/0!</v>
      </c>
      <c r="K7" s="3"/>
      <c r="L7" s="133" t="s">
        <v>655</v>
      </c>
      <c r="M7" s="570">
        <f t="shared" ref="M7:O7" si="6">+M5-M6</f>
        <v>254702.71999999997</v>
      </c>
      <c r="N7" s="572" t="e">
        <f t="shared" si="6"/>
        <v>#DIV/0!</v>
      </c>
      <c r="O7" s="571">
        <f t="shared" si="6"/>
        <v>187869.37000000002</v>
      </c>
      <c r="P7" s="3"/>
      <c r="Q7" s="133" t="s">
        <v>655</v>
      </c>
      <c r="R7" s="573">
        <f t="shared" ref="R7:T7" si="7">+R5-R6</f>
        <v>752</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40</v>
      </c>
      <c r="D10" s="561">
        <f t="shared" si="12"/>
        <v>3057.55</v>
      </c>
      <c r="E10" s="566">
        <f>+C10*D10</f>
        <v>122302</v>
      </c>
      <c r="F10" s="3"/>
      <c r="G10" s="133" t="s">
        <v>660</v>
      </c>
      <c r="H10" s="577">
        <f t="shared" ref="H10:I10" si="13">+H5</f>
        <v>40</v>
      </c>
      <c r="I10" s="561">
        <f t="shared" si="13"/>
        <v>1066.7134999999989</v>
      </c>
      <c r="J10" s="566">
        <f>+H10*I10</f>
        <v>42668.539999999957</v>
      </c>
      <c r="K10" s="3"/>
      <c r="L10" s="133" t="s">
        <v>661</v>
      </c>
      <c r="M10" s="561">
        <f t="shared" ref="M10:N10" si="14">+M5</f>
        <v>254702.71999999997</v>
      </c>
      <c r="N10" s="562">
        <f t="shared" si="14"/>
        <v>0.73760252736994736</v>
      </c>
      <c r="O10" s="566">
        <f>+M10*N10</f>
        <v>187869.37000000002</v>
      </c>
      <c r="P10" s="3"/>
      <c r="Q10" s="133" t="s">
        <v>662</v>
      </c>
      <c r="R10" s="578">
        <f t="shared" ref="R10:S10" si="15">+R5</f>
        <v>752</v>
      </c>
      <c r="S10" s="561">
        <f t="shared" si="15"/>
        <v>317.8084308510638</v>
      </c>
      <c r="T10" s="566">
        <f>+R10*S10</f>
        <v>238991.93999999997</v>
      </c>
      <c r="U10" s="3"/>
      <c r="V10" s="3"/>
      <c r="W10" s="3"/>
      <c r="X10" s="3"/>
      <c r="Y10" s="3"/>
      <c r="Z10" s="3"/>
    </row>
    <row r="11" spans="1:26">
      <c r="A11" s="3"/>
      <c r="B11" s="133" t="s">
        <v>663</v>
      </c>
      <c r="C11" s="577">
        <f>+C5</f>
        <v>40</v>
      </c>
      <c r="D11" s="566" t="e">
        <f>+D6</f>
        <v>#DIV/0!</v>
      </c>
      <c r="E11" s="566" t="e">
        <f>C11*D11</f>
        <v>#DIV/0!</v>
      </c>
      <c r="F11" s="3"/>
      <c r="G11" s="133" t="s">
        <v>663</v>
      </c>
      <c r="H11" s="577">
        <f>+H5</f>
        <v>40</v>
      </c>
      <c r="I11" s="566" t="e">
        <f>+I6</f>
        <v>#DIV/0!</v>
      </c>
      <c r="J11" s="566" t="e">
        <f>H11*I11</f>
        <v>#DIV/0!</v>
      </c>
      <c r="K11" s="3"/>
      <c r="L11" s="133" t="s">
        <v>663</v>
      </c>
      <c r="M11" s="561">
        <f>+M5</f>
        <v>254702.71999999997</v>
      </c>
      <c r="N11" s="567" t="e">
        <f>+N6</f>
        <v>#DIV/0!</v>
      </c>
      <c r="O11" s="566" t="e">
        <f>M11*N11</f>
        <v>#DIV/0!</v>
      </c>
      <c r="P11" s="3"/>
      <c r="Q11" s="133" t="s">
        <v>664</v>
      </c>
      <c r="R11" s="578">
        <f>+R5</f>
        <v>752</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40</v>
      </c>
      <c r="D15" s="566" t="e">
        <f>+D6</f>
        <v>#DIV/0!</v>
      </c>
      <c r="E15" s="566" t="e">
        <f>+C15*D15</f>
        <v>#DIV/0!</v>
      </c>
      <c r="F15" s="3"/>
      <c r="G15" s="133" t="s">
        <v>667</v>
      </c>
      <c r="H15" s="577">
        <f t="shared" ref="H15:H16" si="21">+H5</f>
        <v>40</v>
      </c>
      <c r="I15" s="566" t="e">
        <f>+I6</f>
        <v>#DIV/0!</v>
      </c>
      <c r="J15" s="566" t="e">
        <f>+H15*I15</f>
        <v>#DIV/0!</v>
      </c>
      <c r="K15" s="3"/>
      <c r="L15" s="133" t="s">
        <v>668</v>
      </c>
      <c r="M15" s="561">
        <f t="shared" ref="M15:M16" si="22">+M5</f>
        <v>254702.71999999997</v>
      </c>
      <c r="N15" s="567" t="e">
        <f>+N6</f>
        <v>#DIV/0!</v>
      </c>
      <c r="O15" s="566" t="e">
        <f>+M15*N15</f>
        <v>#DIV/0!</v>
      </c>
      <c r="P15" s="3"/>
      <c r="Q15" s="133" t="s">
        <v>669</v>
      </c>
      <c r="R15" s="578">
        <f t="shared" ref="R15:R16" si="23">+R5</f>
        <v>752</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40</v>
      </c>
      <c r="D17" s="570" t="e">
        <f t="shared" si="24"/>
        <v>#DIV/0!</v>
      </c>
      <c r="E17" s="571" t="e">
        <f t="shared" si="24"/>
        <v>#DIV/0!</v>
      </c>
      <c r="F17" s="3"/>
      <c r="G17" s="133" t="s">
        <v>665</v>
      </c>
      <c r="H17" s="569">
        <f t="shared" ref="H17:J17" si="25">+H15-H16</f>
        <v>40</v>
      </c>
      <c r="I17" s="570" t="e">
        <f t="shared" si="25"/>
        <v>#DIV/0!</v>
      </c>
      <c r="J17" s="571" t="e">
        <f t="shared" si="25"/>
        <v>#DIV/0!</v>
      </c>
      <c r="K17" s="3"/>
      <c r="L17" s="133" t="s">
        <v>665</v>
      </c>
      <c r="M17" s="570">
        <f t="shared" ref="M17:O17" si="26">+M15-M16</f>
        <v>254702.71999999997</v>
      </c>
      <c r="N17" s="572" t="e">
        <f t="shared" si="26"/>
        <v>#DIV/0!</v>
      </c>
      <c r="O17" s="571" t="e">
        <f t="shared" si="26"/>
        <v>#DIV/0!</v>
      </c>
      <c r="P17" s="3"/>
      <c r="Q17" s="133" t="s">
        <v>665</v>
      </c>
      <c r="R17" s="573">
        <f t="shared" ref="R17:T17" si="27">+R15-R16</f>
        <v>752</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40</v>
      </c>
      <c r="D20" s="566" t="e">
        <f t="shared" si="28"/>
        <v>#DIV/0!</v>
      </c>
      <c r="E20" s="566" t="e">
        <f>+C20*D20</f>
        <v>#DIV/0!</v>
      </c>
      <c r="F20" s="3"/>
      <c r="G20" s="133" t="s">
        <v>672</v>
      </c>
      <c r="H20" s="579">
        <f t="shared" ref="H20:I20" si="29">MAX(H5:H6)</f>
        <v>40</v>
      </c>
      <c r="I20" s="566" t="e">
        <f t="shared" si="29"/>
        <v>#DIV/0!</v>
      </c>
      <c r="J20" s="566" t="e">
        <f>+H20*I20</f>
        <v>#DIV/0!</v>
      </c>
      <c r="K20" s="3"/>
      <c r="L20" s="133" t="s">
        <v>672</v>
      </c>
      <c r="M20" s="566">
        <f t="shared" ref="M20:N20" si="30">MAX(M5:M6)</f>
        <v>254702.71999999997</v>
      </c>
      <c r="N20" s="567" t="e">
        <f t="shared" si="30"/>
        <v>#DIV/0!</v>
      </c>
      <c r="O20" s="566" t="e">
        <f>+M20*N20</f>
        <v>#DIV/0!</v>
      </c>
      <c r="P20" s="3"/>
      <c r="Q20" s="133" t="s">
        <v>672</v>
      </c>
      <c r="R20" s="580">
        <f t="shared" ref="R20:S20" si="31">MAX(R5:R6)</f>
        <v>752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40</v>
      </c>
      <c r="D23" s="570" t="e">
        <f t="shared" si="36"/>
        <v>#DIV/0!</v>
      </c>
      <c r="E23" s="570" t="e">
        <f t="shared" si="36"/>
        <v>#DIV/0!</v>
      </c>
      <c r="F23" s="3"/>
      <c r="G23" s="133" t="s">
        <v>674</v>
      </c>
      <c r="H23" s="569">
        <f t="shared" ref="H23:J23" si="37">+H20-H22</f>
        <v>40</v>
      </c>
      <c r="I23" s="570" t="e">
        <f t="shared" si="37"/>
        <v>#DIV/0!</v>
      </c>
      <c r="J23" s="570" t="e">
        <f t="shared" si="37"/>
        <v>#DIV/0!</v>
      </c>
      <c r="K23" s="3"/>
      <c r="L23" s="133" t="s">
        <v>674</v>
      </c>
      <c r="M23" s="570">
        <f t="shared" ref="M23:O23" si="38">+M20-M22</f>
        <v>254702.71999999997</v>
      </c>
      <c r="N23" s="572" t="e">
        <f t="shared" si="38"/>
        <v>#DIV/0!</v>
      </c>
      <c r="O23" s="570" t="e">
        <f t="shared" si="38"/>
        <v>#DIV/0!</v>
      </c>
      <c r="P23" s="3"/>
      <c r="Q23" s="133" t="s">
        <v>674</v>
      </c>
      <c r="R23" s="573">
        <f t="shared" ref="R23:T23" si="39">+R20-R22</f>
        <v>752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40</v>
      </c>
      <c r="D32" s="566">
        <f t="shared" ref="D32:D33" si="40">+E32/C32</f>
        <v>274.6677821899637</v>
      </c>
      <c r="E32" s="566">
        <f>+Print_Mois!N78</f>
        <v>10986.711287598548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40</v>
      </c>
      <c r="D33" s="566">
        <f t="shared" si="40"/>
        <v>16.000687500000005</v>
      </c>
      <c r="E33" s="566">
        <f>+Print_Mois!N82</f>
        <v>640.02750000000015</v>
      </c>
      <c r="F33" s="3"/>
      <c r="G33" s="133" t="s">
        <v>681</v>
      </c>
      <c r="H33" s="588">
        <f>+H17</f>
        <v>40</v>
      </c>
      <c r="I33" s="566">
        <f>+J33/H33</f>
        <v>-94.105437500000022</v>
      </c>
      <c r="J33" s="566">
        <f>+Print_Mois!N159</f>
        <v>-3764.2175000000007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11626.738787598548</v>
      </c>
      <c r="F34" s="3"/>
      <c r="G34" s="3"/>
      <c r="H34" s="3"/>
      <c r="I34" s="3"/>
      <c r="J34" s="570">
        <f>SUM(J32:J33)</f>
        <v>-3764.2175000000007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C1" sqref="C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Décembre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5" t="s">
        <v>343</v>
      </c>
      <c r="E3" s="1226"/>
      <c r="F3" s="1227"/>
      <c r="G3" s="1230"/>
      <c r="H3" s="1226"/>
      <c r="I3" s="1227"/>
      <c r="J3" s="1230" t="s">
        <v>344</v>
      </c>
      <c r="K3" s="1226"/>
      <c r="L3" s="1227"/>
      <c r="M3" s="1230" t="s">
        <v>3310</v>
      </c>
      <c r="N3" s="1227"/>
      <c r="O3" s="1225" t="s">
        <v>345</v>
      </c>
      <c r="P3" s="1226"/>
      <c r="Q3" s="1227"/>
      <c r="R3" s="1228" t="s">
        <v>3312</v>
      </c>
      <c r="S3" s="1229"/>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32266637.104539726</v>
      </c>
      <c r="G5" s="246"/>
      <c r="H5" s="247"/>
      <c r="I5" s="249"/>
      <c r="J5" s="246"/>
      <c r="K5" s="250"/>
      <c r="L5" s="248">
        <f>-SUMIFS(BV_Data_An_Cour!$P:$P,BV_Data_An_Cour!$X:$X,"Oui",BV_Data_An_Cour!$U:$U,$B5)</f>
        <v>38196010.660000004</v>
      </c>
      <c r="M5" s="251"/>
      <c r="N5" s="252"/>
      <c r="O5" s="246"/>
      <c r="P5" s="250"/>
      <c r="Q5" s="248" cm="1">
        <f t="array" ref="Q5">+SUMPRODUCT(('Réel 2023'!$A$8:$A$501=$A5)*('Réel 2023'!$C$3:$AO$3=Q$2),'Réel 2023'!$C$8:$AO$501)</f>
        <v>46883613.60999997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120</v>
      </c>
      <c r="E6" s="254">
        <f t="shared" ref="E6:E12" si="2">IF(D6=0,0,F6/D6)</f>
        <v>2187.1313189070997</v>
      </c>
      <c r="F6" s="254" cm="1">
        <f t="array" ref="F6">+SUMPRODUCT(('Budget original'!$A$8:$A$501=$A6)*('Budget original'!$C$3:$AO$3=F$2),'Budget original'!$C$8:$AO$501)</f>
        <v>262455.75826885196</v>
      </c>
      <c r="G6" s="255"/>
      <c r="H6" s="254"/>
      <c r="I6" s="254"/>
      <c r="J6" s="255">
        <f>-SUMIFS(BV_Data_An_Cour!$P:$P,BV_Data_An_Cour!$U:$U,$B6,BV_Data_An_Cour!$V:$V,$C6,BV_Data_An_Cour!$W:$W,J$2)</f>
        <v>183</v>
      </c>
      <c r="K6" s="254">
        <f t="shared" ref="K6:K12" si="3">IF(J6=0,0,L6/J6)</f>
        <v>1942.5737704917976</v>
      </c>
      <c r="L6" s="256">
        <f>-SUMIFS(BV_Data_An_Cour!$P:$P,BV_Data_An_Cour!$U:$U,$B6,BV_Data_An_Cour!$V:$V,$C6,BV_Data_An_Cour!$W:$W,L$2)</f>
        <v>355490.99999999895</v>
      </c>
      <c r="M6" s="255">
        <f t="shared" ref="M6:M12" si="4">J6-D6</f>
        <v>63</v>
      </c>
      <c r="N6" s="256">
        <f t="shared" ref="N6:N12" si="5">L6-F6</f>
        <v>93035.241731146991</v>
      </c>
      <c r="O6" s="255" cm="1">
        <f t="array" ref="O6">+SUMPRODUCT(('Réel 2023'!$A$8:$A$501=$A6)*('Réel 2023'!$C$3:$AO$3=O$2),'Réel 2023'!$C$8:$AO$501)</f>
        <v>160</v>
      </c>
      <c r="P6" s="254">
        <f t="shared" ref="P6:P12" si="6">IF(O6=0,0,Q6/O6)</f>
        <v>2077.4208749999957</v>
      </c>
      <c r="Q6" s="256" cm="1">
        <f t="array" ref="Q6">+SUMPRODUCT(('Réel 2023'!$A$8:$A$501=$A6)*('Réel 2023'!$C$3:$AO$3=Q$2),'Réel 2023'!$C$8:$AO$501)</f>
        <v>332387.33999999933</v>
      </c>
      <c r="R6" s="255">
        <f t="shared" ref="R6:R12" si="7">J6-O6</f>
        <v>23</v>
      </c>
      <c r="S6" s="256">
        <f t="shared" ref="S6:S12" si="8">L6-Q6</f>
        <v>23103.659999999625</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496</v>
      </c>
      <c r="E7" s="254">
        <f t="shared" si="2"/>
        <v>2858.8784302962704</v>
      </c>
      <c r="F7" s="254" cm="1">
        <f t="array" ref="F7">+SUMPRODUCT(('Budget original'!$A$8:$A$501=$A7)*('Budget original'!$C$3:$AO$3=F$2),'Budget original'!$C$8:$AO$501)</f>
        <v>1418003.7014269501</v>
      </c>
      <c r="G7" s="255"/>
      <c r="H7" s="254"/>
      <c r="I7" s="254"/>
      <c r="J7" s="255">
        <f>-SUMIFS(BV_Data_An_Cour!$P:$P,BV_Data_An_Cour!$U:$U,$B7,BV_Data_An_Cour!$V:$V,$C7,BV_Data_An_Cour!$W:$W,J$2)</f>
        <v>489</v>
      </c>
      <c r="K7" s="254">
        <f t="shared" si="3"/>
        <v>2368.9078118609445</v>
      </c>
      <c r="L7" s="256">
        <f>-SUMIFS(BV_Data_An_Cour!$P:$P,BV_Data_An_Cour!$U:$U,$B7,BV_Data_An_Cour!$V:$V,$C7,BV_Data_An_Cour!$W:$W,L$2)</f>
        <v>1158395.9200000018</v>
      </c>
      <c r="M7" s="255">
        <f t="shared" si="4"/>
        <v>-7</v>
      </c>
      <c r="N7" s="256">
        <f t="shared" si="5"/>
        <v>-259607.78142694826</v>
      </c>
      <c r="O7" s="255" cm="1">
        <f t="array" ref="O7">+SUMPRODUCT(('Réel 2023'!$A$8:$A$501=$A7)*('Réel 2023'!$C$3:$AO$3=O$2),'Réel 2023'!$C$8:$AO$501)</f>
        <v>402</v>
      </c>
      <c r="P7" s="254">
        <f t="shared" si="6"/>
        <v>2485.1099751243746</v>
      </c>
      <c r="Q7" s="256" cm="1">
        <f t="array" ref="Q7">+SUMPRODUCT(('Réel 2023'!$A$8:$A$501=$A7)*('Réel 2023'!$C$3:$AO$3=Q$2),'Réel 2023'!$C$8:$AO$501)</f>
        <v>999014.20999999857</v>
      </c>
      <c r="R7" s="255">
        <f t="shared" si="7"/>
        <v>87</v>
      </c>
      <c r="S7" s="256">
        <f t="shared" si="8"/>
        <v>159381.71000000322</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616</v>
      </c>
      <c r="E13" s="260">
        <f>IF(D13&lt;=0,0,F13/D13)</f>
        <v>2728.0186034022763</v>
      </c>
      <c r="F13" s="261">
        <f t="shared" ref="F13" si="9">+SUM(F6:F12)</f>
        <v>1680459.4596958021</v>
      </c>
      <c r="G13" s="262"/>
      <c r="H13" s="260"/>
      <c r="I13" s="261"/>
      <c r="J13" s="262">
        <f t="shared" ref="J13" si="10">+SUM(J6:J12)</f>
        <v>672</v>
      </c>
      <c r="K13" s="260">
        <f>IF(J13&lt;=0,0,L13/J13)</f>
        <v>2252.807916666668</v>
      </c>
      <c r="L13" s="261">
        <f t="shared" ref="L13" si="11">+SUM(L6:L12)</f>
        <v>1513886.9200000009</v>
      </c>
      <c r="M13" s="262">
        <f>+SUM(M6:M12)</f>
        <v>56</v>
      </c>
      <c r="N13" s="261">
        <f t="shared" ref="N13" si="12">+SUM(N6:N12)</f>
        <v>-166572.53969580127</v>
      </c>
      <c r="O13" s="262">
        <f>+SUM(O6:O12)</f>
        <v>562</v>
      </c>
      <c r="P13" s="260">
        <f>IF(O13&lt;=0,0,Q13/O13)</f>
        <v>2369.0419039145872</v>
      </c>
      <c r="Q13" s="261">
        <f t="shared" ref="Q13" si="13">+SUM(Q6:Q12)</f>
        <v>1331401.549999998</v>
      </c>
      <c r="R13" s="262">
        <f t="shared" ref="R13:S13" si="14">+SUM(R6:R12)</f>
        <v>110</v>
      </c>
      <c r="S13" s="261">
        <f t="shared" si="14"/>
        <v>182485.37000000285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9.0909090909090912E-2</v>
      </c>
      <c r="N14" s="265">
        <f>IF(F13=0,0,N13/F13)</f>
        <v>-9.9123212246937722E-2</v>
      </c>
      <c r="O14" s="253"/>
      <c r="P14" s="254"/>
      <c r="Q14" s="263"/>
      <c r="R14" s="264">
        <f>R13/O13</f>
        <v>0.19572953736654805</v>
      </c>
      <c r="S14" s="265">
        <f>IF(Q13=0,0,(S13/Q13))</f>
        <v>0.13706260894769359</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48.995000000000005</v>
      </c>
      <c r="E15" s="250">
        <f>IF(D15=0,0,F15/D15)</f>
        <v>2522.7033983960591</v>
      </c>
      <c r="F15" s="248" cm="1">
        <f t="array" ref="F15">+SUMPRODUCT(('Budget original'!$A$8:$A$501=$A15)*('Budget original'!$C$3:$AO$3=F$2),'Budget original'!$C$8:$AO$501)</f>
        <v>123599.85300441494</v>
      </c>
      <c r="G15" s="267"/>
      <c r="H15" s="250"/>
      <c r="I15" s="248"/>
      <c r="J15" s="268">
        <f>-SUMIFS(BV_Data_An_Cour!$P:$P,BV_Data_An_Cour!$U:$U,$B15,BV_Data_An_Cour!$V:$V,$C15,BV_Data_An_Cour!$W:$W,J$2)</f>
        <v>41</v>
      </c>
      <c r="K15" s="269">
        <f>IF(J15=0,0,L15/J15)</f>
        <v>1567.393658536583</v>
      </c>
      <c r="L15" s="269">
        <f>-SUMIFS(BV_Data_An_Cour!$P:$P,BV_Data_An_Cour!$U:$U,$B15,BV_Data_An_Cour!$V:$V,$C15,BV_Data_An_Cour!$W:$W,L$2)</f>
        <v>64263.139999999898</v>
      </c>
      <c r="M15" s="267">
        <f>J15-D15</f>
        <v>-7.9950000000000045</v>
      </c>
      <c r="N15" s="248">
        <f>L15-F15</f>
        <v>-59336.71300441504</v>
      </c>
      <c r="O15" s="268" cm="1">
        <f t="array" ref="O15">+SUMPRODUCT(('Réel 2023'!$A$8:$A$501=$A15)*('Réel 2023'!$C$3:$AO$3=O$2),'Réel 2023'!$C$8:$AO$501)</f>
        <v>42</v>
      </c>
      <c r="P15" s="269">
        <f>IF(O15=0,0,Q15/O15)</f>
        <v>2481.1169047619005</v>
      </c>
      <c r="Q15" s="269" cm="1">
        <f t="array" ref="Q15">+SUMPRODUCT(('Réel 2023'!$A$8:$A$501=$A15)*('Réel 2023'!$C$3:$AO$3=Q$2),'Réel 2023'!$C$8:$AO$501)</f>
        <v>104206.90999999983</v>
      </c>
      <c r="R15" s="267">
        <f>J15-O15</f>
        <v>-1</v>
      </c>
      <c r="S15" s="248">
        <f>L15-Q15</f>
        <v>-39943.769999999931</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44.774999999999999</v>
      </c>
      <c r="E17" s="254">
        <f>IF(D17=0,0,F17/D17)</f>
        <v>2664.4640678584237</v>
      </c>
      <c r="F17" s="254" cm="1">
        <f t="array" ref="F17">+SUMPRODUCT(('Budget original'!$A$8:$A$501=$A17)*('Budget original'!$C$3:$AO$3=F$2),'Budget original'!$C$8:$AO$501)</f>
        <v>119301.37863836091</v>
      </c>
      <c r="G17" s="255"/>
      <c r="H17" s="254"/>
      <c r="I17" s="254"/>
      <c r="J17" s="267">
        <f>-SUMIFS(BV_Data_An_Cour!$P:$P,BV_Data_An_Cour!$U:$U,$B17,BV_Data_An_Cour!$V:$V,$C17,BV_Data_An_Cour!$W:$W,J$2)</f>
        <v>20</v>
      </c>
      <c r="K17" s="254">
        <f>IF(J17=0,0,L17/J17)</f>
        <v>1710.961499999999</v>
      </c>
      <c r="L17" s="256">
        <f>-SUMIFS(BV_Data_An_Cour!$P:$P,BV_Data_An_Cour!$U:$U,$B17,BV_Data_An_Cour!$V:$V,$C17,BV_Data_An_Cour!$W:$W,L$2)</f>
        <v>34219.229999999981</v>
      </c>
      <c r="M17" s="267">
        <f>J17-D17</f>
        <v>-24.774999999999999</v>
      </c>
      <c r="N17" s="256">
        <f>L17-F17</f>
        <v>-85082.14863836093</v>
      </c>
      <c r="O17" s="267" cm="1">
        <f t="array" ref="O17">+SUMPRODUCT(('Réel 2023'!$A$8:$A$501=$A17)*('Réel 2023'!$C$3:$AO$3=O$2),'Réel 2023'!$C$8:$AO$501)</f>
        <v>26</v>
      </c>
      <c r="P17" s="254">
        <f>IF(O17=0,0,Q17/O17)</f>
        <v>2968.8999999999965</v>
      </c>
      <c r="Q17" s="256" cm="1">
        <f t="array" ref="Q17">+SUMPRODUCT(('Réel 2023'!$A$8:$A$501=$A17)*('Réel 2023'!$C$3:$AO$3=Q$2),'Réel 2023'!$C$8:$AO$501)</f>
        <v>77191.399999999907</v>
      </c>
      <c r="R17" s="255">
        <f>J17-O17</f>
        <v>-6</v>
      </c>
      <c r="S17" s="256">
        <f>L17-Q17</f>
        <v>-42972.169999999925</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3195624.1500000008</v>
      </c>
      <c r="Y18" s="459">
        <f t="shared" ref="Y18:Y19" si="15">+X18-W18</f>
        <v>3195624.1500000008</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84575</v>
      </c>
      <c r="G19" s="255"/>
      <c r="H19" s="254"/>
      <c r="I19" s="254"/>
      <c r="J19" s="267"/>
      <c r="K19" s="254"/>
      <c r="L19" s="256">
        <f>-SUMIFS(BV_Data_An_Cour!$P:$P,BV_Data_An_Cour!$U:$U,$B19,BV_Data_An_Cour!$V:$V,$C19,BV_Data_An_Cour!$W:$W,L$2)</f>
        <v>91424.370000000112</v>
      </c>
      <c r="M19" s="255"/>
      <c r="N19" s="256">
        <f>L19-F19</f>
        <v>6849.3700000001118</v>
      </c>
      <c r="O19" s="267" cm="1">
        <f t="array" ref="O19">+SUMPRODUCT(('Réel 2023'!$A$8:$A$501=$A19)*('Réel 2023'!$C$3:$AO$3=O$2),'Réel 2023'!$C$8:$AO$501)</f>
        <v>0</v>
      </c>
      <c r="P19" s="254">
        <f>IF(O19=0,0,Q19/O19)</f>
        <v>0</v>
      </c>
      <c r="Q19" s="256" cm="1">
        <f t="array" ref="Q19">+SUMPRODUCT(('Réel 2023'!$A$8:$A$501=$A19)*('Réel 2023'!$C$3:$AO$3=Q$2),'Réel 2023'!$C$8:$AO$501)</f>
        <v>99141.099999999802</v>
      </c>
      <c r="R19" s="255">
        <f>O19-K19</f>
        <v>0</v>
      </c>
      <c r="S19" s="256">
        <f>L19-Q19</f>
        <v>-7716.7299999996903</v>
      </c>
      <c r="T19" s="41"/>
      <c r="U19" s="41"/>
      <c r="V19" s="41" t="s">
        <v>693</v>
      </c>
      <c r="W19" s="459">
        <f>+I194+I250+I314</f>
        <v>0</v>
      </c>
      <c r="X19" s="459">
        <f>+L194+L250+L314</f>
        <v>4033985.3099999996</v>
      </c>
      <c r="Y19" s="459">
        <f t="shared" si="15"/>
        <v>4033985.3099999996</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132999</v>
      </c>
      <c r="G21" s="253"/>
      <c r="H21" s="254"/>
      <c r="I21" s="254"/>
      <c r="J21" s="255"/>
      <c r="K21" s="254">
        <f>IF(J13=0,0,L21/(J13+J15))</f>
        <v>15.171051893408134</v>
      </c>
      <c r="L21" s="256">
        <f>-SUMIFS(BV_Data_An_Cour!$P:$P,BV_Data_An_Cour!$U:$U,$B21,BV_Data_An_Cour!$V:$V,$C21,BV_Data_An_Cour!$W:$W,L$2)</f>
        <v>10816.96</v>
      </c>
      <c r="M21" s="255"/>
      <c r="N21" s="256">
        <f>L21-F21</f>
        <v>-122182.04000000001</v>
      </c>
      <c r="O21" s="255"/>
      <c r="P21" s="254"/>
      <c r="Q21" s="256" cm="1">
        <f t="array" ref="Q21">+SUMPRODUCT(('Réel 2023'!$A$8:$A$501=$A21)*('Réel 2023'!$C$3:$AO$3=Q$2),'Réel 2023'!$C$8:$AO$501)</f>
        <v>83527.029999999984</v>
      </c>
      <c r="R21" s="255">
        <f t="shared" ref="R21:R23" si="16">O21-K21</f>
        <v>-15.171051893408134</v>
      </c>
      <c r="S21" s="256">
        <f t="shared" ref="S21:S24" si="17">L21-Q21</f>
        <v>-72710.069999999978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718194.6</v>
      </c>
      <c r="G22" s="253"/>
      <c r="H22" s="254"/>
      <c r="I22" s="254"/>
      <c r="J22" s="255"/>
      <c r="K22" s="254">
        <f>IF(J13=0,0,L22/(J13+J15))</f>
        <v>882.44753155680235</v>
      </c>
      <c r="L22" s="256">
        <f>-SUMIFS(BV_Data_An_Cour!$P:$P,BV_Data_An_Cour!$U:$U,$B22,BV_Data_An_Cour!$V:$V,$C22,BV_Data_An_Cour!$W:$W,L$2)</f>
        <v>629185.09000000008</v>
      </c>
      <c r="M22" s="255"/>
      <c r="N22" s="256">
        <f>L22-F22</f>
        <v>-89009.509999999893</v>
      </c>
      <c r="O22" s="255"/>
      <c r="P22" s="254"/>
      <c r="Q22" s="256" cm="1">
        <f t="array" ref="Q22">+SUMPRODUCT(('Réel 2023'!$A$8:$A$501=$A22)*('Réel 2023'!$C$3:$AO$3=Q$2),'Réel 2023'!$C$8:$AO$501)</f>
        <v>587178.38</v>
      </c>
      <c r="R22" s="255">
        <f t="shared" si="16"/>
        <v>-882.44753155680235</v>
      </c>
      <c r="S22" s="256">
        <f t="shared" si="17"/>
        <v>42006.710000000079</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13299.900000000001</v>
      </c>
      <c r="G23" s="253"/>
      <c r="H23" s="254"/>
      <c r="I23" s="254"/>
      <c r="J23" s="255"/>
      <c r="K23" s="254">
        <f>IF(J13=0,0,L23/(J13+J15))</f>
        <v>10.581304347826087</v>
      </c>
      <c r="L23" s="256">
        <f>-SUMIFS(BV_Data_An_Cour!$P:$P,BV_Data_An_Cour!$U:$U,$B23,BV_Data_An_Cour!$V:$V,$C23,BV_Data_An_Cour!$W:$W,L$2)</f>
        <v>7544.47</v>
      </c>
      <c r="M23" s="267"/>
      <c r="N23" s="256">
        <f>L23-F23</f>
        <v>-5755.4300000000012</v>
      </c>
      <c r="O23" s="255"/>
      <c r="P23" s="254"/>
      <c r="Q23" s="256" cm="1">
        <f t="array" ref="Q23">+SUMPRODUCT(('Réel 2023'!$A$8:$A$501=$A23)*('Réel 2023'!$C$3:$AO$3=Q$2),'Réel 2023'!$C$8:$AO$501)</f>
        <v>7744.08</v>
      </c>
      <c r="R23" s="255">
        <f t="shared" si="16"/>
        <v>-10.581304347826087</v>
      </c>
      <c r="S23" s="256">
        <f t="shared" si="17"/>
        <v>-199.60999999999967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664.995</v>
      </c>
      <c r="E24" s="260">
        <f>IF(D24&lt;=0,0,F24/D24)</f>
        <v>1300</v>
      </c>
      <c r="F24" s="261">
        <f>F21+F22+F23</f>
        <v>864493.5</v>
      </c>
      <c r="G24" s="262"/>
      <c r="H24" s="260"/>
      <c r="I24" s="261"/>
      <c r="J24" s="262">
        <f>+J15+J13</f>
        <v>713</v>
      </c>
      <c r="K24" s="260">
        <f>IF(J24&lt;=0,0,L24/J24)</f>
        <v>908.19988779803646</v>
      </c>
      <c r="L24" s="261">
        <f>L21+L22+L23</f>
        <v>647546.52</v>
      </c>
      <c r="M24" s="275">
        <f>J24-D24</f>
        <v>48.004999999999995</v>
      </c>
      <c r="N24" s="261">
        <f>L24-F24</f>
        <v>-216946.97999999998</v>
      </c>
      <c r="O24" s="262">
        <f>+O15+O13</f>
        <v>604</v>
      </c>
      <c r="P24" s="260">
        <f>IF(O24&lt;=0,0,Q24/O24)</f>
        <v>1123.2607450331125</v>
      </c>
      <c r="Q24" s="261">
        <f>Q21+Q22+Q23</f>
        <v>678449.49</v>
      </c>
      <c r="R24" s="273"/>
      <c r="S24" s="261">
        <f t="shared" si="17"/>
        <v>-30902.969999999972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-0.25095270236271294</v>
      </c>
      <c r="O25" s="253"/>
      <c r="P25" s="41"/>
      <c r="Q25" s="276"/>
      <c r="R25" s="277"/>
      <c r="S25" s="265">
        <f>IF(Q24=0,0,(S24/Q24))</f>
        <v>-4.5549404127343325E-2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709.77</v>
      </c>
      <c r="E27" s="280">
        <f>IF(D27&lt;=0,0,F27/D27)</f>
        <v>4046.9859128148241</v>
      </c>
      <c r="F27" s="281">
        <f>F13+F17+F24+F19+F15</f>
        <v>2872429.1913385778</v>
      </c>
      <c r="G27" s="282"/>
      <c r="H27" s="280"/>
      <c r="I27" s="281"/>
      <c r="J27" s="282">
        <f>+J13+J15+J17</f>
        <v>733</v>
      </c>
      <c r="K27" s="280">
        <f>IF(J27&lt;=0,0,L27/J27)</f>
        <v>3207.8310777626202</v>
      </c>
      <c r="L27" s="281">
        <f>L13+L17+L24+L19+L15</f>
        <v>2351340.1800000006</v>
      </c>
      <c r="M27" s="282">
        <f>J27-D27</f>
        <v>23.230000000000018</v>
      </c>
      <c r="N27" s="281">
        <f>L27-F27</f>
        <v>-521089.01133857714</v>
      </c>
      <c r="O27" s="282">
        <f>+O13+O15+O17</f>
        <v>630</v>
      </c>
      <c r="P27" s="280">
        <f>IF(O27&lt;=0,0,Q27/O27)</f>
        <v>3635.5403968253927</v>
      </c>
      <c r="Q27" s="281">
        <f>Q13+Q17+Q24+Q19+Q15</f>
        <v>2290390.4499999974</v>
      </c>
      <c r="R27" s="282">
        <f>J27-O27</f>
        <v>103</v>
      </c>
      <c r="S27" s="281">
        <f>L27-Q27</f>
        <v>60949.730000003241</v>
      </c>
      <c r="T27" s="41"/>
      <c r="U27" s="41">
        <f>+S27/R27</f>
        <v>591.74495145634216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0.81858943193104616</v>
      </c>
      <c r="M28" s="286">
        <f>M27/D27</f>
        <v>3.2728912182819814E-2</v>
      </c>
      <c r="N28" s="287">
        <f>N27/F27</f>
        <v>-0.18141056806895386</v>
      </c>
      <c r="O28" s="283"/>
      <c r="P28" s="284"/>
      <c r="Q28" s="285"/>
      <c r="R28" s="286">
        <f>R27/O27</f>
        <v>0.16349206349206349</v>
      </c>
      <c r="S28" s="287">
        <f>IF(Q27=0,0,S27/Q27)</f>
        <v>2.6611065375339523E-2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922.38312516345832</v>
      </c>
      <c r="F31" s="254" cm="1">
        <f t="array" ref="F31">+SUMPRODUCT(('Budget original'!$A$8:$A$501=$A31)*('Budget original'!$C$3:$AO$3=F$2),'Budget original'!$C$8:$AO$501)</f>
        <v>613380.16631807399</v>
      </c>
      <c r="G31" s="298"/>
      <c r="H31" s="291"/>
      <c r="I31" s="254"/>
      <c r="J31" s="292">
        <f>L31/(L13+L15+L17)</f>
        <v>0.29782803665281904</v>
      </c>
      <c r="K31" s="291">
        <f t="shared" ref="K31:K40" si="19">IF(L31=0,0,L31/J$24)</f>
        <v>673.50460028050497</v>
      </c>
      <c r="L31" s="254">
        <f>SUMIFS(BV_Data_An_Cour!$P:$P,BV_Data_An_Cour!$U:$U,$B31,BV_Data_An_Cour!$V:$V,$C31,BV_Data_An_Cour!$W:$W,L$2)</f>
        <v>480208.78</v>
      </c>
      <c r="M31" s="253"/>
      <c r="N31" s="276">
        <f t="shared" ref="N31:N53" si="20">L31-F31</f>
        <v>-133171.38631807396</v>
      </c>
      <c r="O31" s="253"/>
      <c r="P31" s="291">
        <f t="shared" ref="P31:P40" si="21">Q31/O$24</f>
        <v>709.4751324503311</v>
      </c>
      <c r="Q31" s="256" cm="1">
        <f t="array" ref="Q31">+SUMPRODUCT(('Réel 2023'!$A$8:$A$501=$A31)*('Réel 2023'!$C$3:$AO$3=Q$2),'Réel 2023'!$C$8:$AO$501)</f>
        <v>428522.98</v>
      </c>
      <c r="R31" s="253"/>
      <c r="S31" s="276">
        <f t="shared" ref="S31:S41" si="22">L31-Q31</f>
        <v>51685.800000000047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390</v>
      </c>
      <c r="F32" s="248" cm="1">
        <f t="array" ref="F32">+SUMPRODUCT(('Budget original'!$A$8:$A$501=$A32)*('Budget original'!$C$3:$AO$3=F$2),'Budget original'!$C$8:$AO$501)</f>
        <v>259348.05</v>
      </c>
      <c r="G32" s="300"/>
      <c r="H32" s="294"/>
      <c r="I32" s="248"/>
      <c r="J32" s="295">
        <f>L32/L24</f>
        <v>0.2741217573063322</v>
      </c>
      <c r="K32" s="294">
        <f t="shared" si="19"/>
        <v>248.95734922861149</v>
      </c>
      <c r="L32" s="248">
        <f>SUMIFS(BV_Data_An_Cour!$P:$P,BV_Data_An_Cour!$U:$U,$B32,BV_Data_An_Cour!$V:$V,$C32,BV_Data_An_Cour!$W:$W,L$2)</f>
        <v>177506.59</v>
      </c>
      <c r="M32" s="246"/>
      <c r="N32" s="296">
        <f t="shared" si="20"/>
        <v>-81841.459999999992</v>
      </c>
      <c r="O32" s="246"/>
      <c r="P32" s="294">
        <f t="shared" si="21"/>
        <v>343.70249999999999</v>
      </c>
      <c r="Q32" s="248" cm="1">
        <f t="array" ref="Q32">+SUMPRODUCT(('Réel 2023'!$A$8:$A$501=$A32)*('Réel 2023'!$C$3:$AO$3=Q$2),'Réel 2023'!$C$8:$AO$501)</f>
        <v>207596.31</v>
      </c>
      <c r="R32" s="246"/>
      <c r="S32" s="296">
        <f t="shared" si="22"/>
        <v>-30089.72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76474.425000000003</v>
      </c>
      <c r="G33" s="298"/>
      <c r="H33" s="291"/>
      <c r="I33" s="254"/>
      <c r="J33" s="253"/>
      <c r="K33" s="291">
        <f t="shared" si="19"/>
        <v>122.99883590462832</v>
      </c>
      <c r="L33" s="254">
        <f>SUMIFS(BV_Data_An_Cour!$P:$P,BV_Data_An_Cour!$U:$U,$B33,BV_Data_An_Cour!$V:$V,$C33,BV_Data_An_Cour!$W:$W,L$2)</f>
        <v>87698.17</v>
      </c>
      <c r="M33" s="253"/>
      <c r="N33" s="276">
        <f t="shared" si="20"/>
        <v>11223.744999999995</v>
      </c>
      <c r="O33" s="253"/>
      <c r="P33" s="291">
        <f t="shared" si="21"/>
        <v>122.55435430463577</v>
      </c>
      <c r="Q33" s="256" cm="1">
        <f t="array" ref="Q33">+SUMPRODUCT(('Réel 2023'!$A$8:$A$501=$A33)*('Réel 2023'!$C$3:$AO$3=Q$2),'Réel 2023'!$C$8:$AO$501)</f>
        <v>74022.83</v>
      </c>
      <c r="R33" s="253"/>
      <c r="S33" s="276">
        <f t="shared" si="22"/>
        <v>13675.339999999997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2.9999999999999996</v>
      </c>
      <c r="F34" s="254" cm="1">
        <f t="array" ref="F34">+SUMPRODUCT(('Budget original'!$A$8:$A$501=$A34)*('Budget original'!$C$3:$AO$3=F$2),'Budget original'!$C$8:$AO$501)</f>
        <v>1994.9849999999997</v>
      </c>
      <c r="G34" s="298"/>
      <c r="H34" s="291"/>
      <c r="I34" s="254"/>
      <c r="J34" s="253"/>
      <c r="K34" s="291">
        <f t="shared" si="19"/>
        <v>21.524347826086956</v>
      </c>
      <c r="L34" s="254">
        <f>SUMIFS(BV_Data_An_Cour!$P:$P,BV_Data_An_Cour!$U:$U,$B34,BV_Data_An_Cour!$V:$V,$C34,BV_Data_An_Cour!$W:$W,L$2)</f>
        <v>15346.86</v>
      </c>
      <c r="M34" s="253"/>
      <c r="N34" s="276">
        <f t="shared" si="20"/>
        <v>13351.875</v>
      </c>
      <c r="O34" s="253"/>
      <c r="P34" s="291">
        <f t="shared" si="21"/>
        <v>13.843327814569538</v>
      </c>
      <c r="Q34" s="256" cm="1">
        <f t="array" ref="Q34">+SUMPRODUCT(('Réel 2023'!$A$8:$A$501=$A34)*('Réel 2023'!$C$3:$AO$3=Q$2),'Réel 2023'!$C$8:$AO$501)</f>
        <v>8361.3700000000008</v>
      </c>
      <c r="R34" s="253"/>
      <c r="S34" s="276">
        <f t="shared" si="22"/>
        <v>6985.49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v>
      </c>
      <c r="F35" s="248" cm="1">
        <f t="array" ref="F35">+SUMPRODUCT(('Budget original'!$A$8:$A$501=$A35)*('Budget original'!$C$3:$AO$3=F$2),'Budget original'!$C$8:$AO$501)</f>
        <v>56557.82475</v>
      </c>
      <c r="G35" s="300"/>
      <c r="H35" s="294"/>
      <c r="I35" s="248"/>
      <c r="J35" s="246"/>
      <c r="K35" s="294">
        <f t="shared" si="19"/>
        <v>122.40061711079944</v>
      </c>
      <c r="L35" s="248">
        <f>SUMIFS(BV_Data_An_Cour!$P:$P,BV_Data_An_Cour!$U:$U,$B35,BV_Data_An_Cour!$V:$V,$C35,BV_Data_An_Cour!$W:$W,L$2)</f>
        <v>87271.64</v>
      </c>
      <c r="M35" s="246"/>
      <c r="N35" s="296">
        <f t="shared" si="20"/>
        <v>30713.81525</v>
      </c>
      <c r="O35" s="246"/>
      <c r="P35" s="294">
        <f t="shared" si="21"/>
        <v>79.811440397350992</v>
      </c>
      <c r="Q35" s="256" cm="1">
        <f t="array" ref="Q35">+SUMPRODUCT(('Réel 2023'!$A$8:$A$501=$A35)*('Réel 2023'!$C$3:$AO$3=Q$2),'Réel 2023'!$C$8:$AO$501)</f>
        <v>48206.11</v>
      </c>
      <c r="R35" s="246"/>
      <c r="S35" s="296">
        <f t="shared" si="22"/>
        <v>39065.53</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116.29034804772968</v>
      </c>
      <c r="F36" s="254" cm="1">
        <f t="array" ref="F36">+SUMPRODUCT(('Budget original'!$A$8:$A$501=$A36)*('Budget original'!$C$3:$AO$3=F$2),'Budget original'!$C$8:$AO$501)</f>
        <v>77332.5</v>
      </c>
      <c r="G36" s="298"/>
      <c r="H36" s="291"/>
      <c r="I36" s="254"/>
      <c r="J36" s="253"/>
      <c r="K36" s="291">
        <f t="shared" si="19"/>
        <v>144.03688639551191</v>
      </c>
      <c r="L36" s="301">
        <f>SUMIFS(BV_Data_An_Cour!$P:$P,BV_Data_An_Cour!$U:$U,$B36,BV_Data_An_Cour!$V:$V,$C36,BV_Data_An_Cour!$W:$W,L$2)</f>
        <v>102698.29999999999</v>
      </c>
      <c r="M36" s="41"/>
      <c r="N36" s="276">
        <f t="shared" si="20"/>
        <v>25365.799999999988</v>
      </c>
      <c r="O36" s="253"/>
      <c r="P36" s="291">
        <f t="shared" si="21"/>
        <v>100.76802980132439</v>
      </c>
      <c r="Q36" s="272" cm="1">
        <f t="array" ref="Q36">+SUMPRODUCT(('Réel 2023'!$A$8:$A$501=$A36)*('Réel 2023'!$C$3:$AO$3=Q$2),'Réel 2023'!$C$8:$AO$501)</f>
        <v>60863.889999999927</v>
      </c>
      <c r="R36" s="253"/>
      <c r="S36" s="276">
        <f t="shared" si="22"/>
        <v>41834.410000000062</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306.72127074983638</v>
      </c>
      <c r="F37" s="254" cm="1">
        <f t="array" ref="F37">+SUMPRODUCT(('Budget original'!$A$8:$A$501=$A37)*('Budget original'!$C$3:$AO$3=F$2),'Budget original'!$C$8:$AO$501)</f>
        <v>203968.11144228745</v>
      </c>
      <c r="G37" s="298"/>
      <c r="H37" s="291"/>
      <c r="I37" s="254"/>
      <c r="J37" s="253"/>
      <c r="K37" s="291">
        <f t="shared" si="19"/>
        <v>430.43816269284707</v>
      </c>
      <c r="L37" s="951">
        <f>SUMIFS(BV_Data_An_Cour!$P:$P,BV_Data_An_Cour!$U:$U,$B37,BV_Data_An_Cour!$V:$V,$C37,BV_Data_An_Cour!$W:$W,L$2)</f>
        <v>306902.40999999997</v>
      </c>
      <c r="M37" s="986"/>
      <c r="N37" s="961">
        <f t="shared" si="20"/>
        <v>102934.29855771252</v>
      </c>
      <c r="O37" s="253"/>
      <c r="P37" s="291">
        <f t="shared" si="21"/>
        <v>121.38026490066224</v>
      </c>
      <c r="Q37" s="256" cm="1">
        <f t="array" ref="Q37">+SUMPRODUCT(('Réel 2023'!$A$8:$A$501=$A37)*('Réel 2023'!$C$3:$AO$3=Q$2),'Réel 2023'!$C$8:$AO$501)</f>
        <v>73313.679999999993</v>
      </c>
      <c r="R37" s="253"/>
      <c r="S37" s="276">
        <f t="shared" si="22"/>
        <v>233588.72999999998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0.44876861243345384</v>
      </c>
      <c r="F41" s="307">
        <f>SUM(F31:F40)</f>
        <v>1289056.0625103614</v>
      </c>
      <c r="G41" s="308"/>
      <c r="H41" s="306"/>
      <c r="I41" s="307"/>
      <c r="J41" s="308" t="s">
        <v>119</v>
      </c>
      <c r="K41" s="306">
        <f>L41/L$27</f>
        <v>0.53485784859934626</v>
      </c>
      <c r="L41" s="307">
        <f>SUM(L31:L40)</f>
        <v>1257632.75</v>
      </c>
      <c r="M41" s="309"/>
      <c r="N41" s="307">
        <f t="shared" si="20"/>
        <v>-31423.312510361429</v>
      </c>
      <c r="O41" s="308" t="s">
        <v>119</v>
      </c>
      <c r="P41" s="306">
        <f>Q41/Q$27</f>
        <v>0.39333344670556103</v>
      </c>
      <c r="Q41" s="310">
        <f>SUM(Q31:Q40)</f>
        <v>900887.16999999993</v>
      </c>
      <c r="R41" s="311"/>
      <c r="S41" s="307">
        <f t="shared" si="22"/>
        <v>356745.58000000007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230110.85</v>
      </c>
      <c r="G42" s="253"/>
      <c r="H42" s="41"/>
      <c r="I42" s="254"/>
      <c r="J42" s="253"/>
      <c r="K42" s="41"/>
      <c r="L42" s="256">
        <f>SUMIFS(BV_Data_An_Cour!$P:$P,BV_Data_An_Cour!$U:$U,$B42,BV_Data_An_Cour!$V:$V,$C42,BV_Data_An_Cour!$W:$W,L$2)</f>
        <v>192636.23</v>
      </c>
      <c r="M42" s="253"/>
      <c r="N42" s="276">
        <f t="shared" si="20"/>
        <v>-37474.619999999995</v>
      </c>
      <c r="O42" s="253"/>
      <c r="P42" s="41"/>
      <c r="Q42" s="256" cm="1">
        <f t="array" ref="Q42">+SUMPRODUCT(('Réel 2023'!$A$8:$A$501=$A42)*('Réel 2023'!$C$3:$AO$3=Q$2),'Réel 2023'!$C$8:$AO$501)</f>
        <v>161101.4</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145957.64400000003</v>
      </c>
      <c r="G43" s="298"/>
      <c r="H43" s="41"/>
      <c r="I43" s="248"/>
      <c r="J43" s="253"/>
      <c r="K43" s="604"/>
      <c r="L43" s="256">
        <f>SUMIFS(BV_Data_An_Cour!$P:$P,BV_Data_An_Cour!$U:$U,$B43,BV_Data_An_Cour!$V:$V,$C43,BV_Data_An_Cour!$W:$W,L$2)</f>
        <v>119210.41</v>
      </c>
      <c r="M43" s="253"/>
      <c r="N43" s="276">
        <f t="shared" si="20"/>
        <v>-26747.234000000026</v>
      </c>
      <c r="O43" s="253"/>
      <c r="P43" s="41"/>
      <c r="Q43" s="256" cm="1">
        <f t="array" ref="Q43">+SUMPRODUCT(('Réel 2023'!$A$8:$A$501=$A43)*('Réel 2023'!$C$3:$AO$3=Q$2),'Réel 2023'!$C$8:$AO$501)</f>
        <v>144740.67000000001</v>
      </c>
      <c r="R43" s="253"/>
      <c r="S43" s="276">
        <f t="shared" ref="S43:S53" si="23">L43-Q43</f>
        <v>-25530.260000000009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34636.600000000006</v>
      </c>
      <c r="G44" s="316"/>
      <c r="H44" s="315"/>
      <c r="I44" s="254"/>
      <c r="J44" s="241"/>
      <c r="K44" s="315"/>
      <c r="L44" s="272">
        <f>SUMIFS(BV_Data_An_Cour!$P:$P,BV_Data_An_Cour!$U:$U,$B44,BV_Data_An_Cour!$V:$V,$C44,BV_Data_An_Cour!$W:$W,L$2)</f>
        <v>41466.120000000003</v>
      </c>
      <c r="M44" s="241"/>
      <c r="N44" s="317">
        <f t="shared" si="20"/>
        <v>6829.5199999999968</v>
      </c>
      <c r="O44" s="241"/>
      <c r="P44" s="315"/>
      <c r="Q44" s="272" cm="1">
        <f t="array" ref="Q44">+SUMPRODUCT(('Réel 2023'!$A$8:$A$501=$A44)*('Réel 2023'!$C$3:$AO$3=Q$2),'Réel 2023'!$C$8:$AO$501)</f>
        <v>115434.12000000002</v>
      </c>
      <c r="R44" s="241"/>
      <c r="S44" s="317">
        <f t="shared" si="23"/>
        <v>-73968.000000000029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138466.75834874599</v>
      </c>
      <c r="G49" s="298"/>
      <c r="H49" s="41"/>
      <c r="I49" s="248"/>
      <c r="J49" s="253"/>
      <c r="K49" s="41"/>
      <c r="L49" s="248">
        <f>SUMIFS(BV_Data_An_Cour!$P:$P,BV_Data_An_Cour!$U:$U,$B49,BV_Data_An_Cour!$V:$V,$C49,BV_Data_An_Cour!$W:$W,L$2)</f>
        <v>130545.49</v>
      </c>
      <c r="M49" s="253"/>
      <c r="N49" s="276">
        <f t="shared" si="20"/>
        <v>-7921.2683487459872</v>
      </c>
      <c r="O49" s="253"/>
      <c r="P49" s="41"/>
      <c r="Q49" s="248" cm="1">
        <f t="array" ref="Q49">+SUMPRODUCT(('Réel 2023'!$A$8:$A$501=$A49)*('Réel 2023'!$C$3:$AO$3=Q$2),'Réel 2023'!$C$8:$AO$501)</f>
        <v>126459.04000000001</v>
      </c>
      <c r="R49" s="253"/>
      <c r="S49" s="276">
        <f t="shared" si="23"/>
        <v>4086.4499999999971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168356.05860904799</v>
      </c>
      <c r="G50" s="316"/>
      <c r="H50" s="315"/>
      <c r="I50" s="254"/>
      <c r="J50" s="241"/>
      <c r="K50" s="315"/>
      <c r="L50" s="256">
        <f>SUMIFS(BV_Data_An_Cour!$P:$P,BV_Data_An_Cour!$U:$U,$B50,BV_Data_An_Cour!$V:$V,$C50,BV_Data_An_Cour!$W:$W,L$2)</f>
        <v>175655.29</v>
      </c>
      <c r="M50" s="241"/>
      <c r="N50" s="317">
        <f t="shared" si="20"/>
        <v>7299.2313909520162</v>
      </c>
      <c r="O50" s="241"/>
      <c r="P50" s="315"/>
      <c r="Q50" s="256" cm="1">
        <f t="array" ref="Q50">+SUMPRODUCT(('Réel 2023'!$A$8:$A$501=$A50)*('Réel 2023'!$C$3:$AO$3=Q$2),'Réel 2023'!$C$8:$AO$501)</f>
        <v>156049.84999999998</v>
      </c>
      <c r="R50" s="241"/>
      <c r="S50" s="317">
        <f t="shared" si="23"/>
        <v>19605.440000000031</v>
      </c>
      <c r="T50" s="41"/>
      <c r="U50" s="254">
        <f>L50-Print_Mois!L50</f>
        <v>164394.35</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86739.969326835591</v>
      </c>
      <c r="G51" s="298"/>
      <c r="H51" s="41"/>
      <c r="I51" s="254"/>
      <c r="J51" s="253"/>
      <c r="K51" s="41"/>
      <c r="L51" s="256">
        <f>SUMIFS(BV_Data_An_Cour!$P:$P,BV_Data_An_Cour!$U:$U,$B51,BV_Data_An_Cour!$V:$V,$C51,BV_Data_An_Cour!$W:$W,L$2)</f>
        <v>75545.53</v>
      </c>
      <c r="M51" s="253"/>
      <c r="N51" s="276">
        <f t="shared" si="20"/>
        <v>-11194.439326835593</v>
      </c>
      <c r="O51" s="253"/>
      <c r="P51" s="41"/>
      <c r="Q51" s="256" cm="1">
        <f t="array" ref="Q51">+SUMPRODUCT(('Réel 2023'!$A$8:$A$501=$A51)*('Réel 2023'!$C$3:$AO$3=Q$2),'Réel 2023'!$C$8:$AO$501)</f>
        <v>74708.680000000008</v>
      </c>
      <c r="R51" s="253"/>
      <c r="S51" s="276">
        <f t="shared" si="23"/>
        <v>836.84999999999127</v>
      </c>
      <c r="T51" s="41"/>
      <c r="U51" s="254">
        <f>L51-Print_Mois!L51</f>
        <v>71363.13</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37819.114615076003</v>
      </c>
      <c r="G52" s="298"/>
      <c r="H52" s="41"/>
      <c r="I52" s="254"/>
      <c r="J52" s="253"/>
      <c r="K52" s="41"/>
      <c r="L52" s="256">
        <f>SUMIFS(BV_Data_An_Cour!$P:$P,BV_Data_An_Cour!$U:$U,$B52,BV_Data_An_Cour!$V:$V,$C52,BV_Data_An_Cour!$W:$W,L$2)</f>
        <v>30693.23</v>
      </c>
      <c r="M52" s="253"/>
      <c r="N52" s="276">
        <f t="shared" si="20"/>
        <v>-7125.8846150760037</v>
      </c>
      <c r="O52" s="253"/>
      <c r="P52" s="41"/>
      <c r="Q52" s="256" cm="1">
        <f t="array" ref="Q52">+SUMPRODUCT(('Réel 2023'!$A$8:$A$501=$A52)*('Réel 2023'!$C$3:$AO$3=Q$2),'Réel 2023'!$C$8:$AO$501)</f>
        <v>24570.019999999997</v>
      </c>
      <c r="R52" s="253"/>
      <c r="S52" s="276">
        <f t="shared" si="23"/>
        <v>6123.2100000000028</v>
      </c>
      <c r="T52" s="41"/>
      <c r="U52" s="254">
        <f>L52-Print_Mois!L52</f>
        <v>27852.59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0.29316196807876249</v>
      </c>
      <c r="F54" s="307">
        <f>+SUM(F42:F53)</f>
        <v>842086.99489970563</v>
      </c>
      <c r="G54" s="308"/>
      <c r="H54" s="306"/>
      <c r="I54" s="307"/>
      <c r="J54" s="308" t="s">
        <v>119</v>
      </c>
      <c r="K54" s="306">
        <f>L54/L$27</f>
        <v>0.32566631851627686</v>
      </c>
      <c r="L54" s="307">
        <f>+SUM(L42:L53)</f>
        <v>765752.3</v>
      </c>
      <c r="M54" s="311"/>
      <c r="N54" s="307">
        <f>+SUM(N42:N53)</f>
        <v>-76334.694899705588</v>
      </c>
      <c r="O54" s="308" t="s">
        <v>119</v>
      </c>
      <c r="P54" s="306">
        <f>Q54/Q$27</f>
        <v>0.35062309135981645</v>
      </c>
      <c r="Q54" s="307">
        <f>+SUM(Q42:Q53)</f>
        <v>803063.78000000014</v>
      </c>
      <c r="R54" s="311"/>
      <c r="S54" s="307">
        <f>+SUM(S42:S53)</f>
        <v>-68846.310000000012</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110400</v>
      </c>
      <c r="G57" s="300"/>
      <c r="H57" s="318"/>
      <c r="I57" s="248"/>
      <c r="J57" s="246"/>
      <c r="K57" s="318"/>
      <c r="L57" s="248">
        <f>SUMIFS(BV_Data_An_Cour!$P:$P,BV_Data_An_Cour!$U:$U,$B57,BV_Data_An_Cour!$V:$V,$C57,BV_Data_An_Cour!$W:$W,L$2)</f>
        <v>105840.31</v>
      </c>
      <c r="M57" s="246"/>
      <c r="N57" s="296">
        <f t="shared" si="24"/>
        <v>-4559.6900000000023</v>
      </c>
      <c r="O57" s="246"/>
      <c r="P57" s="318"/>
      <c r="Q57" s="248" cm="1">
        <f t="array" ref="Q57">+SUMPRODUCT(('Réel 2023'!$A$8:$A$501=$A57)*('Réel 2023'!$C$3:$AO$3=Q$2),'Réel 2023'!$C$8:$AO$501)</f>
        <v>81122.09</v>
      </c>
      <c r="R57" s="246"/>
      <c r="S57" s="296">
        <f t="shared" si="25"/>
        <v>24718.22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108476.34559466668</v>
      </c>
      <c r="G58" s="298"/>
      <c r="H58" s="41"/>
      <c r="I58" s="254"/>
      <c r="J58" s="253"/>
      <c r="K58" s="41"/>
      <c r="L58" s="256">
        <f>SUMIFS(BV_Data_An_Cour!$P:$P,BV_Data_An_Cour!$U:$U,$B58,BV_Data_An_Cour!$V:$V,$C58,BV_Data_An_Cour!$W:$W,L$2)</f>
        <v>88237.24</v>
      </c>
      <c r="M58" s="253"/>
      <c r="N58" s="276">
        <f t="shared" si="24"/>
        <v>-20239.105594666675</v>
      </c>
      <c r="O58" s="253"/>
      <c r="P58" s="41"/>
      <c r="Q58" s="256" cm="1">
        <f t="array" ref="Q58">+SUMPRODUCT(('Réel 2023'!$A$8:$A$501=$A58)*('Réel 2023'!$C$3:$AO$3=Q$2),'Réel 2023'!$C$8:$AO$501)</f>
        <v>84970.739999999991</v>
      </c>
      <c r="R58" s="253"/>
      <c r="S58" s="276">
        <f t="shared" si="25"/>
        <v>3266.5000000000146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13262.710618693432</v>
      </c>
      <c r="G59" s="298"/>
      <c r="H59" s="41"/>
      <c r="I59" s="254"/>
      <c r="J59" s="253"/>
      <c r="K59" s="41"/>
      <c r="L59" s="256">
        <f>SUMIFS(BV_Data_An_Cour!$P:$P,BV_Data_An_Cour!$U:$U,$B59,BV_Data_An_Cour!$V:$V,$C59,BV_Data_An_Cour!$W:$W,L$2)</f>
        <v>18128.02</v>
      </c>
      <c r="M59" s="253"/>
      <c r="N59" s="276">
        <f t="shared" si="24"/>
        <v>4865.309381306568</v>
      </c>
      <c r="O59" s="253"/>
      <c r="P59" s="41"/>
      <c r="Q59" s="256" cm="1">
        <f t="array" ref="Q59">+SUMPRODUCT(('Réel 2023'!$A$8:$A$501=$A59)*('Réel 2023'!$C$3:$AO$3=Q$2),'Réel 2023'!$C$8:$AO$501)</f>
        <v>17989.309999999998</v>
      </c>
      <c r="R59" s="253"/>
      <c r="S59" s="276">
        <f t="shared" si="25"/>
        <v>138.71000000000276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80537.023706488893</v>
      </c>
      <c r="G60" s="300"/>
      <c r="H60" s="318"/>
      <c r="I60" s="248"/>
      <c r="J60" s="246"/>
      <c r="K60" s="318"/>
      <c r="L60" s="248">
        <f>SUMIFS(BV_Data_An_Cour!$P:$P,BV_Data_An_Cour!$U:$U,$B60,BV_Data_An_Cour!$V:$V,$C60,BV_Data_An_Cour!$W:$W,L$2)</f>
        <v>88609.06</v>
      </c>
      <c r="M60" s="246"/>
      <c r="N60" s="296">
        <f t="shared" si="24"/>
        <v>8072.0362935111043</v>
      </c>
      <c r="O60" s="246"/>
      <c r="P60" s="318"/>
      <c r="Q60" s="248" cm="1">
        <f t="array" ref="Q60">+SUMPRODUCT(('Réel 2023'!$A$8:$A$501=$A60)*('Réel 2023'!$C$3:$AO$3=Q$2),'Réel 2023'!$C$8:$AO$501)</f>
        <v>81747.97</v>
      </c>
      <c r="R60" s="246"/>
      <c r="S60" s="296">
        <f t="shared" si="25"/>
        <v>6861.0899999999965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1500</v>
      </c>
      <c r="G61" s="298"/>
      <c r="H61" s="41"/>
      <c r="I61" s="254"/>
      <c r="J61" s="253"/>
      <c r="K61" s="41"/>
      <c r="L61" s="256">
        <f>SUMIFS(BV_Data_An_Cour!$P:$P,BV_Data_An_Cour!$U:$U,$B61,BV_Data_An_Cour!$V:$V,$C61,BV_Data_An_Cour!$W:$W,L$2)</f>
        <v>873.33</v>
      </c>
      <c r="M61" s="253"/>
      <c r="N61" s="276">
        <f t="shared" si="24"/>
        <v>-626.66999999999996</v>
      </c>
      <c r="O61" s="253"/>
      <c r="P61" s="41"/>
      <c r="Q61" s="256" cm="1">
        <f t="array" ref="Q61">+SUMPRODUCT(('Réel 2023'!$A$8:$A$501=$A61)*('Réel 2023'!$C$3:$AO$3=Q$2),'Réel 2023'!$C$8:$AO$501)</f>
        <v>471.47999999999996</v>
      </c>
      <c r="R61" s="253"/>
      <c r="S61" s="276">
        <f t="shared" si="25"/>
        <v>401.85000000000008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1000.0000000000001</v>
      </c>
      <c r="G62" s="298"/>
      <c r="H62" s="41"/>
      <c r="I62" s="254"/>
      <c r="J62" s="253"/>
      <c r="K62" s="41"/>
      <c r="L62" s="256">
        <f>SUMIFS(BV_Data_An_Cour!$P:$P,BV_Data_An_Cour!$U:$U,$B62,BV_Data_An_Cour!$V:$V,$C62,BV_Data_An_Cour!$W:$W,L$2)</f>
        <v>434.88</v>
      </c>
      <c r="M62" s="253"/>
      <c r="N62" s="276">
        <f t="shared" si="24"/>
        <v>-565.12000000000012</v>
      </c>
      <c r="O62" s="253"/>
      <c r="P62" s="41"/>
      <c r="Q62" s="256" cm="1">
        <f t="array" ref="Q62">+SUMPRODUCT(('Réel 2023'!$A$8:$A$501=$A62)*('Réel 2023'!$C$3:$AO$3=Q$2),'Réel 2023'!$C$8:$AO$501)</f>
        <v>0</v>
      </c>
      <c r="R62" s="253"/>
      <c r="S62" s="276">
        <f t="shared" si="25"/>
        <v>434.88</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9083.3592236160021</v>
      </c>
      <c r="G63" s="298"/>
      <c r="H63" s="41"/>
      <c r="I63" s="254"/>
      <c r="J63" s="253"/>
      <c r="K63" s="41"/>
      <c r="L63" s="256">
        <f>SUMIFS(BV_Data_An_Cour!$P:$P,BV_Data_An_Cour!$U:$U,$B63,BV_Data_An_Cour!$V:$V,$C63,BV_Data_An_Cour!$W:$W,L$2)</f>
        <v>9025.32</v>
      </c>
      <c r="M63" s="253"/>
      <c r="N63" s="276">
        <f t="shared" si="24"/>
        <v>-58.039223616002346</v>
      </c>
      <c r="O63" s="253"/>
      <c r="P63" s="41"/>
      <c r="Q63" s="256" cm="1">
        <f t="array" ref="Q63">+SUMPRODUCT(('Réel 2023'!$A$8:$A$501=$A63)*('Réel 2023'!$C$3:$AO$3=Q$2),'Réel 2023'!$C$8:$AO$501)</f>
        <v>10026.720000000001</v>
      </c>
      <c r="R63" s="253"/>
      <c r="S63" s="276">
        <f t="shared" si="25"/>
        <v>-1001.4000000000015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3712.8418206346664</v>
      </c>
      <c r="G64" s="298"/>
      <c r="H64" s="41"/>
      <c r="I64" s="254"/>
      <c r="J64" s="253"/>
      <c r="K64" s="41"/>
      <c r="L64" s="256">
        <f>SUMIFS(BV_Data_An_Cour!$P:$P,BV_Data_An_Cour!$U:$U,$B64,BV_Data_An_Cour!$V:$V,$C64,BV_Data_An_Cour!$W:$W,L$2)</f>
        <v>4238.2</v>
      </c>
      <c r="M64" s="253"/>
      <c r="N64" s="276">
        <f t="shared" si="24"/>
        <v>525.3581793653334</v>
      </c>
      <c r="O64" s="253"/>
      <c r="P64" s="41"/>
      <c r="Q64" s="256" cm="1">
        <f t="array" ref="Q64">+SUMPRODUCT(('Réel 2023'!$A$8:$A$501=$A64)*('Réel 2023'!$C$3:$AO$3=Q$2),'Réel 2023'!$C$8:$AO$501)</f>
        <v>3799.73</v>
      </c>
      <c r="R64" s="253"/>
      <c r="S64" s="276">
        <f t="shared" si="25"/>
        <v>438.4699999999998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1357.5457188853334</v>
      </c>
      <c r="G65" s="298"/>
      <c r="H65" s="41"/>
      <c r="I65" s="254"/>
      <c r="J65" s="253"/>
      <c r="K65" s="41"/>
      <c r="L65" s="256">
        <f>SUMIFS(BV_Data_An_Cour!$P:$P,BV_Data_An_Cour!$U:$U,$B65,BV_Data_An_Cour!$V:$V,$C65,BV_Data_An_Cour!$W:$W,L$2)</f>
        <v>896.29</v>
      </c>
      <c r="M65" s="253"/>
      <c r="N65" s="276">
        <f t="shared" si="24"/>
        <v>-461.25571888533341</v>
      </c>
      <c r="O65" s="253"/>
      <c r="P65" s="41"/>
      <c r="Q65" s="256" cm="1">
        <f t="array" ref="Q65">+SUMPRODUCT(('Réel 2023'!$A$8:$A$501=$A65)*('Réel 2023'!$C$3:$AO$3=Q$2),'Réel 2023'!$C$8:$AO$501)</f>
        <v>1622.4400000000003</v>
      </c>
      <c r="R65" s="253"/>
      <c r="S65" s="276">
        <f t="shared" si="25"/>
        <v>-726.15000000000032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3389.5512412213343</v>
      </c>
      <c r="G66" s="298"/>
      <c r="H66" s="41"/>
      <c r="I66" s="254"/>
      <c r="J66" s="253"/>
      <c r="K66" s="41"/>
      <c r="L66" s="256">
        <f>SUMIFS(BV_Data_An_Cour!$P:$P,BV_Data_An_Cour!$U:$U,$B66,BV_Data_An_Cour!$V:$V,$C66,BV_Data_An_Cour!$W:$W,L$2)</f>
        <v>2165.7800000000002</v>
      </c>
      <c r="M66" s="253"/>
      <c r="N66" s="276">
        <f t="shared" si="24"/>
        <v>-1223.7712412213341</v>
      </c>
      <c r="O66" s="253"/>
      <c r="P66" s="41"/>
      <c r="Q66" s="256" cm="1">
        <f t="array" ref="Q66">+SUMPRODUCT(('Réel 2023'!$A$8:$A$501=$A66)*('Réel 2023'!$C$3:$AO$3=Q$2),'Réel 2023'!$C$8:$AO$501)</f>
        <v>1959.2599999999998</v>
      </c>
      <c r="R66" s="253"/>
      <c r="S66" s="276">
        <f t="shared" si="25"/>
        <v>206.52000000000044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22789.289999999994</v>
      </c>
      <c r="G67" s="298"/>
      <c r="H67" s="41"/>
      <c r="I67" s="254"/>
      <c r="J67" s="253"/>
      <c r="K67" s="41"/>
      <c r="L67" s="256">
        <f>SUMIFS(BV_Data_An_Cour!$P:$P,BV_Data_An_Cour!$U:$U,$B67,BV_Data_An_Cour!$V:$V,$C67,BV_Data_An_Cour!$W:$W,L$2)</f>
        <v>22094.76</v>
      </c>
      <c r="M67" s="253"/>
      <c r="N67" s="276">
        <f t="shared" si="24"/>
        <v>-694.5299999999952</v>
      </c>
      <c r="O67" s="253"/>
      <c r="P67" s="41"/>
      <c r="Q67" s="256" cm="1">
        <f t="array" ref="Q67">+SUMPRODUCT(('Réel 2023'!$A$8:$A$501=$A67)*('Réel 2023'!$C$3:$AO$3=Q$2),'Réel 2023'!$C$8:$AO$501)</f>
        <v>21671.25</v>
      </c>
      <c r="R67" s="253"/>
      <c r="S67" s="276">
        <f t="shared" si="25"/>
        <v>423.5099999999984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40359.551148111401</v>
      </c>
      <c r="G68" s="298"/>
      <c r="H68" s="41"/>
      <c r="I68" s="254"/>
      <c r="J68" s="253"/>
      <c r="K68" s="41"/>
      <c r="L68" s="952">
        <f>SUMIFS(BV_Data_An_Cour!$P:$P,BV_Data_An_Cour!$U:$U,$B68,BV_Data_An_Cour!$V:$V,$C68,BV_Data_An_Cour!$W:$W,L$2)</f>
        <v>47376.41</v>
      </c>
      <c r="M68" s="987"/>
      <c r="N68" s="961">
        <f t="shared" si="24"/>
        <v>7016.8588518886027</v>
      </c>
      <c r="O68" s="253"/>
      <c r="P68" s="41"/>
      <c r="Q68" s="256" cm="1">
        <f t="array" ref="Q68">+SUMPRODUCT(('Réel 2023'!$A$8:$A$501=$A68)*('Réel 2023'!$C$3:$AO$3=Q$2),'Réel 2023'!$C$8:$AO$501)</f>
        <v>42299.27</v>
      </c>
      <c r="R68" s="253"/>
      <c r="S68" s="276">
        <f t="shared" si="25"/>
        <v>5077.1400000000067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0.13781652834681002</v>
      </c>
      <c r="F72" s="307">
        <f>+SUM(F55:F71)</f>
        <v>395868.2190723177</v>
      </c>
      <c r="G72" s="308"/>
      <c r="H72" s="306"/>
      <c r="I72" s="307"/>
      <c r="J72" s="308" t="s">
        <v>119</v>
      </c>
      <c r="K72" s="306">
        <f>L72/L$27</f>
        <v>0.16497808496599586</v>
      </c>
      <c r="L72" s="307">
        <f>+SUM(L55:L71)</f>
        <v>387919.60000000009</v>
      </c>
      <c r="M72" s="311"/>
      <c r="N72" s="307">
        <f>+SUM(N55:N71)</f>
        <v>-7948.6190723177351</v>
      </c>
      <c r="O72" s="308" t="s">
        <v>119</v>
      </c>
      <c r="P72" s="306">
        <f>Q72/Q$27</f>
        <v>0.15179955889180394</v>
      </c>
      <c r="Q72" s="307">
        <f>+SUM(Q55:Q71)</f>
        <v>347680.25999999995</v>
      </c>
      <c r="R72" s="311"/>
      <c r="S72" s="307">
        <f>+SUM(S55:S71)</f>
        <v>40239.340000000018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0.87974710885902629</v>
      </c>
      <c r="F74" s="307">
        <f>F41+F54+F72</f>
        <v>2527011.2764823847</v>
      </c>
      <c r="G74" s="308"/>
      <c r="H74" s="306"/>
      <c r="I74" s="307"/>
      <c r="J74" s="308" t="s">
        <v>119</v>
      </c>
      <c r="K74" s="306">
        <f>L74/L$27</f>
        <v>1.025502252081619</v>
      </c>
      <c r="L74" s="307">
        <f>L41+L54+L72</f>
        <v>2411304.6500000004</v>
      </c>
      <c r="M74" s="311"/>
      <c r="N74" s="320">
        <f t="shared" ref="N74:N82" si="26">L74-F74</f>
        <v>-115706.62648238428</v>
      </c>
      <c r="O74" s="308" t="s">
        <v>119</v>
      </c>
      <c r="P74" s="306">
        <f>Q74/Q$27</f>
        <v>0.8957560969571815</v>
      </c>
      <c r="Q74" s="307">
        <f>Q41+Q54+Q72</f>
        <v>2051631.2100000002</v>
      </c>
      <c r="R74" s="311"/>
      <c r="S74" s="320">
        <f>L74-Q74</f>
        <v>359673.44000000018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80000</v>
      </c>
      <c r="G75" s="298"/>
      <c r="H75" s="41"/>
      <c r="I75" s="254"/>
      <c r="J75" s="253"/>
      <c r="K75" s="41"/>
      <c r="L75" s="256">
        <f>-SUMIFS(BV_Data_An_Cour!$P:$P,BV_Data_An_Cour!$U:$U,$B75,BV_Data_An_Cour!$V:$V,$C75,BV_Data_An_Cour!$W:$W,L$2)</f>
        <v>87295</v>
      </c>
      <c r="M75" s="253"/>
      <c r="N75" s="276">
        <f t="shared" si="26"/>
        <v>7295</v>
      </c>
      <c r="O75" s="253"/>
      <c r="P75" s="41"/>
      <c r="Q75" s="256" cm="1">
        <f t="array" ref="Q75">+SUMPRODUCT(('Réel 2023'!$A$8:$A$501=$A75)*('Réel 2023'!$C$3:$AO$3=Q$2),'Réel 2023'!$C$8:$AO$501)</f>
        <v>31556</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911504.31324615923</v>
      </c>
      <c r="G78" s="298"/>
      <c r="H78" s="41"/>
      <c r="I78" s="254"/>
      <c r="J78" s="253"/>
      <c r="K78" s="41"/>
      <c r="L78" s="256">
        <f>-SUMIFS(BV_Data_An_Cour!$P:$P,BV_Data_An_Cour!$U:$U,$B78,BV_Data_An_Cour!$V:$V,$C78,BV_Data_An_Cour!$W:$W,L$2)</f>
        <v>953913.25</v>
      </c>
      <c r="M78" s="253"/>
      <c r="N78" s="276">
        <f t="shared" si="26"/>
        <v>42408.936753840768</v>
      </c>
      <c r="O78" s="253"/>
      <c r="P78" s="41"/>
      <c r="Q78" s="256" cm="1">
        <f t="array" ref="Q78">+SUMPRODUCT(('Réel 2023'!$A$8:$A$501=$A78)*('Réel 2023'!$C$3:$AO$3=Q$2),'Réel 2023'!$C$8:$AO$501)</f>
        <v>679516.07</v>
      </c>
      <c r="R78" s="253"/>
      <c r="S78" s="276">
        <f t="shared" si="27"/>
        <v>274397.18000000005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315240.87974999991</v>
      </c>
      <c r="G82" s="298"/>
      <c r="H82" s="41"/>
      <c r="I82" s="254"/>
      <c r="J82" s="253"/>
      <c r="K82" s="41"/>
      <c r="L82" s="256">
        <f>-SUMIFS(BV_Data_An_Cour!$P:$P,BV_Data_An_Cour!$U:$U,$B82,BV_Data_An_Cour!$V:$V,$C82,BV_Data_An_Cour!$W:$W,L$2)</f>
        <v>330462.5</v>
      </c>
      <c r="M82" s="253"/>
      <c r="N82" s="276">
        <f t="shared" si="26"/>
        <v>15221.620250000095</v>
      </c>
      <c r="O82" s="253"/>
      <c r="P82" s="41"/>
      <c r="Q82" s="256" cm="1">
        <f t="array" ref="Q82">+SUMPRODUCT(('Réel 2023'!$A$8:$A$501=$A82)*('Réel 2023'!$C$3:$AO$3=Q$2),'Réel 2023'!$C$8:$AO$501)</f>
        <v>271044.90000000002</v>
      </c>
      <c r="R82" s="253"/>
      <c r="S82" s="276">
        <f t="shared" si="27"/>
        <v>59417.599999999977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1306745.1929961592</v>
      </c>
      <c r="G83" s="308"/>
      <c r="H83" s="306"/>
      <c r="I83" s="307"/>
      <c r="J83" s="308"/>
      <c r="K83" s="306"/>
      <c r="L83" s="307">
        <f>+SUM(L75:L82)</f>
        <v>1371670.75</v>
      </c>
      <c r="M83" s="311"/>
      <c r="N83" s="307">
        <f>+SUM(N75:N82)</f>
        <v>64925.557003840862</v>
      </c>
      <c r="O83" s="308"/>
      <c r="P83" s="306"/>
      <c r="Q83" s="307">
        <f>+SUM(Q75:Q82)</f>
        <v>982116.97</v>
      </c>
      <c r="R83" s="311"/>
      <c r="S83" s="307">
        <f>+SUM(S75:S82)</f>
        <v>333814.78000000003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1652163.1078523523</v>
      </c>
      <c r="G85" s="336"/>
      <c r="H85" s="334"/>
      <c r="I85" s="335"/>
      <c r="J85" s="336"/>
      <c r="K85" s="333"/>
      <c r="L85" s="335">
        <f>L27-L74+L83</f>
        <v>1311706.2800000003</v>
      </c>
      <c r="M85" s="336"/>
      <c r="N85" s="335">
        <f>N27-N41-N54-N72+N83</f>
        <v>-340456.82785235153</v>
      </c>
      <c r="O85" s="336"/>
      <c r="P85" s="333"/>
      <c r="Q85" s="335">
        <f>Q27-Q74+Q83</f>
        <v>1220876.2099999972</v>
      </c>
      <c r="R85" s="336"/>
      <c r="S85" s="335">
        <f>L85-Q85</f>
        <v>90830.070000003092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Décembre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30"/>
      <c r="H91" s="1226"/>
      <c r="I91" s="1227"/>
      <c r="J91" s="1230" t="s">
        <v>344</v>
      </c>
      <c r="K91" s="1226"/>
      <c r="L91" s="1227"/>
      <c r="M91" s="1230" t="s">
        <v>3310</v>
      </c>
      <c r="N91" s="1227"/>
      <c r="O91" s="1225" t="s">
        <v>345</v>
      </c>
      <c r="P91" s="1226"/>
      <c r="Q91" s="1227"/>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21136589.619951062</v>
      </c>
      <c r="G93" s="267"/>
      <c r="H93" s="250"/>
      <c r="I93" s="248"/>
      <c r="J93" s="246"/>
      <c r="K93" s="250"/>
      <c r="L93" s="248">
        <f>-SUMIFS(BV_Data_An_Cour!$P:$P,BV_Data_An_Cour!$X:$X,"Oui",BV_Data_An_Cour!$U:$U,$B93)</f>
        <v>15217940.240000004</v>
      </c>
      <c r="M93" s="342"/>
      <c r="N93" s="343"/>
      <c r="O93" s="246"/>
      <c r="P93" s="250"/>
      <c r="Q93" s="248" cm="1">
        <f t="array" ref="Q93">+SUMPRODUCT(('Réel 2023'!$A$8:$A$501=$A93)*('Réel 2023'!$C$3:$AO$3=Q$2),'Réel 2023'!$C$8:$AO$501)</f>
        <v>16855455.29999996</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389.96100000000001</v>
      </c>
      <c r="E94" s="254">
        <f t="shared" ref="E94:E100" si="29">IF(D94=0,0,F94/D94)</f>
        <v>1799.9999999999998</v>
      </c>
      <c r="F94" s="254" cm="1">
        <f t="array" ref="F94">+SUMPRODUCT(('Budget original'!$A$8:$A$501=$A94)*('Budget original'!$C$3:$AO$3=F$2),'Budget original'!$C$8:$AO$501)</f>
        <v>701929.79999999993</v>
      </c>
      <c r="G94" s="255"/>
      <c r="H94" s="254"/>
      <c r="I94" s="254"/>
      <c r="J94" s="255">
        <f>-SUMIFS(BV_Data_An_Cour!$P:$P,BV_Data_An_Cour!$U:$U,$B94,BV_Data_An_Cour!$V:$V,$C94,BV_Data_An_Cour!$W:$W,J$2)</f>
        <v>304</v>
      </c>
      <c r="K94" s="254">
        <f t="shared" ref="K94:K95" si="30">IF(J94=0,0,L94/J94)</f>
        <v>949.22845394736771</v>
      </c>
      <c r="L94" s="256">
        <f>-SUMIFS(BV_Data_An_Cour!$P:$P,BV_Data_An_Cour!$U:$U,$B94,BV_Data_An_Cour!$V:$V,$C94,BV_Data_An_Cour!$W:$W,$L2)</f>
        <v>288565.44999999978</v>
      </c>
      <c r="M94" s="255">
        <f>J94-D94</f>
        <v>-85.961000000000013</v>
      </c>
      <c r="N94" s="256">
        <f>L94-F94</f>
        <v>-413364.35000000015</v>
      </c>
      <c r="O94" s="255" cm="1">
        <f t="array" ref="O94">+SUMPRODUCT(('Réel 2023'!$A$8:$A$501=$A94)*('Réel 2023'!$C$3:$AO$3=O$2),'Réel 2023'!$C$8:$AO$501)</f>
        <v>277</v>
      </c>
      <c r="P94" s="254">
        <f t="shared" ref="P94:P100" si="31">IF(O94=0,0,Q94/O94)</f>
        <v>1593.4981227436801</v>
      </c>
      <c r="Q94" s="256" cm="1">
        <f t="array" ref="Q94">+SUMPRODUCT(('Réel 2023'!$A$8:$A$501=$A94)*('Réel 2023'!$C$3:$AO$3=Q$2),'Réel 2023'!$C$8:$AO$501)</f>
        <v>441398.9799999994</v>
      </c>
      <c r="R94" s="255">
        <f t="shared" ref="R94:R95" si="32">J94-O94</f>
        <v>27</v>
      </c>
      <c r="S94" s="256">
        <f t="shared" ref="S94:S95" si="33">L94-Q94</f>
        <v>-152833.52999999962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21.997800000000002</v>
      </c>
      <c r="E95" s="1077">
        <f t="shared" si="29"/>
        <v>1800</v>
      </c>
      <c r="F95" s="254" cm="1">
        <f t="array" ref="F95">+SUMPRODUCT(('Budget original'!$A$8:$A$501=$A95)*('Budget original'!$C$3:$AO$3=F$2),'Budget original'!$C$8:$AO$501)</f>
        <v>39596.04</v>
      </c>
      <c r="G95" s="255"/>
      <c r="H95" s="254"/>
      <c r="I95" s="254"/>
      <c r="J95" s="255">
        <f>-SUMIFS(BV_Data_An_Cour!$P:$P,BV_Data_An_Cour!$U:$U,$B95,BV_Data_An_Cour!$V:$V,$C95,BV_Data_An_Cour!$W:$W,J$2)</f>
        <v>11</v>
      </c>
      <c r="K95" s="254">
        <f t="shared" si="30"/>
        <v>-2135.6709090909094</v>
      </c>
      <c r="L95" s="256">
        <f>-SUMIFS(BV_Data_An_Cour!$P:$P,BV_Data_An_Cour!$U:$U,$B95,BV_Data_An_Cour!$V:$V,$C95,BV_Data_An_Cour!$W:$W,$L2)</f>
        <v>-23492.380000000005</v>
      </c>
      <c r="M95" s="255">
        <f>J95-D95</f>
        <v>-10.997800000000002</v>
      </c>
      <c r="N95" s="256">
        <f>L95-F95</f>
        <v>-63088.420000000006</v>
      </c>
      <c r="O95" s="255" cm="1">
        <f t="array" ref="O95">+SUMPRODUCT(('Réel 2023'!$A$8:$A$501=$A95)*('Réel 2023'!$C$3:$AO$3=O$2),'Réel 2023'!$C$8:$AO$501)</f>
        <v>49</v>
      </c>
      <c r="P95" s="254">
        <f t="shared" si="31"/>
        <v>1832.4291836734628</v>
      </c>
      <c r="Q95" s="256" cm="1">
        <f t="array" ref="Q95">+SUMPRODUCT(('Réel 2023'!$A$8:$A$501=$A95)*('Réel 2023'!$C$3:$AO$3=Q$2),'Réel 2023'!$C$8:$AO$501)</f>
        <v>89789.029999999679</v>
      </c>
      <c r="R95" s="255">
        <f t="shared" si="32"/>
        <v>-38</v>
      </c>
      <c r="S95" s="256">
        <f t="shared" si="33"/>
        <v>-113281.40999999968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3859</v>
      </c>
      <c r="D96" s="254" cm="1">
        <f t="array" ref="D96">+SUMPRODUCT(('Budget original'!$A$8:$A$501=$A96)*('Budget original'!$C$3:$AO$3=D$2),'Budget original'!$C$8:$AO$501)</f>
        <v>12.998699999999999</v>
      </c>
      <c r="E96" s="1079">
        <f t="shared" si="29"/>
        <v>1800</v>
      </c>
      <c r="F96" s="254" cm="1">
        <f t="array" ref="F96">+SUMPRODUCT(('Budget original'!$A$8:$A$501=$A96)*('Budget original'!$C$3:$AO$3=F$2),'Budget original'!$C$8:$AO$501)</f>
        <v>23397.66</v>
      </c>
      <c r="G96" s="1078"/>
      <c r="H96" s="254"/>
      <c r="I96" s="254"/>
      <c r="J96" s="1078">
        <f>-SUMIFS(BV_Data_An_Cour!$P:$P,BV_Data_An_Cour!$U:$U,$B96,BV_Data_An_Cour!$V:$V,$C96,BV_Data_An_Cour!$W:$W,J$2)</f>
        <v>22</v>
      </c>
      <c r="K96" s="254">
        <f t="shared" ref="K96" si="34">IF(J96=0,0,L96/J96)</f>
        <v>1809.2531818181822</v>
      </c>
      <c r="L96" s="952">
        <f>-SUMIFS(BV_Data_An_Cour!$P:$P,BV_Data_An_Cour!$U:$U,$B96,BV_Data_An_Cour!$V:$V,$C96,BV_Data_An_Cour!$W:$W,$L2)</f>
        <v>39803.570000000007</v>
      </c>
      <c r="M96" s="1078">
        <f>J96-D96</f>
        <v>9.0013000000000005</v>
      </c>
      <c r="N96" s="952">
        <f>L96-F96</f>
        <v>16405.910000000007</v>
      </c>
      <c r="O96" s="1078" cm="1">
        <f t="array" ref="O96">+SUMPRODUCT(('Réel 2023'!$A$8:$A$501=$A96)*('Réel 2023'!$C$3:$AO$3=O$2),'Réel 2023'!$C$8:$AO$501)</f>
        <v>0</v>
      </c>
      <c r="P96" s="254">
        <f t="shared" si="31"/>
        <v>0</v>
      </c>
      <c r="Q96" s="952" cm="1">
        <f t="array" ref="Q96">+SUMPRODUCT(('Réel 2023'!$A$8:$A$501=$A96)*('Réel 2023'!$C$3:$AO$3=Q$2),'Réel 2023'!$C$8:$AO$501)</f>
        <v>0</v>
      </c>
      <c r="R96" s="1078">
        <f>J96-O96</f>
        <v>22</v>
      </c>
      <c r="S96" s="952">
        <f t="shared" ref="S96" si="35">L96-Q96</f>
        <v>39803.570000000007</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424.95749999999998</v>
      </c>
      <c r="E97" s="254">
        <f t="shared" si="29"/>
        <v>1800</v>
      </c>
      <c r="F97" s="261">
        <f>+F94+F95+F96</f>
        <v>764923.5</v>
      </c>
      <c r="G97" s="262"/>
      <c r="H97" s="260"/>
      <c r="I97" s="261"/>
      <c r="J97" s="262">
        <f>+J94+J95+J96</f>
        <v>337</v>
      </c>
      <c r="K97" s="260">
        <f>IF(J97&lt;=0,0,L97/J97)</f>
        <v>904.67845697329312</v>
      </c>
      <c r="L97" s="261">
        <f>+L94+L95+L96</f>
        <v>304876.63999999978</v>
      </c>
      <c r="M97" s="262">
        <f>J97-D97</f>
        <v>-87.957499999999982</v>
      </c>
      <c r="N97" s="261">
        <f>L97-F97</f>
        <v>-460046.86000000022</v>
      </c>
      <c r="O97" s="262">
        <f>+O95+O94+O96</f>
        <v>326</v>
      </c>
      <c r="P97" s="260">
        <f t="shared" si="31"/>
        <v>1629.4110736196292</v>
      </c>
      <c r="Q97" s="261">
        <f>+Q94+Q95+Q96</f>
        <v>531188.00999999908</v>
      </c>
      <c r="R97" s="262">
        <f>R94+R95</f>
        <v>-11</v>
      </c>
      <c r="S97" s="261">
        <f>S94+S95</f>
        <v>-266114.9399999993</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-0.20697952148155987</v>
      </c>
      <c r="N98" s="265">
        <f>N97/F97</f>
        <v>-0.60142858730317506</v>
      </c>
      <c r="O98" s="253"/>
      <c r="P98" s="41">
        <f t="shared" si="31"/>
        <v>0</v>
      </c>
      <c r="Q98" s="263"/>
      <c r="R98" s="264">
        <f>R97/O97</f>
        <v>-3.3742331288343558E-2</v>
      </c>
      <c r="S98" s="265">
        <f>IF(Q97=0,0,(S97/Q97))</f>
        <v>-0.50098069796417233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434.95650000000001</v>
      </c>
      <c r="E100" s="254">
        <f t="shared" si="29"/>
        <v>400</v>
      </c>
      <c r="F100" s="254" cm="1">
        <f t="array" ref="F100">+SUMPRODUCT(('Budget original'!$A$8:$A$501=$A100)*('Budget original'!$C$3:$AO$3=F$2),'Budget original'!$C$8:$AO$501)</f>
        <v>173982.6</v>
      </c>
      <c r="G100" s="254"/>
      <c r="H100" s="254"/>
      <c r="I100" s="254"/>
      <c r="J100" s="255">
        <f>-SUMIFS(BV_Data_An_Cour!$P:$P,BV_Data_An_Cour!$U:$U,$B100,BV_Data_An_Cour!$V:$V,$C100,BV_Data_An_Cour!$W:$W,J$2)</f>
        <v>394</v>
      </c>
      <c r="K100" s="254">
        <f t="shared" si="36"/>
        <v>-49.915126903552256</v>
      </c>
      <c r="L100" s="256">
        <f>-SUMIFS(BV_Data_An_Cour!$P:$P,BV_Data_An_Cour!$U:$U,$B100,BV_Data_An_Cour!$V:$V,$C100,BV_Data_An_Cour!$W:$W,L$2)</f>
        <v>-19666.55999999959</v>
      </c>
      <c r="M100" s="255">
        <f>J100-D100</f>
        <v>-40.956500000000005</v>
      </c>
      <c r="N100" s="256">
        <f>L100-F100</f>
        <v>-193649.1599999996</v>
      </c>
      <c r="O100" s="255" cm="1">
        <f t="array" ref="O100">+SUMPRODUCT(('Réel 2023'!$A$8:$A$501=$A100)*('Réel 2023'!$C$3:$AO$3=O$2),'Réel 2023'!$C$8:$AO$501)</f>
        <v>388</v>
      </c>
      <c r="P100" s="254">
        <f t="shared" si="31"/>
        <v>407.72474226804064</v>
      </c>
      <c r="Q100" s="256" cm="1">
        <f t="array" ref="Q100">+SUMPRODUCT(('Réel 2023'!$A$8:$A$501=$A100)*('Réel 2023'!$C$3:$AO$3=Q$2),'Réel 2023'!$C$8:$AO$501)</f>
        <v>158197.19999999978</v>
      </c>
      <c r="R100" s="255">
        <f t="shared" si="37"/>
        <v>6</v>
      </c>
      <c r="S100" s="256">
        <f t="shared" si="38"/>
        <v>-177863.75999999937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297470.25</v>
      </c>
      <c r="G102" s="255"/>
      <c r="H102" s="254"/>
      <c r="I102" s="254"/>
      <c r="J102" s="255"/>
      <c r="K102" s="254">
        <f>IF(J97=0,0,L102/J97)</f>
        <v>255.40225519287833</v>
      </c>
      <c r="L102" s="256">
        <f>-SUMIFS(BV_Data_An_Cour!$P:$P,BV_Data_An_Cour!$U:$U,$B102,BV_Data_An_Cour!$V:$V,$C102,BV_Data_An_Cour!$W:$W,$L2)</f>
        <v>86070.56</v>
      </c>
      <c r="M102" s="255"/>
      <c r="N102" s="256">
        <f>L102-F102</f>
        <v>-211399.69</v>
      </c>
      <c r="O102" s="255" cm="1">
        <f t="array" ref="O102">+SUMPRODUCT(('Réel 2023'!$A$8:$A$501=$A102)*('Réel 2023'!$C$3:$AO$3=O$2),'Réel 2023'!$C$8:$AO$501)</f>
        <v>0</v>
      </c>
      <c r="P102" s="254">
        <f t="shared" ref="P102:P105" si="40">IF(O102=0,0,Q102/O102)</f>
        <v>0</v>
      </c>
      <c r="Q102" s="256" cm="1">
        <f t="array" ref="Q102">+SUMPRODUCT(('Réel 2023'!$A$8:$A$501=$A102)*('Réel 2023'!$C$3:$AO$3=Q$2),'Réel 2023'!$C$8:$AO$501)</f>
        <v>212619.94</v>
      </c>
      <c r="R102" s="255">
        <f t="shared" ref="R102:R104" si="41">O102-K102</f>
        <v>-255.40225519287833</v>
      </c>
      <c r="S102" s="256">
        <f t="shared" ref="S102:S105" si="42">L102-Q102</f>
        <v>-126549.38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616188.375</v>
      </c>
      <c r="G103" s="255"/>
      <c r="H103" s="254"/>
      <c r="I103" s="254"/>
      <c r="J103" s="255"/>
      <c r="K103" s="254">
        <f>IF(J97=0,0,L103/J97)</f>
        <v>1374.4271513353117</v>
      </c>
      <c r="L103" s="256">
        <f>-SUMIFS(BV_Data_An_Cour!$P:$P,BV_Data_An_Cour!$U:$U,$B103,BV_Data_An_Cour!$V:$V,$C103,BV_Data_An_Cour!$W:$W,$L2)</f>
        <v>463181.95</v>
      </c>
      <c r="M103" s="255"/>
      <c r="N103" s="256">
        <f>L103-F103</f>
        <v>-153006.42499999999</v>
      </c>
      <c r="O103" s="255" cm="1">
        <f t="array" ref="O103">+SUMPRODUCT(('Réel 2023'!$A$8:$A$501=$A103)*('Réel 2023'!$C$3:$AO$3=O$2),'Réel 2023'!$C$8:$AO$501)</f>
        <v>0</v>
      </c>
      <c r="P103" s="254">
        <f t="shared" si="40"/>
        <v>0</v>
      </c>
      <c r="Q103" s="256" cm="1">
        <f t="array" ref="Q103">+SUMPRODUCT(('Réel 2023'!$A$8:$A$501=$A103)*('Réel 2023'!$C$3:$AO$3=Q$2),'Réel 2023'!$C$8:$AO$501)</f>
        <v>434345.05999999976</v>
      </c>
      <c r="R103" s="255">
        <f t="shared" si="41"/>
        <v>-1374.4271513353117</v>
      </c>
      <c r="S103" s="256">
        <f t="shared" si="42"/>
        <v>28836.890000000247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21247.875</v>
      </c>
      <c r="G104" s="255"/>
      <c r="H104" s="250"/>
      <c r="I104" s="254"/>
      <c r="J104" s="255"/>
      <c r="K104" s="250">
        <f>IF(J97=0,0,L104/J97)</f>
        <v>29.143560830860533</v>
      </c>
      <c r="L104" s="256">
        <f>-SUMIFS(BV_Data_An_Cour!$P:$P,BV_Data_An_Cour!$U:$U,$B104,BV_Data_An_Cour!$V:$V,$C104,BV_Data_An_Cour!$W:$W,$L$2)</f>
        <v>9821.3799999999992</v>
      </c>
      <c r="M104" s="267"/>
      <c r="N104" s="256">
        <f>L104-F104</f>
        <v>-11426.495000000001</v>
      </c>
      <c r="O104" s="255" cm="1">
        <f t="array" ref="O104">+SUMPRODUCT(('Réel 2023'!$A$8:$A$501=$A104)*('Réel 2023'!$C$3:$AO$3=O$2),'Réel 2023'!$C$8:$AO$501)</f>
        <v>0</v>
      </c>
      <c r="P104" s="250">
        <f t="shared" si="40"/>
        <v>0</v>
      </c>
      <c r="Q104" s="256" cm="1">
        <f t="array" ref="Q104">+SUMPRODUCT(('Réel 2023'!$A$8:$A$501=$A104)*('Réel 2023'!$C$3:$AO$3=Q$2),'Réel 2023'!$C$8:$AO$501)</f>
        <v>9734.7400000000016</v>
      </c>
      <c r="R104" s="255">
        <f t="shared" si="41"/>
        <v>-29.143560830860533</v>
      </c>
      <c r="S104" s="256">
        <f t="shared" si="42"/>
        <v>86.639999999997599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424.95749999999998</v>
      </c>
      <c r="E105" s="254">
        <f t="shared" si="39"/>
        <v>2200</v>
      </c>
      <c r="F105" s="261">
        <f>F102+F103+F104</f>
        <v>934906.5</v>
      </c>
      <c r="G105" s="262"/>
      <c r="H105" s="260"/>
      <c r="I105" s="261"/>
      <c r="J105" s="262">
        <f>J97</f>
        <v>337</v>
      </c>
      <c r="K105" s="260">
        <f>IF(J105&lt;=0,0,L105/J105)</f>
        <v>1658.9729673590505</v>
      </c>
      <c r="L105" s="261">
        <f>L102+L103+L104</f>
        <v>559073.89</v>
      </c>
      <c r="M105" s="255">
        <f>J105-D105</f>
        <v>-87.957499999999982</v>
      </c>
      <c r="N105" s="261">
        <f>L105-F105</f>
        <v>-375832.61</v>
      </c>
      <c r="O105" s="262">
        <f>O97</f>
        <v>326</v>
      </c>
      <c r="P105" s="260">
        <f t="shared" si="40"/>
        <v>2014.4163803680974</v>
      </c>
      <c r="Q105" s="261">
        <f>Q102+Q103+Q104</f>
        <v>656699.73999999976</v>
      </c>
      <c r="R105" s="273"/>
      <c r="S105" s="261">
        <f t="shared" si="42"/>
        <v>-97625.849999999744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-0.4020002107162588</v>
      </c>
      <c r="O106" s="253"/>
      <c r="P106" s="41"/>
      <c r="Q106" s="276"/>
      <c r="R106" s="277"/>
      <c r="S106" s="265">
        <f>IF(Q105=0,0,(S105/Q105))</f>
        <v>-0.14866131970754212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859.91399999999999</v>
      </c>
      <c r="E108" s="350">
        <f>IF(D108&lt;=0,0,F108/D108)</f>
        <v>2179.0697674418607</v>
      </c>
      <c r="F108" s="281">
        <f>F97+F105+F100</f>
        <v>1873812.6</v>
      </c>
      <c r="G108" s="282"/>
      <c r="H108" s="350"/>
      <c r="I108" s="281"/>
      <c r="J108" s="282">
        <f>J97+J100</f>
        <v>731</v>
      </c>
      <c r="K108" s="350">
        <f>IF(J108&lt;=0,0,L108/J108)</f>
        <v>1154.9712311901508</v>
      </c>
      <c r="L108" s="281">
        <f>L97+L105+L100</f>
        <v>844283.9700000002</v>
      </c>
      <c r="M108" s="282">
        <f>J108-D108</f>
        <v>-128.91399999999999</v>
      </c>
      <c r="N108" s="281">
        <f>L108-F108</f>
        <v>-1029528.6299999999</v>
      </c>
      <c r="O108" s="282">
        <f>O97+O100</f>
        <v>714</v>
      </c>
      <c r="P108" s="350">
        <f>IF(O108&lt;=0,0,Q108/O108)</f>
        <v>1885.2730392156843</v>
      </c>
      <c r="Q108" s="281">
        <f>Q97+Q105+Q100</f>
        <v>1346084.9499999986</v>
      </c>
      <c r="R108" s="282">
        <f>J108-O108</f>
        <v>17</v>
      </c>
      <c r="S108" s="281">
        <f>L108-Q108</f>
        <v>-501800.97999999835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0.45057012104625627</v>
      </c>
      <c r="M109" s="286">
        <f>M108/D108</f>
        <v>-0.14991499149914991</v>
      </c>
      <c r="N109" s="287">
        <f>N108/F108</f>
        <v>-0.54942987895374373</v>
      </c>
      <c r="O109" s="283"/>
      <c r="P109" s="284"/>
      <c r="Q109" s="285"/>
      <c r="R109" s="286">
        <f>O108/R108</f>
        <v>42</v>
      </c>
      <c r="S109" s="352">
        <f>IF(Q108=0,0,(S108/Q108))</f>
        <v>-0.3727855214487012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0.33000000000000007</v>
      </c>
      <c r="E112" s="291">
        <f t="shared" ref="E112:E121" si="43">F112/D$97</f>
        <v>594.00000000000011</v>
      </c>
      <c r="F112" s="254" cm="1">
        <f t="array" ref="F112">+SUMPRODUCT(('Budget original'!$A$8:$A$501=$A112)*('Budget original'!$C$3:$AO$3=F$2),'Budget original'!$C$8:$AO$501)</f>
        <v>252424.75500000003</v>
      </c>
      <c r="G112" s="298"/>
      <c r="H112" s="291"/>
      <c r="I112" s="254"/>
      <c r="J112" s="292">
        <f>+L112/L97</f>
        <v>0.65579458629562482</v>
      </c>
      <c r="K112" s="291">
        <f>IF($J$97=0,0,L112/(J$94+J$95+J96))</f>
        <v>593.28323442136502</v>
      </c>
      <c r="L112" s="256">
        <f>SUMIFS(BV_Data_An_Cour!$P:$P,BV_Data_An_Cour!$U:$U,$B112,BV_Data_An_Cour!$V:$V,$C112,BV_Data_An_Cour!$W:$W,$L$2)</f>
        <v>199936.45</v>
      </c>
      <c r="M112" s="253"/>
      <c r="N112" s="276">
        <f t="shared" ref="N112:N153" si="44">L112-F112</f>
        <v>-52488.305000000022</v>
      </c>
      <c r="O112" s="253">
        <f>Q112/Q97</f>
        <v>0.48212844638567881</v>
      </c>
      <c r="P112" s="291">
        <f t="shared" ref="P112:P121" si="45">Q112/O$97</f>
        <v>785.58542944785268</v>
      </c>
      <c r="Q112" s="256" cm="1">
        <f t="array" ref="Q112">+SUMPRODUCT(('Réel 2023'!$A$8:$A$501=$A112)*('Réel 2023'!$C$3:$AO$3=Q$2),'Réel 2023'!$C$8:$AO$501)</f>
        <v>256100.84999999998</v>
      </c>
      <c r="R112" s="253"/>
      <c r="S112" s="276">
        <f t="shared" ref="S112:S122" si="46">L112-Q112</f>
        <v>-56164.399999999965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0.27511234877729512</v>
      </c>
      <c r="E113" s="294">
        <f t="shared" si="43"/>
        <v>660</v>
      </c>
      <c r="F113" s="248" cm="1">
        <f t="array" ref="F113">+SUMPRODUCT(('Budget original'!$A$8:$A$501=$A113)*('Budget original'!$C$3:$AO$3=F$2),'Budget original'!$C$8:$AO$501)</f>
        <v>280471.95</v>
      </c>
      <c r="G113" s="300"/>
      <c r="H113" s="294"/>
      <c r="I113" s="248"/>
      <c r="J113" s="295">
        <f>L113/L105</f>
        <v>0.29558794097860658</v>
      </c>
      <c r="K113" s="294">
        <f>IF($J$97=0,0,L113/(J$94+J$95+J96))</f>
        <v>490.37240356083083</v>
      </c>
      <c r="L113" s="256">
        <f>SUMIFS(BV_Data_An_Cour!$P:$P,BV_Data_An_Cour!$U:$U,$B113,BV_Data_An_Cour!$V:$V,$C113,BV_Data_An_Cour!$W:$W,$L$2)</f>
        <v>165255.5</v>
      </c>
      <c r="M113" s="246"/>
      <c r="N113" s="296">
        <f t="shared" si="44"/>
        <v>-115216.45000000001</v>
      </c>
      <c r="O113" s="246">
        <f>Q113/(Q105+Q19)</f>
        <v>0.25877006063869229</v>
      </c>
      <c r="P113" s="294">
        <f t="shared" si="45"/>
        <v>599.96619631901842</v>
      </c>
      <c r="Q113" s="256" cm="1">
        <f t="array" ref="Q113">+SUMPRODUCT(('Réel 2023'!$A$8:$A$501=$A113)*('Réel 2023'!$C$3:$AO$3=Q$2),'Réel 2023'!$C$8:$AO$501)</f>
        <v>195588.98</v>
      </c>
      <c r="R113" s="246"/>
      <c r="S113" s="296">
        <f t="shared" si="46"/>
        <v>-30333.48000000001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10.000000000000002</v>
      </c>
      <c r="F114" s="254" cm="1">
        <f t="array" ref="F114">+SUMPRODUCT(('Budget original'!$A$8:$A$501=$A114)*('Budget original'!$C$3:$AO$3=F$2),'Budget original'!$C$8:$AO$501)</f>
        <v>4249.5750000000007</v>
      </c>
      <c r="G114" s="298"/>
      <c r="H114" s="291"/>
      <c r="I114" s="254"/>
      <c r="J114" s="253"/>
      <c r="K114" s="291">
        <f>IF($J$97=0,0,L114/(J$94+J$95+J96))</f>
        <v>7.6229376854599398</v>
      </c>
      <c r="L114" s="272">
        <f>SUMIFS(BV_Data_An_Cour!$P:$P,BV_Data_An_Cour!$U:$U,$B114,BV_Data_An_Cour!$V:$V,$C114,BV_Data_An_Cour!$W:$W,$L$2)</f>
        <v>2568.9299999999998</v>
      </c>
      <c r="M114" s="253"/>
      <c r="N114" s="276">
        <f t="shared" si="44"/>
        <v>-1680.6450000000009</v>
      </c>
      <c r="O114" s="253"/>
      <c r="P114" s="291">
        <f t="shared" si="45"/>
        <v>-17.275674846625765</v>
      </c>
      <c r="Q114" s="272" cm="1">
        <f t="array" ref="Q114">+SUMPRODUCT(('Réel 2023'!$A$8:$A$501=$A114)*('Réel 2023'!$C$3:$AO$3=Q$2),'Réel 2023'!$C$8:$AO$501)</f>
        <v>-5631.87</v>
      </c>
      <c r="R114" s="253"/>
      <c r="S114" s="276">
        <f t="shared" si="46"/>
        <v>8200.7999999999993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7.0000000000000009</v>
      </c>
      <c r="F115" s="254" cm="1">
        <f t="array" ref="F115">+SUMPRODUCT(('Budget original'!$A$8:$A$501=$A115)*('Budget original'!$C$3:$AO$3=F$2),'Budget original'!$C$8:$AO$501)</f>
        <v>2974.7025000000003</v>
      </c>
      <c r="G115" s="298"/>
      <c r="H115" s="291"/>
      <c r="I115" s="254"/>
      <c r="J115" s="253"/>
      <c r="K115" s="291">
        <f>IF($J$97=0,0,L115/(J$94+J$95+J96))</f>
        <v>55.949970326409492</v>
      </c>
      <c r="L115" s="256">
        <f>SUMIFS(BV_Data_An_Cour!$P:$P,BV_Data_An_Cour!$U:$U,$B115,BV_Data_An_Cour!$V:$V,$C115,BV_Data_An_Cour!$W:$W,$L$2)</f>
        <v>18855.14</v>
      </c>
      <c r="M115" s="253"/>
      <c r="N115" s="276">
        <f t="shared" si="44"/>
        <v>15880.4375</v>
      </c>
      <c r="O115" s="253"/>
      <c r="P115" s="291">
        <f t="shared" si="45"/>
        <v>13.774478527607361</v>
      </c>
      <c r="Q115" s="256" cm="1">
        <f t="array" ref="Q115">+SUMPRODUCT(('Réel 2023'!$A$8:$A$501=$A115)*('Réel 2023'!$C$3:$AO$3=Q$2),'Réel 2023'!$C$8:$AO$501)</f>
        <v>4490.4799999999996</v>
      </c>
      <c r="R115" s="253"/>
      <c r="S115" s="276">
        <f t="shared" si="46"/>
        <v>14364.66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162.00000000000003</v>
      </c>
      <c r="F116" s="248" cm="1">
        <f t="array" ref="F116">+SUMPRODUCT(('Budget original'!$A$8:$A$501=$A116)*('Budget original'!$C$3:$AO$3=F$2),'Budget original'!$C$8:$AO$501)</f>
        <v>68843.115000000005</v>
      </c>
      <c r="G116" s="300"/>
      <c r="H116" s="294"/>
      <c r="I116" s="248"/>
      <c r="J116" s="246"/>
      <c r="K116" s="294">
        <f>IF($J$97=0,0,L116/(J$94+J$95+J96))</f>
        <v>161.75661721068249</v>
      </c>
      <c r="L116" s="248">
        <f>SUMIFS(BV_Data_An_Cour!$P:$P,BV_Data_An_Cour!$U:$U,$B116,BV_Data_An_Cour!$V:$V,$C116,BV_Data_An_Cour!$W:$W,$L$2)</f>
        <v>54511.98</v>
      </c>
      <c r="M116" s="246"/>
      <c r="N116" s="296">
        <f t="shared" si="44"/>
        <v>-14331.135000000002</v>
      </c>
      <c r="O116" s="246"/>
      <c r="P116" s="294">
        <f t="shared" si="45"/>
        <v>154.21174846625766</v>
      </c>
      <c r="Q116" s="248" cm="1">
        <f t="array" ref="Q116">+SUMPRODUCT(('Réel 2023'!$A$8:$A$501=$A116)*('Réel 2023'!$C$3:$AO$3=Q$2),'Réel 2023'!$C$8:$AO$501)</f>
        <v>50273.03</v>
      </c>
      <c r="R116" s="246"/>
      <c r="S116" s="296">
        <f t="shared" si="46"/>
        <v>4238.9500000000044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327.86396286687494</v>
      </c>
      <c r="F117" s="254" cm="1">
        <f t="array" ref="F117">+SUMPRODUCT(('Budget original'!$A$8:$A$501=$A117)*('Budget original'!$C$3:$AO$3=F$2),'Budget original'!$C$8:$AO$501)</f>
        <v>139328.25</v>
      </c>
      <c r="G117" s="298"/>
      <c r="H117" s="291"/>
      <c r="I117" s="254"/>
      <c r="J117" s="253"/>
      <c r="K117" s="291">
        <f>IF($J$97=0,0,L117/(J$94+J$95+J96))</f>
        <v>428.02424332344219</v>
      </c>
      <c r="L117" s="256">
        <f>SUMIFS(BV_Data_An_Cour!$P:$P,BV_Data_An_Cour!$U:$U,$B117,BV_Data_An_Cour!$V:$V,$C117,BV_Data_An_Cour!$W:$W,$L$2)</f>
        <v>144244.17000000001</v>
      </c>
      <c r="M117" s="253"/>
      <c r="N117" s="276">
        <f t="shared" si="44"/>
        <v>4915.9200000000128</v>
      </c>
      <c r="O117" s="253"/>
      <c r="P117" s="291">
        <f t="shared" si="45"/>
        <v>458.57052147239273</v>
      </c>
      <c r="Q117" s="256" cm="1">
        <f t="array" ref="Q117">+SUMPRODUCT(('Réel 2023'!$A$8:$A$501=$A117)*('Réel 2023'!$C$3:$AO$3=Q$2),'Réel 2023'!$C$8:$AO$501)</f>
        <v>149493.99000000002</v>
      </c>
      <c r="R117" s="253"/>
      <c r="S117" s="276">
        <f t="shared" si="46"/>
        <v>-5249.820000000007</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216.03907854952951</v>
      </c>
      <c r="F118" s="254" cm="1">
        <f t="array" ref="F118">+SUMPRODUCT(('Budget original'!$A$8:$A$501=$A118)*('Budget original'!$C$3:$AO$3=F$2),'Budget original'!$C$8:$AO$501)</f>
        <v>91807.42672271168</v>
      </c>
      <c r="G118" s="298"/>
      <c r="H118" s="291"/>
      <c r="I118" s="254"/>
      <c r="J118" s="253"/>
      <c r="K118" s="291">
        <f>IF($J$97=0,0,L118/(J$94+J$95+J96))</f>
        <v>175.65275964391694</v>
      </c>
      <c r="L118" s="952">
        <f>SUMIFS(BV_Data_An_Cour!$P:$P,BV_Data_An_Cour!$U:$U,$B118,BV_Data_An_Cour!$V:$V,$C118,BV_Data_An_Cour!$W:$W,$L$2)</f>
        <v>59194.98</v>
      </c>
      <c r="M118" s="987"/>
      <c r="N118" s="961">
        <f t="shared" si="44"/>
        <v>-32612.446722711677</v>
      </c>
      <c r="O118" s="253"/>
      <c r="P118" s="291">
        <f t="shared" si="45"/>
        <v>89.829355828220855</v>
      </c>
      <c r="Q118" s="256" cm="1">
        <f t="array" ref="Q118">+SUMPRODUCT(('Réel 2023'!$A$8:$A$501=$A118)*('Réel 2023'!$C$3:$AO$3=Q$2),'Réel 2023'!$C$8:$AO$501)</f>
        <v>29284.37</v>
      </c>
      <c r="R118" s="253"/>
      <c r="S118" s="276">
        <f t="shared" si="46"/>
        <v>29910.610000000004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0.44833713586017709</v>
      </c>
      <c r="F122" s="307">
        <f>SUM(F112:F121)</f>
        <v>840099.77422271168</v>
      </c>
      <c r="G122" s="308"/>
      <c r="H122" s="306"/>
      <c r="I122" s="307"/>
      <c r="J122" s="308" t="s">
        <v>119</v>
      </c>
      <c r="K122" s="306">
        <f>L122/L$108</f>
        <v>0.76344828624425953</v>
      </c>
      <c r="L122" s="307">
        <f>SUM(L112:L121)</f>
        <v>644567.15</v>
      </c>
      <c r="M122" s="311"/>
      <c r="N122" s="307">
        <f t="shared" si="44"/>
        <v>-195532.62422271166</v>
      </c>
      <c r="O122" s="308" t="s">
        <v>119</v>
      </c>
      <c r="P122" s="306">
        <f>Q122/Q$108</f>
        <v>0.50487142731965073</v>
      </c>
      <c r="Q122" s="307">
        <f>SUM(Q112:Q121)</f>
        <v>679599.83</v>
      </c>
      <c r="R122" s="311"/>
      <c r="S122" s="307">
        <f t="shared" si="46"/>
        <v>-35032.679999999935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157964.1</v>
      </c>
      <c r="G123" s="253"/>
      <c r="H123" s="41"/>
      <c r="I123" s="254"/>
      <c r="J123" s="253"/>
      <c r="K123" s="41"/>
      <c r="L123" s="256">
        <f>SUMIFS(BV_Data_An_Cour!$P:$P,BV_Data_An_Cour!$U:$U,$B123,BV_Data_An_Cour!$V:$V,$C123,BV_Data_An_Cour!$W:$W,$L$2)</f>
        <v>130571.64</v>
      </c>
      <c r="M123" s="253"/>
      <c r="N123" s="276">
        <f t="shared" si="44"/>
        <v>-27392.460000000006</v>
      </c>
      <c r="O123" s="253"/>
      <c r="P123" s="41"/>
      <c r="Q123" s="256" cm="1">
        <f t="array" ref="Q123">+SUMPRODUCT(('Réel 2023'!$A$8:$A$501=$A123)*('Réel 2023'!$C$3:$AO$3=Q$2),'Réel 2023'!$C$8:$AO$501)</f>
        <v>106199.94999999998</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54315.031999999999</v>
      </c>
      <c r="G124" s="298"/>
      <c r="H124" s="41"/>
      <c r="I124" s="248"/>
      <c r="J124" s="253"/>
      <c r="K124" s="41"/>
      <c r="L124" s="248">
        <f>SUMIFS(BV_Data_An_Cour!$P:$P,BV_Data_An_Cour!$U:$U,$B124,BV_Data_An_Cour!$V:$V,$C124,BV_Data_An_Cour!$W:$W,$L$2)</f>
        <v>22209.7</v>
      </c>
      <c r="M124" s="253"/>
      <c r="N124" s="276">
        <f t="shared" si="44"/>
        <v>-32105.331999999999</v>
      </c>
      <c r="O124" s="253"/>
      <c r="P124" s="41"/>
      <c r="Q124" s="248" cm="1">
        <f t="array" ref="Q124">+SUMPRODUCT(('Réel 2023'!$A$8:$A$501=$A124)*('Réel 2023'!$C$3:$AO$3=Q$2),'Réel 2023'!$C$8:$AO$501)</f>
        <v>63216.83</v>
      </c>
      <c r="R124" s="253"/>
      <c r="S124" s="276">
        <f t="shared" ref="S124:S153" si="48">L124-Q124</f>
        <v>-41007.130000000005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74018</v>
      </c>
      <c r="G125" s="316"/>
      <c r="H125" s="315"/>
      <c r="I125" s="254"/>
      <c r="J125" s="241"/>
      <c r="K125" s="315"/>
      <c r="L125" s="256">
        <f>SUMIFS(BV_Data_An_Cour!$P:$P,BV_Data_An_Cour!$U:$U,$B125,BV_Data_An_Cour!$V:$V,$C125,BV_Data_An_Cour!$W:$W,$L$2)</f>
        <v>73077.89</v>
      </c>
      <c r="M125" s="241"/>
      <c r="N125" s="317">
        <f t="shared" si="44"/>
        <v>-940.11000000000058</v>
      </c>
      <c r="O125" s="241"/>
      <c r="P125" s="315"/>
      <c r="Q125" s="256" cm="1">
        <f t="array" ref="Q125">+SUMPRODUCT(('Réel 2023'!$A$8:$A$501=$A125)*('Réel 2023'!$C$3:$AO$3=Q$2),'Réel 2023'!$C$8:$AO$501)</f>
        <v>120523.42</v>
      </c>
      <c r="R125" s="241"/>
      <c r="S125" s="317">
        <f t="shared" si="48"/>
        <v>-47445.53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98834.838881999996</v>
      </c>
      <c r="G130" s="298"/>
      <c r="H130" s="41"/>
      <c r="I130" s="254"/>
      <c r="J130" s="253"/>
      <c r="K130" s="41"/>
      <c r="L130" s="256">
        <f>SUMIFS(BV_Data_An_Cour!$P:$P,BV_Data_An_Cour!$U:$U,$B130,BV_Data_An_Cour!$V:$V,$C130,BV_Data_An_Cour!$W:$W,$L$2)</f>
        <v>76747.64</v>
      </c>
      <c r="M130" s="253"/>
      <c r="N130" s="276">
        <f t="shared" si="44"/>
        <v>-22087.198881999997</v>
      </c>
      <c r="O130" s="253"/>
      <c r="P130" s="41"/>
      <c r="Q130" s="256" cm="1">
        <f t="array" ref="Q130">+SUMPRODUCT(('Réel 2023'!$A$8:$A$501=$A130)*('Réel 2023'!$C$3:$AO$3=Q$2),'Réel 2023'!$C$8:$AO$501)</f>
        <v>51285.100000000006</v>
      </c>
      <c r="R130" s="253"/>
      <c r="S130" s="276">
        <f t="shared" si="48"/>
        <v>25462.539999999994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120169.231416</v>
      </c>
      <c r="G131" s="316"/>
      <c r="H131" s="315"/>
      <c r="I131" s="271"/>
      <c r="J131" s="241"/>
      <c r="K131" s="315"/>
      <c r="L131" s="272">
        <f>SUMIFS(BV_Data_An_Cour!$P:$P,BV_Data_An_Cour!$U:$U,$B131,BV_Data_An_Cour!$V:$V,$C131,BV_Data_An_Cour!$W:$W,$L$2)</f>
        <v>85430.97</v>
      </c>
      <c r="M131" s="241"/>
      <c r="N131" s="317">
        <f t="shared" si="44"/>
        <v>-34738.261415999994</v>
      </c>
      <c r="O131" s="241"/>
      <c r="P131" s="315"/>
      <c r="Q131" s="272" cm="1">
        <f t="array" ref="Q131">+SUMPRODUCT(('Réel 2023'!$A$8:$A$501=$A131)*('Réel 2023'!$C$3:$AO$3=Q$2),'Réel 2023'!$C$8:$AO$501)</f>
        <v>82978.789999999994</v>
      </c>
      <c r="R131" s="241"/>
      <c r="S131" s="317">
        <f t="shared" si="48"/>
        <v>2452.1800000000076</v>
      </c>
      <c r="T131" s="41"/>
      <c r="U131" s="254">
        <f>L131-Print_Mois!L131</f>
        <v>80116.430000000008</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61913.277925199996</v>
      </c>
      <c r="G132" s="298"/>
      <c r="H132" s="41"/>
      <c r="I132" s="254"/>
      <c r="J132" s="253"/>
      <c r="K132" s="41"/>
      <c r="L132" s="256">
        <f>SUMIFS(BV_Data_An_Cour!$P:$P,BV_Data_An_Cour!$U:$U,$B132,BV_Data_An_Cour!$V:$V,$C132,BV_Data_An_Cour!$W:$W,$L$2)</f>
        <v>22252.83</v>
      </c>
      <c r="M132" s="253"/>
      <c r="N132" s="276">
        <f t="shared" si="44"/>
        <v>-39660.447925199995</v>
      </c>
      <c r="O132" s="253"/>
      <c r="P132" s="41"/>
      <c r="Q132" s="256" cm="1">
        <f t="array" ref="Q132">+SUMPRODUCT(('Réel 2023'!$A$8:$A$501=$A132)*('Réel 2023'!$C$3:$AO$3=Q$2),'Réel 2023'!$C$8:$AO$501)</f>
        <v>24794.709999999977</v>
      </c>
      <c r="R132" s="253"/>
      <c r="S132" s="276">
        <f t="shared" si="48"/>
        <v>-2541.8799999999756</v>
      </c>
      <c r="T132" s="41"/>
      <c r="U132" s="254">
        <f>L132-Print_Mois!L132</f>
        <v>21535.100000000002</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26994.537492000003</v>
      </c>
      <c r="G133" s="298"/>
      <c r="H133" s="41"/>
      <c r="I133" s="254"/>
      <c r="J133" s="253"/>
      <c r="K133" s="41"/>
      <c r="L133" s="256">
        <f>SUMIFS(BV_Data_An_Cour!$P:$P,BV_Data_An_Cour!$U:$U,$B133,BV_Data_An_Cour!$V:$V,$C133,BV_Data_An_Cour!$W:$W,$L$2)</f>
        <v>12236.51</v>
      </c>
      <c r="M133" s="253"/>
      <c r="N133" s="276">
        <f t="shared" si="44"/>
        <v>-14758.027492000003</v>
      </c>
      <c r="O133" s="253"/>
      <c r="P133" s="41"/>
      <c r="Q133" s="256" cm="1">
        <f t="array" ref="Q133">+SUMPRODUCT(('Réel 2023'!$A$8:$A$501=$A133)*('Réel 2023'!$C$3:$AO$3=Q$2),'Réel 2023'!$C$8:$AO$501)</f>
        <v>15014.8</v>
      </c>
      <c r="R133" s="253"/>
      <c r="S133" s="276">
        <f t="shared" si="48"/>
        <v>-2778.2899999999991</v>
      </c>
      <c r="T133" s="41"/>
      <c r="U133" s="254">
        <f>L133-Print_Mois!L133</f>
        <v>10796.26</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0.31711229699021126</v>
      </c>
      <c r="F135" s="307">
        <f>+SUM(F123:F134)</f>
        <v>594209.01771519997</v>
      </c>
      <c r="G135" s="308"/>
      <c r="H135" s="306"/>
      <c r="I135" s="307"/>
      <c r="J135" s="308" t="s">
        <v>119</v>
      </c>
      <c r="K135" s="306">
        <f>L135/L$108</f>
        <v>0.50045623867524081</v>
      </c>
      <c r="L135" s="307">
        <f>SUM(L123:L134)</f>
        <v>422527.18</v>
      </c>
      <c r="M135" s="355"/>
      <c r="N135" s="320">
        <f t="shared" si="44"/>
        <v>-171681.83771519997</v>
      </c>
      <c r="O135" s="308" t="s">
        <v>119</v>
      </c>
      <c r="P135" s="306">
        <f>Q135/Q$108</f>
        <v>0.3447134595777186</v>
      </c>
      <c r="Q135" s="307">
        <f>+SUM(Q123:Q134)</f>
        <v>464013.59999999986</v>
      </c>
      <c r="R135" s="355"/>
      <c r="S135" s="320">
        <f t="shared" si="48"/>
        <v>-41486.419999999867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29499.999999999996</v>
      </c>
      <c r="G138" s="300"/>
      <c r="H138" s="318"/>
      <c r="I138" s="248"/>
      <c r="J138" s="246"/>
      <c r="K138" s="318"/>
      <c r="L138" s="248">
        <f>SUMIFS(BV_Data_An_Cour!$P:$P,BV_Data_An_Cour!$U:$U,$B138,BV_Data_An_Cour!$V:$V,$C138,BV_Data_An_Cour!$W:$W,$L$2)</f>
        <v>13482.14</v>
      </c>
      <c r="M138" s="246"/>
      <c r="N138" s="296">
        <f t="shared" si="44"/>
        <v>-16017.859999999997</v>
      </c>
      <c r="O138" s="246"/>
      <c r="P138" s="318"/>
      <c r="Q138" s="248" cm="1">
        <f t="array" ref="Q138">+SUMPRODUCT(('Réel 2023'!$A$8:$A$501=$A138)*('Réel 2023'!$C$3:$AO$3=Q$2),'Réel 2023'!$C$8:$AO$501)</f>
        <v>12205.75</v>
      </c>
      <c r="R138" s="246"/>
      <c r="S138" s="296">
        <f t="shared" si="48"/>
        <v>1276.3899999999994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43524.498447999998</v>
      </c>
      <c r="G139" s="298"/>
      <c r="H139" s="41"/>
      <c r="I139" s="254"/>
      <c r="J139" s="253"/>
      <c r="K139" s="41"/>
      <c r="L139" s="256">
        <f>SUMIFS(BV_Data_An_Cour!$P:$P,BV_Data_An_Cour!$U:$U,$B139,BV_Data_An_Cour!$V:$V,$C139,BV_Data_An_Cour!$W:$W,$L$2)</f>
        <v>44654.03</v>
      </c>
      <c r="M139" s="253"/>
      <c r="N139" s="276">
        <f t="shared" si="44"/>
        <v>1129.5315520000004</v>
      </c>
      <c r="O139" s="253"/>
      <c r="P139" s="41"/>
      <c r="Q139" s="256" cm="1">
        <f t="array" ref="Q139">+SUMPRODUCT(('Réel 2023'!$A$8:$A$501=$A139)*('Réel 2023'!$C$3:$AO$3=Q$2),'Réel 2023'!$C$8:$AO$501)</f>
        <v>42756.7</v>
      </c>
      <c r="R139" s="253"/>
      <c r="S139" s="276">
        <f t="shared" si="48"/>
        <v>1897.3300000000017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6253.3109567311558</v>
      </c>
      <c r="G140" s="298"/>
      <c r="H140" s="41"/>
      <c r="I140" s="254"/>
      <c r="J140" s="253"/>
      <c r="K140" s="41"/>
      <c r="L140" s="256">
        <f>SUMIFS(BV_Data_An_Cour!$P:$P,BV_Data_An_Cour!$U:$U,$B140,BV_Data_An_Cour!$V:$V,$C140,BV_Data_An_Cour!$W:$W,$L$2)</f>
        <v>7395.24</v>
      </c>
      <c r="M140" s="253"/>
      <c r="N140" s="276">
        <f t="shared" si="44"/>
        <v>1141.929043268844</v>
      </c>
      <c r="O140" s="253"/>
      <c r="P140" s="41"/>
      <c r="Q140" s="256" cm="1">
        <f t="array" ref="Q140">+SUMPRODUCT(('Réel 2023'!$A$8:$A$501=$A140)*('Réel 2023'!$C$3:$AO$3=Q$2),'Réel 2023'!$C$8:$AO$501)</f>
        <v>8244.9599999999991</v>
      </c>
      <c r="R140" s="253"/>
      <c r="S140" s="276">
        <f t="shared" si="48"/>
        <v>-849.71999999999935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17875.092639933337</v>
      </c>
      <c r="G141" s="300"/>
      <c r="H141" s="318"/>
      <c r="I141" s="248"/>
      <c r="J141" s="246"/>
      <c r="K141" s="318"/>
      <c r="L141" s="248">
        <f>SUMIFS(BV_Data_An_Cour!$P:$P,BV_Data_An_Cour!$U:$U,$B141,BV_Data_An_Cour!$V:$V,$C141,BV_Data_An_Cour!$W:$W,$L$2)</f>
        <v>19349.86</v>
      </c>
      <c r="M141" s="246"/>
      <c r="N141" s="296">
        <f t="shared" si="44"/>
        <v>1474.767360066664</v>
      </c>
      <c r="O141" s="246"/>
      <c r="P141" s="318"/>
      <c r="Q141" s="248" cm="1">
        <f t="array" ref="Q141">+SUMPRODUCT(('Réel 2023'!$A$8:$A$501=$A141)*('Réel 2023'!$C$3:$AO$3=Q$2),'Réel 2023'!$C$8:$AO$501)</f>
        <v>17065.52</v>
      </c>
      <c r="R141" s="246"/>
      <c r="S141" s="296">
        <f t="shared" si="48"/>
        <v>2284.34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1500</v>
      </c>
      <c r="G142" s="298"/>
      <c r="H142" s="41"/>
      <c r="I142" s="254"/>
      <c r="J142" s="253"/>
      <c r="K142" s="41"/>
      <c r="L142" s="256">
        <f>SUMIFS(BV_Data_An_Cour!$P:$P,BV_Data_An_Cour!$U:$U,$B142,BV_Data_An_Cour!$V:$V,$C142,BV_Data_An_Cour!$W:$W,$L$2)</f>
        <v>564.54</v>
      </c>
      <c r="M142" s="253"/>
      <c r="N142" s="276">
        <f t="shared" si="44"/>
        <v>-935.46</v>
      </c>
      <c r="O142" s="253"/>
      <c r="P142" s="41"/>
      <c r="Q142" s="256" cm="1">
        <f t="array" ref="Q142">+SUMPRODUCT(('Réel 2023'!$A$8:$A$501=$A142)*('Réel 2023'!$C$3:$AO$3=Q$2),'Réel 2023'!$C$8:$AO$501)</f>
        <v>243.2</v>
      </c>
      <c r="R142" s="253"/>
      <c r="S142" s="276">
        <f t="shared" si="48"/>
        <v>321.33999999999997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1000.0000000000001</v>
      </c>
      <c r="G143" s="298"/>
      <c r="H143" s="41"/>
      <c r="I143" s="254"/>
      <c r="J143" s="253"/>
      <c r="K143" s="41"/>
      <c r="L143" s="256">
        <f>SUMIFS(BV_Data_An_Cour!$P:$P,BV_Data_An_Cour!$U:$U,$B143,BV_Data_An_Cour!$V:$V,$C143,BV_Data_An_Cour!$W:$W,$L$2)</f>
        <v>434.88</v>
      </c>
      <c r="M143" s="253"/>
      <c r="N143" s="276">
        <f t="shared" si="44"/>
        <v>-565.12000000000012</v>
      </c>
      <c r="O143" s="253"/>
      <c r="P143" s="41"/>
      <c r="Q143" s="256" cm="1">
        <f t="array" ref="Q143">+SUMPRODUCT(('Réel 2023'!$A$8:$A$501=$A143)*('Réel 2023'!$C$3:$AO$3=Q$2),'Réel 2023'!$C$8:$AO$501)</f>
        <v>210</v>
      </c>
      <c r="R143" s="253"/>
      <c r="S143" s="276">
        <f t="shared" si="48"/>
        <v>224.88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3681.4110838559995</v>
      </c>
      <c r="G144" s="298"/>
      <c r="H144" s="41"/>
      <c r="I144" s="254"/>
      <c r="J144" s="253"/>
      <c r="K144" s="41"/>
      <c r="L144" s="256">
        <f>SUMIFS(BV_Data_An_Cour!$P:$P,BV_Data_An_Cour!$U:$U,$B144,BV_Data_An_Cour!$V:$V,$C144,BV_Data_An_Cour!$W:$W,$L$2)</f>
        <v>3863.85</v>
      </c>
      <c r="M144" s="253"/>
      <c r="N144" s="276">
        <f t="shared" si="44"/>
        <v>182.43891614400036</v>
      </c>
      <c r="O144" s="253"/>
      <c r="P144" s="41"/>
      <c r="Q144" s="256" cm="1">
        <f t="array" ref="Q144">+SUMPRODUCT(('Réel 2023'!$A$8:$A$501=$A144)*('Réel 2023'!$C$3:$AO$3=Q$2),'Réel 2023'!$C$8:$AO$501)</f>
        <v>4051.17</v>
      </c>
      <c r="R144" s="253"/>
      <c r="S144" s="276">
        <f t="shared" si="48"/>
        <v>-187.32000000000016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1013.8395827379996</v>
      </c>
      <c r="G145" s="298"/>
      <c r="H145" s="41"/>
      <c r="I145" s="254"/>
      <c r="J145" s="253"/>
      <c r="K145" s="41"/>
      <c r="L145" s="256">
        <f>SUMIFS(BV_Data_An_Cour!$P:$P,BV_Data_An_Cour!$U:$U,$B145,BV_Data_An_Cour!$V:$V,$C145,BV_Data_An_Cour!$W:$W,$L$2)</f>
        <v>763.03</v>
      </c>
      <c r="M145" s="253"/>
      <c r="N145" s="276">
        <f t="shared" si="44"/>
        <v>-250.80958273799968</v>
      </c>
      <c r="O145" s="253"/>
      <c r="P145" s="41"/>
      <c r="Q145" s="256" cm="1">
        <f t="array" ref="Q145">+SUMPRODUCT(('Réel 2023'!$A$8:$A$501=$A145)*('Réel 2023'!$C$3:$AO$3=Q$2),'Réel 2023'!$C$8:$AO$501)</f>
        <v>1068.07</v>
      </c>
      <c r="R145" s="253"/>
      <c r="S145" s="276">
        <f t="shared" si="48"/>
        <v>-305.03999999999996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723.920969582</v>
      </c>
      <c r="G146" s="298"/>
      <c r="H146" s="41"/>
      <c r="I146" s="254"/>
      <c r="J146" s="253"/>
      <c r="K146" s="41"/>
      <c r="L146" s="256">
        <f>SUMIFS(BV_Data_An_Cour!$P:$P,BV_Data_An_Cour!$U:$U,$B146,BV_Data_An_Cour!$V:$V,$C146,BV_Data_An_Cour!$W:$W,$L$2)</f>
        <v>378.12</v>
      </c>
      <c r="M146" s="253"/>
      <c r="N146" s="276">
        <f t="shared" si="44"/>
        <v>-345.80096958199999</v>
      </c>
      <c r="O146" s="253"/>
      <c r="P146" s="41"/>
      <c r="Q146" s="256" cm="1">
        <f t="array" ref="Q146">+SUMPRODUCT(('Réel 2023'!$A$8:$A$501=$A146)*('Réel 2023'!$C$3:$AO$3=Q$2),'Réel 2023'!$C$8:$AO$501)</f>
        <v>948.14999999999986</v>
      </c>
      <c r="R146" s="253"/>
      <c r="S146" s="276">
        <f t="shared" si="48"/>
        <v>-570.02999999999986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2397.3606154580002</v>
      </c>
      <c r="G147" s="298"/>
      <c r="H147" s="41"/>
      <c r="I147" s="254"/>
      <c r="J147" s="253"/>
      <c r="K147" s="41"/>
      <c r="L147" s="256">
        <f>SUMIFS(BV_Data_An_Cour!$P:$P,BV_Data_An_Cour!$U:$U,$B147,BV_Data_An_Cour!$V:$V,$C147,BV_Data_An_Cour!$W:$W,$L$2)</f>
        <v>812.15</v>
      </c>
      <c r="M147" s="253"/>
      <c r="N147" s="276">
        <f t="shared" si="44"/>
        <v>-1585.2106154580001</v>
      </c>
      <c r="O147" s="253"/>
      <c r="P147" s="41"/>
      <c r="Q147" s="256" cm="1">
        <f t="array" ref="Q147">+SUMPRODUCT(('Réel 2023'!$A$8:$A$501=$A147)*('Réel 2023'!$C$3:$AO$3=Q$2),'Réel 2023'!$C$8:$AO$501)</f>
        <v>1838.9399999999996</v>
      </c>
      <c r="R147" s="253"/>
      <c r="S147" s="276">
        <f t="shared" si="48"/>
        <v>-1026.7899999999995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6026.78723636417</v>
      </c>
      <c r="G148" s="298"/>
      <c r="H148" s="41"/>
      <c r="I148" s="254"/>
      <c r="J148" s="253"/>
      <c r="K148" s="41"/>
      <c r="L148" s="256">
        <f>SUMIFS(BV_Data_An_Cour!$P:$P,BV_Data_An_Cour!$U:$U,$B148,BV_Data_An_Cour!$V:$V,$C148,BV_Data_An_Cour!$W:$W,$L$2)</f>
        <v>1615.79</v>
      </c>
      <c r="M148" s="253"/>
      <c r="N148" s="276">
        <f t="shared" si="44"/>
        <v>-4410.99723636417</v>
      </c>
      <c r="O148" s="253"/>
      <c r="P148" s="41"/>
      <c r="Q148" s="256" cm="1">
        <f t="array" ref="Q148">+SUMPRODUCT(('Réel 2023'!$A$8:$A$501=$A148)*('Réel 2023'!$C$3:$AO$3=Q$2),'Réel 2023'!$C$8:$AO$501)</f>
        <v>6730.5099999999993</v>
      </c>
      <c r="R148" s="253"/>
      <c r="S148" s="276">
        <f t="shared" si="48"/>
        <v>-5114.7199999999993</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9386.0948526995053</v>
      </c>
      <c r="G149" s="298"/>
      <c r="H149" s="41"/>
      <c r="I149" s="254"/>
      <c r="J149" s="253"/>
      <c r="K149" s="41"/>
      <c r="L149" s="952">
        <f>SUMIFS(BV_Data_An_Cour!$P:$P,BV_Data_An_Cour!$U:$U,$B149,BV_Data_An_Cour!$V:$V,$C149,BV_Data_An_Cour!$W:$W,L$2)</f>
        <v>10690.91</v>
      </c>
      <c r="M149" s="987"/>
      <c r="N149" s="961">
        <f t="shared" si="44"/>
        <v>1304.8151473004946</v>
      </c>
      <c r="O149" s="253"/>
      <c r="P149" s="41"/>
      <c r="Q149" s="256" cm="1">
        <f t="array" ref="Q149">+SUMPRODUCT(('Réel 2023'!$A$8:$A$501=$A149)*('Réel 2023'!$C$3:$AO$3=Q$2),'Réel 2023'!$C$8:$AO$501)</f>
        <v>9411.4299999999985</v>
      </c>
      <c r="R149" s="253"/>
      <c r="S149" s="276">
        <f t="shared" si="48"/>
        <v>1279.4800000000014</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6.5578765125905422E-2</v>
      </c>
      <c r="F153" s="307">
        <f>+SUM(F136:F152)</f>
        <v>122882.31638536218</v>
      </c>
      <c r="G153" s="308"/>
      <c r="H153" s="306"/>
      <c r="I153" s="307"/>
      <c r="J153" s="308" t="s">
        <v>119</v>
      </c>
      <c r="K153" s="306">
        <f>L153/L$108</f>
        <v>0.12318668089837115</v>
      </c>
      <c r="L153" s="307">
        <f>+SUM(L136:L152)</f>
        <v>104004.53999999998</v>
      </c>
      <c r="M153" s="311"/>
      <c r="N153" s="307">
        <f t="shared" si="44"/>
        <v>-18877.776385362202</v>
      </c>
      <c r="O153" s="308" t="s">
        <v>119</v>
      </c>
      <c r="P153" s="306">
        <f>Q153/Q$108</f>
        <v>7.7836395095272473E-2</v>
      </c>
      <c r="Q153" s="307">
        <f>+SUM(Q136:Q152)</f>
        <v>104774.39999999998</v>
      </c>
      <c r="R153" s="311"/>
      <c r="S153" s="307">
        <f t="shared" si="48"/>
        <v>-769.86000000000058</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0.83102819797629368</v>
      </c>
      <c r="F155" s="307">
        <f>F122+F135+F153</f>
        <v>1557191.1083232737</v>
      </c>
      <c r="G155" s="308"/>
      <c r="H155" s="306"/>
      <c r="I155" s="307"/>
      <c r="J155" s="308" t="s">
        <v>119</v>
      </c>
      <c r="K155" s="306">
        <f>L155/L$108</f>
        <v>1.3870912058178717</v>
      </c>
      <c r="L155" s="307">
        <f>L122+L135+L153</f>
        <v>1171098.8700000001</v>
      </c>
      <c r="M155" s="311"/>
      <c r="N155" s="320">
        <f t="shared" ref="N155:N162" si="49">L155-F155</f>
        <v>-386092.2383232736</v>
      </c>
      <c r="O155" s="308" t="s">
        <v>119</v>
      </c>
      <c r="P155" s="306">
        <f>Q155/Q$108</f>
        <v>0.92742128199264162</v>
      </c>
      <c r="Q155" s="307">
        <f>Q122+Q135+Q153</f>
        <v>1248387.8299999996</v>
      </c>
      <c r="R155" s="311"/>
      <c r="S155" s="320">
        <f t="shared" ref="S155:S162" si="50">L155-Q155</f>
        <v>-77288.959999999497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201451.10287500001</v>
      </c>
      <c r="G159" s="298"/>
      <c r="H159" s="41"/>
      <c r="I159" s="254"/>
      <c r="J159" s="253"/>
      <c r="K159" s="41"/>
      <c r="L159" s="256">
        <f>-SUMIFS(BV_Data_An_Cour!$P:$P,BV_Data_An_Cour!$U:$U,$B159,BV_Data_An_Cour!$V:$V,$C159,BV_Data_An_Cour!$W:$W,L$2)</f>
        <v>129475</v>
      </c>
      <c r="M159" s="253"/>
      <c r="N159" s="276">
        <f t="shared" si="49"/>
        <v>-71976.102875000011</v>
      </c>
      <c r="O159" s="253"/>
      <c r="P159" s="41"/>
      <c r="Q159" s="256" cm="1">
        <f t="array" ref="Q159">+SUMPRODUCT(('Réel 2023'!$A$8:$A$501=$A159)*('Réel 2023'!$C$3:$AO$3=Q$2),'Réel 2023'!$C$8:$AO$501)</f>
        <v>128814</v>
      </c>
      <c r="R159" s="253"/>
      <c r="S159" s="276">
        <f t="shared" si="50"/>
        <v>661</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201451.10287500001</v>
      </c>
      <c r="G163" s="308"/>
      <c r="H163" s="306"/>
      <c r="I163" s="307"/>
      <c r="J163" s="308"/>
      <c r="K163" s="306"/>
      <c r="L163" s="307">
        <f>+SUM(L156:L162)</f>
        <v>129475</v>
      </c>
      <c r="M163" s="311"/>
      <c r="N163" s="307">
        <f>SUM(N156:N159)</f>
        <v>-71976.102875000011</v>
      </c>
      <c r="O163" s="308"/>
      <c r="P163" s="306"/>
      <c r="Q163" s="307">
        <f>+SUM(Q156:Q162)</f>
        <v>128814</v>
      </c>
      <c r="R163" s="311"/>
      <c r="S163" s="307">
        <f>+SUM(S156:S162)</f>
        <v>661</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518072.59455172636</v>
      </c>
      <c r="G165" s="361"/>
      <c r="H165" s="333"/>
      <c r="I165" s="335"/>
      <c r="J165" s="332"/>
      <c r="K165" s="334"/>
      <c r="L165" s="335">
        <f>L108-L155+L163</f>
        <v>-197339.89999999991</v>
      </c>
      <c r="M165" s="332"/>
      <c r="N165" s="335">
        <f>L165-F165</f>
        <v>-715412.49455172627</v>
      </c>
      <c r="O165" s="332"/>
      <c r="P165" s="334"/>
      <c r="Q165" s="335">
        <f>Q108-Q155+Q163</f>
        <v>226511.11999999895</v>
      </c>
      <c r="R165" s="332"/>
      <c r="S165" s="335">
        <f>L165-Q165</f>
        <v>-423851.01999999885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Décembre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30"/>
      <c r="H170" s="1226"/>
      <c r="I170" s="1227"/>
      <c r="J170" s="1230" t="s">
        <v>344</v>
      </c>
      <c r="K170" s="1226"/>
      <c r="L170" s="1227"/>
      <c r="M170" s="1230" t="s">
        <v>3310</v>
      </c>
      <c r="N170" s="1227"/>
      <c r="O170" s="1225" t="s">
        <v>345</v>
      </c>
      <c r="P170" s="1226"/>
      <c r="Q170" s="1227"/>
      <c r="R170" s="1228" t="s">
        <v>3312</v>
      </c>
      <c r="S170" s="1229"/>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6293.9415928456292</v>
      </c>
      <c r="E172" s="291" cm="1">
        <f t="array" ref="E172">+SUMPRODUCT(('Budget original'!$A$8:$A$501=$A172)*('Budget original'!$C$3:$AO$3=E$2),'Budget original'!$C$8:$AO$501)</f>
        <v>2077000.7256390578</v>
      </c>
      <c r="F172" s="291" cm="1">
        <f t="array" ref="F172">+SUMPRODUCT(('Budget original'!$A$8:$A$501=$A172)*('Budget original'!$C$3:$AO$3=F$2),'Budget original'!$C$8:$AO$501)</f>
        <v>1578520.5514856838</v>
      </c>
      <c r="G172" s="322"/>
      <c r="H172" s="291"/>
      <c r="I172" s="291"/>
      <c r="J172" s="277">
        <f>-SUMIFS(BV_Data_An_Cour!$P:$P,BV_Data_An_Cour!$U:$U,$B172,BV_Data_An_Cour!$V:$V,$C172,BV_Data_An_Cour!$W:$W,J$2)</f>
        <v>5524</v>
      </c>
      <c r="K172" s="254">
        <f>-SUMIFS(BV_Data_An_Cour!$P:$P,BV_Data_An_Cour!$X:$X,"Oui",BV_Data_An_Cour!$U:$U,$B172,BV_Data_An_Cour!$V:$V,$C172)</f>
        <v>1837538.44</v>
      </c>
      <c r="L172" s="256">
        <f>-SUMIFS(BV_Data_An_Cour!$P:$P,BV_Data_An_Cour!$U:$U,$B172,BV_Data_An_Cour!$V:$V,$C172,BV_Data_An_Cour!$W:$W,$L$2)</f>
        <v>1465539.3699999999</v>
      </c>
      <c r="M172" s="292">
        <f>(K172-E172)/E172</f>
        <v>-0.11529234568051458</v>
      </c>
      <c r="N172" s="276">
        <f>L172-F172</f>
        <v>-112981.18148568389</v>
      </c>
      <c r="O172" s="277" cm="1">
        <f t="array" ref="O172">+SUMPRODUCT(('Réel 2023'!$A$8:$A$501=$A172)*('Réel 2023'!$C$3:$AO$3=O$2),'Réel 2023'!$C$8:$AO$501)</f>
        <v>5672</v>
      </c>
      <c r="P172" s="254" cm="1">
        <f t="array" ref="P172">+SUMPRODUCT(('Réel 2023'!$A$8:$A$501=$A172)*('Réel 2023'!$C$3:$AO$3=P$2),'Réel 2023'!$C$8:$AO$501)</f>
        <v>1794757.1899999969</v>
      </c>
      <c r="Q172" s="256" cm="1">
        <f t="array" ref="Q172">+SUMPRODUCT(('Réel 2023'!$A$8:$A$501=$A172)*('Réel 2023'!$C$3:$AO$3=Q$2),'Réel 2023'!$C$8:$AO$501)</f>
        <v>1365745.6399999978</v>
      </c>
      <c r="R172" s="292">
        <f>IF(O172=0,0,J172/O172)</f>
        <v>0.9739069111424542</v>
      </c>
      <c r="S172" s="276">
        <f>L172-Q172</f>
        <v>99793.730000002077</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0.7599999999999999</v>
      </c>
      <c r="G173" s="253"/>
      <c r="H173" s="349"/>
      <c r="I173" s="362"/>
      <c r="J173" s="277"/>
      <c r="K173" s="41"/>
      <c r="L173" s="362">
        <f>IF(L172=0,0,L172/K172)</f>
        <v>0.79755576160899244</v>
      </c>
      <c r="M173" s="292"/>
      <c r="N173" s="276"/>
      <c r="O173" s="277"/>
      <c r="P173" s="41"/>
      <c r="Q173" s="362">
        <f>Q172/P172</f>
        <v>0.76096401653083789</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330</v>
      </c>
      <c r="F174" s="364"/>
      <c r="G174" s="246"/>
      <c r="H174" s="403"/>
      <c r="I174" s="364"/>
      <c r="J174" s="365"/>
      <c r="K174" s="606">
        <f>IFERROR(K172/J172,0)</f>
        <v>332.64635047067344</v>
      </c>
      <c r="L174" s="364"/>
      <c r="M174" s="295"/>
      <c r="N174" s="296"/>
      <c r="O174" s="365"/>
      <c r="P174" s="606">
        <f>IFERROR(P172/O172,0)</f>
        <v>316.42404619181895</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1332.9876300068672</v>
      </c>
      <c r="E175" s="291" cm="1">
        <f t="array" ref="E175">+SUMPRODUCT(('Budget original'!$A$8:$A$501=$A175)*('Budget original'!$C$3:$AO$3=E$2),'Budget original'!$C$8:$AO$501)</f>
        <v>359906.66010185424</v>
      </c>
      <c r="F175" s="291" cm="1">
        <f t="array" ref="F175">+SUMPRODUCT(('Budget original'!$A$8:$A$501=$A175)*('Budget original'!$C$3:$AO$3=F$2),'Budget original'!$C$8:$AO$501)</f>
        <v>230340.26246518671</v>
      </c>
      <c r="G175" s="367"/>
      <c r="H175" s="291"/>
      <c r="I175" s="291"/>
      <c r="J175" s="367">
        <f>-SUMIFS(BV_Data_An_Cour!$P:$P,BV_Data_An_Cour!$U:$U,$B175,BV_Data_An_Cour!$V:$V,$C175,BV_Data_An_Cour!$W:$W,J$2)</f>
        <v>1618</v>
      </c>
      <c r="K175" s="271">
        <f>-SUMIFS(BV_Data_An_Cour!$P:$P,BV_Data_An_Cour!$X:$X,"Oui",BV_Data_An_Cour!$U:$U,$B175,BV_Data_An_Cour!$V:$V,$C175)</f>
        <v>424139.19</v>
      </c>
      <c r="L175" s="256">
        <f>-SUMIFS(BV_Data_An_Cour!$P:$P,BV_Data_An_Cour!$U:$U,$B175,BV_Data_An_Cour!$V:$V,$C175,BV_Data_An_Cour!$W:$W,$L$2)</f>
        <v>279554.94</v>
      </c>
      <c r="M175" s="292">
        <f>(K175-E175)/E175</f>
        <v>0.17846996740757129</v>
      </c>
      <c r="N175" s="317">
        <f>L175-F175</f>
        <v>49214.677534813294</v>
      </c>
      <c r="O175" s="367" cm="1">
        <f t="array" ref="O175">+SUMPRODUCT(('Réel 2023'!$A$8:$A$501=$A175)*('Réel 2023'!$C$3:$AO$3=O$2),'Réel 2023'!$C$8:$AO$501)</f>
        <v>1295</v>
      </c>
      <c r="P175" s="271" cm="1">
        <f t="array" ref="P175">+SUMPRODUCT(('Réel 2023'!$A$8:$A$501=$A175)*('Réel 2023'!$C$3:$AO$3=P$2),'Réel 2023'!$C$8:$AO$501)</f>
        <v>340943.76</v>
      </c>
      <c r="Q175" s="256" cm="1">
        <f t="array" ref="Q175">+SUMPRODUCT(('Réel 2023'!$A$8:$A$501=$A175)*('Réel 2023'!$C$3:$AO$3=Q$2),'Réel 2023'!$C$8:$AO$501)</f>
        <v>205916.44999999969</v>
      </c>
      <c r="R175" s="292">
        <f>IF(O175=0,0,J175/O175)</f>
        <v>1.2494208494208494</v>
      </c>
      <c r="S175" s="276">
        <f>L175-Q175</f>
        <v>73638.490000000311</v>
      </c>
      <c r="T175" s="291"/>
      <c r="U175" s="41" t="s">
        <v>462</v>
      </c>
      <c r="V175" s="254">
        <f>+K175+J297</f>
        <v>936578.58000000007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0.65911131673543299</v>
      </c>
      <c r="M176" s="264"/>
      <c r="N176" s="265"/>
      <c r="O176" s="253"/>
      <c r="P176" s="41"/>
      <c r="Q176" s="362">
        <f>Q175/P175</f>
        <v>0.60396016633359029</v>
      </c>
      <c r="R176" s="264"/>
      <c r="S176" s="265"/>
      <c r="T176" s="41"/>
      <c r="U176" s="41" t="s">
        <v>463</v>
      </c>
      <c r="V176" s="254">
        <f>+L175+L297</f>
        <v>398884.37</v>
      </c>
      <c r="W176" s="368">
        <f>+V176/V175</f>
        <v>0.42589525162960695</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2611.875</v>
      </c>
      <c r="E178" s="291" cm="1">
        <f t="array" ref="E178">+SUMPRODUCT(('Budget original'!$A$8:$A$501=$A178)*('Budget original'!$C$3:$AO$3=E$2),'Budget original'!$C$8:$AO$501)</f>
        <v>767891.25</v>
      </c>
      <c r="F178" s="291" cm="1">
        <f t="array" ref="F178">+SUMPRODUCT(('Budget original'!$A$8:$A$501=$A178)*('Budget original'!$C$3:$AO$3=F$2),'Budget original'!$C$8:$AO$501)</f>
        <v>568239.52499999991</v>
      </c>
      <c r="G178" s="253"/>
      <c r="H178" s="291"/>
      <c r="I178" s="291"/>
      <c r="J178" s="277">
        <f>-SUMIFS(BV_Data_An_Cour!$P:$P,BV_Data_An_Cour!$U:$U,$B178,BV_Data_An_Cour!$V:$V,$C178,BV_Data_An_Cour!$W:$W,J$2)</f>
        <v>2892</v>
      </c>
      <c r="K178" s="271">
        <f>-SUMIFS(BV_Data_An_Cour!$P:$P,BV_Data_An_Cour!$X:$X,"Oui",BV_Data_An_Cour!$U:$U,$B178,BV_Data_An_Cour!$V:$V,$C178)</f>
        <v>887241.36</v>
      </c>
      <c r="L178" s="256">
        <f>-SUMIFS(BV_Data_An_Cour!$P:$P,BV_Data_An_Cour!$U:$U,$B178,BV_Data_An_Cour!$V:$V,$C178,BV_Data_An_Cour!$W:$W,$L$2)</f>
        <v>671228.4800000001</v>
      </c>
      <c r="M178" s="292">
        <f>(K178-E178)/E178</f>
        <v>0.1554257975982927</v>
      </c>
      <c r="N178" s="276">
        <f>L178-F178</f>
        <v>102988.95500000019</v>
      </c>
      <c r="O178" s="277" cm="1">
        <f t="array" ref="O178">+SUMPRODUCT(('Réel 2023'!$A$8:$A$501=$A178)*('Réel 2023'!$C$3:$AO$3=O$2),'Réel 2023'!$C$8:$AO$501)</f>
        <v>2616</v>
      </c>
      <c r="P178" s="271" cm="1">
        <f t="array" ref="P178">+SUMPRODUCT(('Réel 2023'!$A$8:$A$501=$A178)*('Réel 2023'!$C$3:$AO$3=P$2),'Réel 2023'!$C$8:$AO$501)</f>
        <v>774983.94999999984</v>
      </c>
      <c r="Q178" s="256" cm="1">
        <f t="array" ref="Q178">+SUMPRODUCT(('Réel 2023'!$A$8:$A$501=$A178)*('Réel 2023'!$C$3:$AO$3=Q$2),'Réel 2023'!$C$8:$AO$501)</f>
        <v>522451.40999999957</v>
      </c>
      <c r="R178" s="292">
        <f>IF(O178=0,0,J178/O178)</f>
        <v>1.1055045871559632</v>
      </c>
      <c r="S178" s="276">
        <f>L178-Q178</f>
        <v>148777.07000000053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0.75653425354291426</v>
      </c>
      <c r="M179" s="292"/>
      <c r="N179" s="276">
        <f>L179-F179</f>
        <v>1.6534253542914379E-2</v>
      </c>
      <c r="O179" s="277"/>
      <c r="P179" s="349"/>
      <c r="Q179" s="362">
        <f>Q178/P178</f>
        <v>0.67414481293451256</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1680</v>
      </c>
      <c r="E181" s="291" cm="1">
        <f t="array" ref="E181">+SUMPRODUCT(('Budget original'!$A$8:$A$501=$A181)*('Budget original'!$C$3:$AO$3=E$2),'Budget original'!$C$8:$AO$501)</f>
        <v>167999.99999999997</v>
      </c>
      <c r="F181" s="291" cm="1">
        <f t="array" ref="F181">+SUMPRODUCT(('Budget original'!$A$8:$A$501=$A181)*('Budget original'!$C$3:$AO$3=F$2),'Budget original'!$C$8:$AO$501)</f>
        <v>127680.00000000001</v>
      </c>
      <c r="G181" s="241"/>
      <c r="H181" s="291"/>
      <c r="I181" s="291"/>
      <c r="J181" s="367">
        <f>-SUMIFS(BV_Data_An_Cour!$P:$P,BV_Data_An_Cour!$U:$U,$B181,BV_Data_An_Cour!$V:$V,$C181,BV_Data_An_Cour!$W:$W,J$2)</f>
        <v>0</v>
      </c>
      <c r="K181" s="271">
        <f>-SUMIFS(BV_Data_An_Cour!$P:$P,BV_Data_An_Cour!$X:$X,"Oui",BV_Data_An_Cour!$U:$U,$B181,BV_Data_An_Cour!$V:$V,$C181)</f>
        <v>156423.35999999999</v>
      </c>
      <c r="L181" s="272">
        <f>-SUMIFS(BV_Data_An_Cour!$P:$P,BV_Data_An_Cour!$U:$U,$B181,BV_Data_An_Cour!$V:$V,$C181,BV_Data_An_Cour!$W:$W,$L$2)</f>
        <v>116846.55999999998</v>
      </c>
      <c r="M181" s="371">
        <f>IF(E181=0,0,(K181-E181)/E181)</f>
        <v>-6.8908571428571347E-2</v>
      </c>
      <c r="N181" s="317">
        <f>L181-F181</f>
        <v>-10833.440000000031</v>
      </c>
      <c r="O181" s="367" cm="1">
        <f t="array" ref="O181">+SUMPRODUCT(('Réel 2023'!$A$8:$A$501=$A181)*('Réel 2023'!$C$3:$AO$3=O$2),'Réel 2023'!$C$8:$AO$501)</f>
        <v>0</v>
      </c>
      <c r="P181" s="271" cm="1">
        <f t="array" ref="P181">+SUMPRODUCT(('Réel 2023'!$A$8:$A$501=$A181)*('Réel 2023'!$C$3:$AO$3=P$2),'Réel 2023'!$C$8:$AO$501)</f>
        <v>115951.84999999998</v>
      </c>
      <c r="Q181" s="272" cm="1">
        <f t="array" ref="Q181">+SUMPRODUCT(('Réel 2023'!$A$8:$A$501=$A181)*('Réel 2023'!$C$3:$AO$3=Q$2),'Réel 2023'!$C$8:$AO$501)</f>
        <v>91317.869999999937</v>
      </c>
      <c r="R181" s="292">
        <f>IF(O181=0,0,J181/O181)</f>
        <v>0</v>
      </c>
      <c r="S181" s="317">
        <f>L181-Q181</f>
        <v>25528.690000000046</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0.76000000000000023</v>
      </c>
      <c r="G182" s="270"/>
      <c r="H182" s="372"/>
      <c r="I182" s="362"/>
      <c r="J182" s="373"/>
      <c r="K182" s="372">
        <f>IF(J182&lt;=0,0,L182/J182)</f>
        <v>0</v>
      </c>
      <c r="L182" s="362">
        <f>IF(L181=0,0,L181/K181)</f>
        <v>0.74698919649852802</v>
      </c>
      <c r="M182" s="277">
        <f>J182-D182</f>
        <v>0</v>
      </c>
      <c r="N182" s="374"/>
      <c r="O182" s="373"/>
      <c r="P182" s="372"/>
      <c r="Q182" s="362">
        <f>IFERROR(Q181/P181,0)</f>
        <v>0.78754991834972843</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-38999.999999999978</v>
      </c>
      <c r="G184" s="253"/>
      <c r="H184" s="291"/>
      <c r="I184" s="291"/>
      <c r="J184" s="277"/>
      <c r="K184" s="291"/>
      <c r="L184" s="291">
        <f>-SUMIFS(BV_Data_An_Cour!$P:$P,BV_Data_An_Cour!$U:$U,$B184,BV_Data_An_Cour!$V:$V,$C184,BV_Data_An_Cour!$W:$W,$L$2)</f>
        <v>-32078.400000000001</v>
      </c>
      <c r="M184" s="373"/>
      <c r="N184" s="276">
        <f>L184-F184</f>
        <v>6921.5999999999767</v>
      </c>
      <c r="O184" s="277"/>
      <c r="P184" s="291"/>
      <c r="Q184" s="291" cm="1">
        <f t="array" ref="Q184">+SUMPRODUCT(('Réel 2023'!$A$8:$A$501=$A184)*('Réel 2023'!$C$3:$AO$3=Q$2),'Réel 2023'!$C$8:$AO$501)</f>
        <v>-32056.45</v>
      </c>
      <c r="R184" s="379"/>
      <c r="S184" s="276">
        <f t="shared" ref="S184:S185" si="52">L184-Q184</f>
        <v>-21.950000000000728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11918.804222852497</v>
      </c>
      <c r="E185" s="381">
        <f>E172+E175+E178+E181+E184</f>
        <v>3372798.6357409121</v>
      </c>
      <c r="F185" s="382">
        <f t="shared" ref="F185" si="54">F172+F175+F178+F181+F184</f>
        <v>2465780.3389508706</v>
      </c>
      <c r="G185" s="383"/>
      <c r="H185" s="381"/>
      <c r="I185" s="382"/>
      <c r="J185" s="383">
        <f t="shared" ref="J185:L185" si="55">J172+J175+J178+J181+J184</f>
        <v>10034</v>
      </c>
      <c r="K185" s="381">
        <f t="shared" si="55"/>
        <v>3305342.3499999996</v>
      </c>
      <c r="L185" s="382">
        <f t="shared" si="55"/>
        <v>2501090.9500000002</v>
      </c>
      <c r="M185" s="384">
        <f>(K185-E185)/E185</f>
        <v>-2.0000092809007591E-2</v>
      </c>
      <c r="N185" s="382">
        <f>L185-F185</f>
        <v>35310.611049129628</v>
      </c>
      <c r="O185" s="383">
        <f t="shared" ref="O185" si="56">O172+O175+O178+O181+O184</f>
        <v>9583</v>
      </c>
      <c r="P185" s="381">
        <f>P172+P175+P178+P181+P184</f>
        <v>3026636.7499999967</v>
      </c>
      <c r="Q185" s="382">
        <f t="shared" ref="Q185" si="57">Q172+Q175+Q178+Q181+Q184</f>
        <v>2153374.9199999971</v>
      </c>
      <c r="R185" s="264">
        <f>IF(O185=0,0,J185/O185)</f>
        <v>1.0470625065219661</v>
      </c>
      <c r="S185" s="382">
        <f t="shared" si="52"/>
        <v>347716.03000000305</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282.98129348194868</v>
      </c>
      <c r="F186" s="388">
        <f>F185/E185</f>
        <v>0.73107843226140468</v>
      </c>
      <c r="G186" s="389"/>
      <c r="H186" s="609"/>
      <c r="I186" s="265"/>
      <c r="J186" s="389"/>
      <c r="K186" s="609">
        <f>IF(J185=0,0,K185/J185)</f>
        <v>329.41422662945979</v>
      </c>
      <c r="L186" s="265">
        <f>IF(L185=0,0,L185/K185)</f>
        <v>0.75668136161447863</v>
      </c>
      <c r="M186" s="389"/>
      <c r="N186" s="388">
        <f>N185/F185</f>
        <v>1.4320258171964107E-2</v>
      </c>
      <c r="O186" s="389"/>
      <c r="P186" s="609">
        <f>IF(O185=0,0,P185/O185)</f>
        <v>315.83395074611258</v>
      </c>
      <c r="Q186" s="265">
        <f>Q185/P185</f>
        <v>0.71147451705263254</v>
      </c>
      <c r="R186" s="389"/>
      <c r="S186" s="265">
        <f>IF(Q185=0,0,(S185/Q185))</f>
        <v>0.16147491399221994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149998.60802777953</v>
      </c>
      <c r="F188" s="291" cm="1">
        <f t="array" ref="F188">+SUMPRODUCT(('Budget original'!$A$8:$A$501=$A188)*('Budget original'!$C$3:$AO$3=F$2),'Budget original'!$C$8:$AO$501)</f>
        <v>32999.693766111493</v>
      </c>
      <c r="G188" s="277"/>
      <c r="H188" s="291"/>
      <c r="I188" s="291"/>
      <c r="J188" s="277"/>
      <c r="K188" s="254">
        <f>-SUMIFS(BV_Data_An_Cour!$P:$P,BV_Data_An_Cour!$X:$X,"Oui",BV_Data_An_Cour!$U:$U,$B188,BV_Data_An_Cour!$V:$V,$C188)</f>
        <v>193449.26</v>
      </c>
      <c r="L188" s="256">
        <f>-SUMIFS(BV_Data_An_Cour!$P:$P,BV_Data_An_Cour!$U:$U,$B188,BV_Data_An_Cour!$V:$V,$C188,BV_Data_An_Cour!$W:$W,$L$2)</f>
        <v>36117.040000000008</v>
      </c>
      <c r="M188" s="292">
        <f>IF(E188=0,0,(K188-E188)/E188)</f>
        <v>0.28967370126643766</v>
      </c>
      <c r="N188" s="276">
        <f>L188-F188</f>
        <v>3117.3462338885147</v>
      </c>
      <c r="O188" s="277"/>
      <c r="P188" s="254" cm="1">
        <f t="array" ref="P188">+SUMPRODUCT(('Réel 2023'!$A$8:$A$501=$A188)*('Réel 2023'!$C$3:$AO$3=P$2),'Réel 2023'!$C$8:$AO$501)</f>
        <v>153688.8599999999</v>
      </c>
      <c r="Q188" s="256" cm="1">
        <f t="array" ref="Q188">+SUMPRODUCT(('Réel 2023'!$A$8:$A$501=$A188)*('Réel 2023'!$C$3:$AO$3=Q$2),'Réel 2023'!$C$8:$AO$501)</f>
        <v>29772.999999999953</v>
      </c>
      <c r="R188" s="292">
        <f>IF(O188=0,0,J188/O188)</f>
        <v>0</v>
      </c>
      <c r="S188" s="276">
        <f>L188-Q188</f>
        <v>6344.0400000000554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0.21999999999999997</v>
      </c>
      <c r="G189" s="253"/>
      <c r="H189" s="349"/>
      <c r="I189" s="362"/>
      <c r="J189" s="373"/>
      <c r="K189" s="372"/>
      <c r="L189" s="362">
        <f>IF(L188=0,0,L188/K188)</f>
        <v>0.18670032648354409</v>
      </c>
      <c r="M189" s="373"/>
      <c r="N189" s="374"/>
      <c r="O189" s="373"/>
      <c r="P189" s="372"/>
      <c r="Q189" s="362">
        <f>IFERROR(Q188/P188,0)</f>
        <v>0.19372256388654305</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167999.99999999997</v>
      </c>
      <c r="F191" s="291" cm="1">
        <f t="array" ref="F191">+SUMPRODUCT(('Budget original'!$A$8:$A$501=$A191)*('Budget original'!$C$3:$AO$3=F$2),'Budget original'!$C$8:$AO$501)</f>
        <v>117600</v>
      </c>
      <c r="G191" s="253"/>
      <c r="H191" s="291"/>
      <c r="I191" s="291"/>
      <c r="J191" s="373"/>
      <c r="K191" s="254">
        <f>-SUMIFS(BV_Data_An_Cour!$P:$P,BV_Data_An_Cour!$X:$X,"Oui",BV_Data_An_Cour!$U:$U,$B191,BV_Data_An_Cour!$V:$V,$C191)</f>
        <v>102829.94</v>
      </c>
      <c r="L191" s="256">
        <f>-SUMIFS(BV_Data_An_Cour!$P:$P,BV_Data_An_Cour!$U:$U,$B191,BV_Data_An_Cour!$V:$V,$C191,BV_Data_An_Cour!$W:$W,$L$2)</f>
        <v>73354.19</v>
      </c>
      <c r="M191" s="373"/>
      <c r="N191" s="374"/>
      <c r="O191" s="373"/>
      <c r="P191" s="254" cm="1">
        <f t="array" ref="P191">+SUMPRODUCT(('Réel 2023'!$A$8:$A$501=$A191)*('Réel 2023'!$C$3:$AO$3=P$2),'Réel 2023'!$C$8:$AO$501)</f>
        <v>67720.11</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0.70000000000000007</v>
      </c>
      <c r="G192" s="253"/>
      <c r="H192" s="349"/>
      <c r="I192" s="362"/>
      <c r="J192" s="373"/>
      <c r="K192" s="372"/>
      <c r="L192" s="362">
        <f>IF(L191=0,0,L191/K191)</f>
        <v>0.71335439853412341</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3690797.2437686916</v>
      </c>
      <c r="F194" s="281">
        <f t="shared" si="58"/>
        <v>2616380.0327169821</v>
      </c>
      <c r="G194" s="282"/>
      <c r="H194" s="279"/>
      <c r="I194" s="281"/>
      <c r="J194" s="282"/>
      <c r="K194" s="279">
        <f t="shared" ref="K194:L194" si="59">K185+K188+K191</f>
        <v>3601621.5499999993</v>
      </c>
      <c r="L194" s="281">
        <f t="shared" si="59"/>
        <v>2610562.1800000002</v>
      </c>
      <c r="M194" s="399">
        <f>L195-F195</f>
        <v>1.5936756367479266E-2</v>
      </c>
      <c r="N194" s="281">
        <f>L194-F194</f>
        <v>-5817.852716981899</v>
      </c>
      <c r="O194" s="282"/>
      <c r="P194" s="279">
        <f t="shared" ref="P194:Q194" si="60">P185+P188+P191</f>
        <v>3248045.7199999965</v>
      </c>
      <c r="Q194" s="281">
        <f t="shared" si="60"/>
        <v>2183147.9199999971</v>
      </c>
      <c r="R194" s="399">
        <f>L195-Q195</f>
        <v>5.2687683784715444E-2</v>
      </c>
      <c r="S194" s="281">
        <f>L194-Q194</f>
        <v>427414.26000000304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0.70889291931013343</v>
      </c>
      <c r="G195" s="283"/>
      <c r="H195" s="284"/>
      <c r="I195" s="287"/>
      <c r="J195" s="283"/>
      <c r="K195" s="284"/>
      <c r="L195" s="287">
        <f>L194/K194</f>
        <v>0.72482967567761269</v>
      </c>
      <c r="M195" s="286"/>
      <c r="N195" s="287">
        <f>N194/F194</f>
        <v>-2.2236267836596908E-3</v>
      </c>
      <c r="O195" s="283"/>
      <c r="P195" s="284"/>
      <c r="Q195" s="287">
        <f>Q194/P194</f>
        <v>0.67214199189289725</v>
      </c>
      <c r="R195" s="286"/>
      <c r="S195" s="287">
        <f>L194/S194</f>
        <v>6.1078031884101893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200107.22499999998</v>
      </c>
      <c r="G198" s="253"/>
      <c r="H198" s="41"/>
      <c r="I198" s="254"/>
      <c r="J198" s="253"/>
      <c r="K198" s="41"/>
      <c r="L198" s="256">
        <f>SUMIFS(BV_Data_An_Cour!$P:$P,BV_Data_An_Cour!$U:$U,$B198,BV_Data_An_Cour!$V:$V,$C198,BV_Data_An_Cour!$W:$W,$L$2)</f>
        <v>175057.22</v>
      </c>
      <c r="M198" s="253"/>
      <c r="N198" s="276">
        <f t="shared" ref="N198:N229" si="61">L198-F198</f>
        <v>-25050.004999999976</v>
      </c>
      <c r="O198" s="253"/>
      <c r="P198" s="41"/>
      <c r="Q198" s="256" cm="1">
        <f t="array" ref="Q198">+SUMPRODUCT(('Réel 2023'!$A$8:$A$501=$A198)*('Réel 2023'!$C$3:$AO$3=Q$2),'Réel 2023'!$C$8:$AO$501)</f>
        <v>138678.93999999997</v>
      </c>
      <c r="R198" s="253"/>
      <c r="S198" s="256">
        <f t="shared" ref="S198:S229" si="62">L198-Q198</f>
        <v>36378.280000000028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110532.42199999999</v>
      </c>
      <c r="G199" s="298"/>
      <c r="H199" s="41"/>
      <c r="I199" s="248"/>
      <c r="J199" s="253"/>
      <c r="K199" s="41"/>
      <c r="L199" s="256">
        <f>SUMIFS(BV_Data_An_Cour!$P:$P,BV_Data_An_Cour!$U:$U,$B199,BV_Data_An_Cour!$V:$V,$C199,BV_Data_An_Cour!$W:$W,$L$2)</f>
        <v>94910.8</v>
      </c>
      <c r="M199" s="253"/>
      <c r="N199" s="276">
        <f t="shared" si="61"/>
        <v>-15621.621999999988</v>
      </c>
      <c r="O199" s="253"/>
      <c r="P199" s="41"/>
      <c r="Q199" s="256" cm="1">
        <f t="array" ref="Q199">+SUMPRODUCT(('Réel 2023'!$A$8:$A$501=$A199)*('Réel 2023'!$C$3:$AO$3=Q$2),'Réel 2023'!$C$8:$AO$501)</f>
        <v>87087.040000000008</v>
      </c>
      <c r="R199" s="253"/>
      <c r="S199" s="276">
        <f t="shared" si="62"/>
        <v>7823.7599999999948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225525.50000000003</v>
      </c>
      <c r="G200" s="316"/>
      <c r="H200" s="315"/>
      <c r="I200" s="254"/>
      <c r="J200" s="241"/>
      <c r="K200" s="315"/>
      <c r="L200" s="272">
        <f>SUMIFS(BV_Data_An_Cour!$P:$P,BV_Data_An_Cour!$U:$U,$B200,BV_Data_An_Cour!$V:$V,$C200,BV_Data_An_Cour!$W:$W,$L$2)</f>
        <v>216486.09</v>
      </c>
      <c r="M200" s="241"/>
      <c r="N200" s="317">
        <f t="shared" si="61"/>
        <v>-9039.4100000000326</v>
      </c>
      <c r="O200" s="241"/>
      <c r="P200" s="315"/>
      <c r="Q200" s="272" cm="1">
        <f t="array" ref="Q200">+SUMPRODUCT(('Réel 2023'!$A$8:$A$501=$A200)*('Réel 2023'!$C$3:$AO$3=Q$2),'Réel 2023'!$C$8:$AO$501)</f>
        <v>170123.82</v>
      </c>
      <c r="R200" s="241"/>
      <c r="S200" s="317">
        <f t="shared" si="62"/>
        <v>46362.26999999999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365799.26791981579</v>
      </c>
      <c r="G201" s="298"/>
      <c r="H201" s="41"/>
      <c r="I201" s="254"/>
      <c r="J201" s="253"/>
      <c r="K201" s="41"/>
      <c r="L201" s="256">
        <f>SUMIFS(BV_Data_An_Cour!$P:$P,BV_Data_An_Cour!$U:$U,$B201,BV_Data_An_Cour!$V:$V,$C201,BV_Data_An_Cour!$W:$W,$L$2)</f>
        <v>347460.79</v>
      </c>
      <c r="M201" s="253"/>
      <c r="N201" s="276">
        <f t="shared" si="61"/>
        <v>-18338.477919815807</v>
      </c>
      <c r="O201" s="253"/>
      <c r="P201" s="41"/>
      <c r="Q201" s="256" cm="1">
        <f t="array" ref="Q201">+SUMPRODUCT(('Réel 2023'!$A$8:$A$501=$A201)*('Réel 2023'!$C$3:$AO$3=Q$2),'Réel 2023'!$C$8:$AO$501)</f>
        <v>338254.12</v>
      </c>
      <c r="R201" s="253"/>
      <c r="S201" s="276">
        <f t="shared" si="62"/>
        <v>9206.6699999999837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209744.26717906876</v>
      </c>
      <c r="G205" s="298"/>
      <c r="H205" s="41"/>
      <c r="I205" s="254"/>
      <c r="J205" s="253"/>
      <c r="K205" s="41"/>
      <c r="L205" s="256">
        <f>SUMIFS(BV_Data_An_Cour!$P:$P,BV_Data_An_Cour!$U:$U,$B205,BV_Data_An_Cour!$V:$V,$C205,BV_Data_An_Cour!$W:$W,$L$2)</f>
        <v>198730.3</v>
      </c>
      <c r="M205" s="253"/>
      <c r="N205" s="276">
        <f t="shared" si="61"/>
        <v>-11013.967179068772</v>
      </c>
      <c r="O205" s="253"/>
      <c r="P205" s="41"/>
      <c r="Q205" s="256" cm="1">
        <f t="array" ref="Q205">+SUMPRODUCT(('Réel 2023'!$A$8:$A$501=$A205)*('Réel 2023'!$C$3:$AO$3=Q$2),'Réel 2023'!$C$8:$AO$501)</f>
        <v>197825.93999999997</v>
      </c>
      <c r="R205" s="253"/>
      <c r="S205" s="276">
        <f t="shared" si="62"/>
        <v>904.36000000001513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255019.46141596028</v>
      </c>
      <c r="G206" s="316"/>
      <c r="H206" s="315"/>
      <c r="I206" s="272"/>
      <c r="J206" s="241"/>
      <c r="K206" s="315"/>
      <c r="L206" s="272">
        <f>SUMIFS(BV_Data_An_Cour!$P:$P,BV_Data_An_Cour!$U:$U,$B206,BV_Data_An_Cour!$V:$V,$C206,BV_Data_An_Cour!$W:$W,$L$2)</f>
        <v>254898.48</v>
      </c>
      <c r="M206" s="241"/>
      <c r="N206" s="317">
        <f t="shared" si="61"/>
        <v>-120.98141596026835</v>
      </c>
      <c r="O206" s="241"/>
      <c r="P206" s="315"/>
      <c r="Q206" s="272" cm="1">
        <f t="array" ref="Q206">+SUMPRODUCT(('Réel 2023'!$A$8:$A$501=$A206)*('Réel 2023'!$C$3:$AO$3=Q$2),'Réel 2023'!$C$8:$AO$501)</f>
        <v>238785.46</v>
      </c>
      <c r="R206" s="241"/>
      <c r="S206" s="317">
        <f t="shared" si="62"/>
        <v>16113.020000000019</v>
      </c>
      <c r="T206" s="41"/>
      <c r="V206" s="254">
        <f>L206-Print_Mois!L206</f>
        <v>237643.72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131390.46164257085</v>
      </c>
      <c r="G207" s="298"/>
      <c r="H207" s="41"/>
      <c r="I207" s="254"/>
      <c r="J207" s="253"/>
      <c r="K207" s="41"/>
      <c r="L207" s="256">
        <f>SUMIFS(BV_Data_An_Cour!$P:$P,BV_Data_An_Cour!$U:$U,$B207,BV_Data_An_Cour!$V:$V,$C207,BV_Data_An_Cour!$W:$W,$L$2)</f>
        <v>129390.37</v>
      </c>
      <c r="M207" s="253"/>
      <c r="N207" s="276">
        <f t="shared" si="61"/>
        <v>-2000.0916425708565</v>
      </c>
      <c r="O207" s="253"/>
      <c r="P207" s="41"/>
      <c r="Q207" s="256" cm="1">
        <f t="array" ref="Q207">+SUMPRODUCT(('Réel 2023'!$A$8:$A$501=$A207)*('Réel 2023'!$C$3:$AO$3=Q$2),'Réel 2023'!$C$8:$AO$501)</f>
        <v>133124.79</v>
      </c>
      <c r="R207" s="253"/>
      <c r="S207" s="276">
        <f t="shared" si="62"/>
        <v>-3734.4200000000128</v>
      </c>
      <c r="T207" s="41"/>
      <c r="V207" s="254">
        <f>L207-Print_Mois!L207</f>
        <v>120388.09</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57286.980463005551</v>
      </c>
      <c r="G208" s="298"/>
      <c r="H208" s="41"/>
      <c r="I208" s="254"/>
      <c r="J208" s="253"/>
      <c r="K208" s="41"/>
      <c r="L208" s="256">
        <f>SUMIFS(BV_Data_An_Cour!$P:$P,BV_Data_An_Cour!$U:$U,$B208,BV_Data_An_Cour!$V:$V,$C208,BV_Data_An_Cour!$W:$W,$L$2)</f>
        <v>49504.6</v>
      </c>
      <c r="M208" s="253"/>
      <c r="N208" s="276">
        <f t="shared" si="61"/>
        <v>-7782.3804630055529</v>
      </c>
      <c r="O208" s="253"/>
      <c r="P208" s="41"/>
      <c r="Q208" s="256" cm="1">
        <f t="array" ref="Q208">+SUMPRODUCT(('Réel 2023'!$A$8:$A$501=$A208)*('Réel 2023'!$C$3:$AO$3=Q$2),'Réel 2023'!$C$8:$AO$501)</f>
        <v>52334.76</v>
      </c>
      <c r="R208" s="253"/>
      <c r="S208" s="276">
        <f t="shared" si="62"/>
        <v>-2830.1600000000035</v>
      </c>
      <c r="T208" s="41"/>
      <c r="V208" s="254">
        <f>L208-Print_Mois!L208</f>
        <v>45053.75</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0.59448763794654436</v>
      </c>
      <c r="F210" s="307">
        <f>+SUM(F198:F209)</f>
        <v>1555405.5856204212</v>
      </c>
      <c r="G210" s="308"/>
      <c r="H210" s="306"/>
      <c r="I210" s="307"/>
      <c r="J210" s="308" t="s">
        <v>175</v>
      </c>
      <c r="K210" s="306">
        <f>L210/L$194</f>
        <v>0.56173289463651077</v>
      </c>
      <c r="L210" s="307">
        <f>+SUM(L198:L209)</f>
        <v>1466438.65</v>
      </c>
      <c r="M210" s="355"/>
      <c r="N210" s="320">
        <f t="shared" si="61"/>
        <v>-88966.935620421311</v>
      </c>
      <c r="O210" s="308" t="s">
        <v>175</v>
      </c>
      <c r="P210" s="306">
        <f>Q210/Q$194</f>
        <v>0.62121987134980838</v>
      </c>
      <c r="Q210" s="307">
        <f>+SUM(Q198:Q209)</f>
        <v>1356214.8699999999</v>
      </c>
      <c r="R210" s="355"/>
      <c r="S210" s="320">
        <f t="shared" si="62"/>
        <v>110223.78000000003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124643.90782958329</v>
      </c>
      <c r="G211" s="298"/>
      <c r="H211" s="41"/>
      <c r="I211" s="254"/>
      <c r="J211" s="253"/>
      <c r="K211" s="41"/>
      <c r="L211" s="256">
        <f>SUMIFS(BV_Data_An_Cour!$P:$P,BV_Data_An_Cour!$U:$U,$B211,BV_Data_An_Cour!$V:$V,$C211,BV_Data_An_Cour!$W:$W,$L$2)</f>
        <v>134306.92000000001</v>
      </c>
      <c r="M211" s="253"/>
      <c r="N211" s="276">
        <f t="shared" si="61"/>
        <v>9663.012170416725</v>
      </c>
      <c r="O211" s="253"/>
      <c r="P211" s="41"/>
      <c r="Q211" s="256" cm="1">
        <f t="array" ref="Q211">+SUMPRODUCT(('Réel 2023'!$A$8:$A$501=$A211)*('Réel 2023'!$C$3:$AO$3=Q$2),'Réel 2023'!$C$8:$AO$501)</f>
        <v>130898.63999999998</v>
      </c>
      <c r="R211" s="253"/>
      <c r="S211" s="276">
        <f t="shared" si="62"/>
        <v>3408.2800000000279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46324.71188201334</v>
      </c>
      <c r="G212" s="298"/>
      <c r="H212" s="41"/>
      <c r="I212" s="254"/>
      <c r="J212" s="253"/>
      <c r="K212" s="41"/>
      <c r="L212" s="610">
        <f>SUMIFS(BV_Data_An_Cour!$P:$P,BV_Data_An_Cour!$U:$U,$B212,BV_Data_An_Cour!$V:$V,$C212,BV_Data_An_Cour!$W:$W,$L$2)</f>
        <v>55524.08</v>
      </c>
      <c r="M212" s="253"/>
      <c r="N212" s="276">
        <f t="shared" si="61"/>
        <v>9199.3681179866617</v>
      </c>
      <c r="O212" s="253"/>
      <c r="P212" s="41"/>
      <c r="Q212" s="256" cm="1">
        <f t="array" ref="Q212">+SUMPRODUCT(('Réel 2023'!$A$8:$A$501=$A212)*('Réel 2023'!$C$3:$AO$3=Q$2),'Réel 2023'!$C$8:$AO$501)</f>
        <v>53458.459999999977</v>
      </c>
      <c r="R212" s="253"/>
      <c r="S212" s="276">
        <f t="shared" si="62"/>
        <v>2065.6200000000244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160000</v>
      </c>
      <c r="G213" s="300"/>
      <c r="H213" s="318"/>
      <c r="I213" s="248"/>
      <c r="J213" s="246"/>
      <c r="K213" s="318"/>
      <c r="L213" s="256">
        <f>SUMIFS(BV_Data_An_Cour!$P:$P,BV_Data_An_Cour!$U:$U,$B213,BV_Data_An_Cour!$V:$V,$C213,BV_Data_An_Cour!$W:$W,$L$2)</f>
        <v>142202.62</v>
      </c>
      <c r="M213" s="246"/>
      <c r="N213" s="296">
        <f t="shared" si="61"/>
        <v>-17797.380000000005</v>
      </c>
      <c r="O213" s="246"/>
      <c r="P213" s="318"/>
      <c r="Q213" s="256" cm="1">
        <f t="array" ref="Q213">+SUMPRODUCT(('Réel 2023'!$A$8:$A$501=$A213)*('Réel 2023'!$C$3:$AO$3=Q$2),'Réel 2023'!$C$8:$AO$501)</f>
        <v>154655.71</v>
      </c>
      <c r="R213" s="246"/>
      <c r="S213" s="296">
        <f t="shared" si="62"/>
        <v>-12453.089999999997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52330.582495999988</v>
      </c>
      <c r="G214" s="298"/>
      <c r="H214" s="41"/>
      <c r="I214" s="254"/>
      <c r="J214" s="253"/>
      <c r="K214" s="41"/>
      <c r="L214" s="272">
        <f>SUMIFS(BV_Data_An_Cour!$P:$P,BV_Data_An_Cour!$U:$U,$B214,BV_Data_An_Cour!$V:$V,$C214,BV_Data_An_Cour!$W:$W,$L$2)</f>
        <v>60051.46</v>
      </c>
      <c r="M214" s="253"/>
      <c r="N214" s="276">
        <f t="shared" si="61"/>
        <v>7720.877504000011</v>
      </c>
      <c r="O214" s="253"/>
      <c r="P214" s="41"/>
      <c r="Q214" s="272" cm="1">
        <f t="array" ref="Q214">+SUMPRODUCT(('Réel 2023'!$A$8:$A$501=$A214)*('Réel 2023'!$C$3:$AO$3=Q$2),'Réel 2023'!$C$8:$AO$501)</f>
        <v>62213.120000000003</v>
      </c>
      <c r="R214" s="253"/>
      <c r="S214" s="276">
        <f t="shared" si="62"/>
        <v>-2161.6600000000035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13192.582256247888</v>
      </c>
      <c r="G215" s="298"/>
      <c r="H215" s="41"/>
      <c r="I215" s="254"/>
      <c r="J215" s="253"/>
      <c r="K215" s="41"/>
      <c r="L215" s="256">
        <f>SUMIFS(BV_Data_An_Cour!$P:$P,BV_Data_An_Cour!$U:$U,$B215,BV_Data_An_Cour!$V:$V,$C215,BV_Data_An_Cour!$W:$W,$L$2)</f>
        <v>13765.83</v>
      </c>
      <c r="M215" s="253"/>
      <c r="N215" s="276">
        <f t="shared" si="61"/>
        <v>573.247743752112</v>
      </c>
      <c r="O215" s="253"/>
      <c r="P215" s="41"/>
      <c r="Q215" s="256" cm="1">
        <f t="array" ref="Q215">+SUMPRODUCT(('Réel 2023'!$A$8:$A$501=$A215)*('Réel 2023'!$C$3:$AO$3=Q$2),'Réel 2023'!$C$8:$AO$501)</f>
        <v>19208.180000000004</v>
      </c>
      <c r="R215" s="253"/>
      <c r="S215" s="276">
        <f t="shared" si="62"/>
        <v>-5442.350000000004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79701.264029866681</v>
      </c>
      <c r="G216" s="300"/>
      <c r="H216" s="318"/>
      <c r="I216" s="248"/>
      <c r="J216" s="246"/>
      <c r="K216" s="318"/>
      <c r="L216" s="256">
        <f>SUMIFS(BV_Data_An_Cour!$P:$P,BV_Data_An_Cour!$U:$U,$B216,BV_Data_An_Cour!$V:$V,$C216,BV_Data_An_Cour!$W:$W,$L$2)</f>
        <v>149992.49</v>
      </c>
      <c r="M216" s="246"/>
      <c r="N216" s="296">
        <f t="shared" si="61"/>
        <v>70291.22597013331</v>
      </c>
      <c r="O216" s="246"/>
      <c r="P216" s="318"/>
      <c r="Q216" s="256" cm="1">
        <f t="array" ref="Q216">+SUMPRODUCT(('Réel 2023'!$A$8:$A$501=$A216)*('Réel 2023'!$C$3:$AO$3=Q$2),'Réel 2023'!$C$8:$AO$501)</f>
        <v>58171.479999999996</v>
      </c>
      <c r="R216" s="246"/>
      <c r="S216" s="296">
        <f t="shared" si="62"/>
        <v>91821.01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67000.000000000015</v>
      </c>
      <c r="G218" s="298"/>
      <c r="H218" s="41"/>
      <c r="I218" s="254"/>
      <c r="J218" s="253"/>
      <c r="K218" s="41"/>
      <c r="L218" s="256">
        <f>SUMIFS(BV_Data_An_Cour!$P:$P,BV_Data_An_Cour!$U:$U,$B218,BV_Data_An_Cour!$V:$V,$C218,BV_Data_An_Cour!$W:$W,$L$2)</f>
        <v>57317.82</v>
      </c>
      <c r="M218" s="253"/>
      <c r="N218" s="276">
        <f t="shared" si="61"/>
        <v>-9682.1800000000148</v>
      </c>
      <c r="O218" s="253"/>
      <c r="P218" s="41"/>
      <c r="Q218" s="256" cm="1">
        <f t="array" ref="Q218">+SUMPRODUCT(('Réel 2023'!$A$8:$A$501=$A218)*('Réel 2023'!$C$3:$AO$3=Q$2),'Réel 2023'!$C$8:$AO$501)</f>
        <v>80118.310000000012</v>
      </c>
      <c r="R218" s="253"/>
      <c r="S218" s="276">
        <f t="shared" si="62"/>
        <v>-22800.490000000013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14663.299651285315</v>
      </c>
      <c r="G219" s="298"/>
      <c r="H219" s="41"/>
      <c r="I219" s="254"/>
      <c r="J219" s="253"/>
      <c r="K219" s="41"/>
      <c r="L219" s="256">
        <f>SUMIFS(BV_Data_An_Cour!$P:$P,BV_Data_An_Cour!$U:$U,$B219,BV_Data_An_Cour!$V:$V,$C219,BV_Data_An_Cour!$W:$W,$L$2)</f>
        <v>14535.6</v>
      </c>
      <c r="M219" s="253"/>
      <c r="N219" s="276">
        <f t="shared" si="61"/>
        <v>-127.69965128531476</v>
      </c>
      <c r="O219" s="253"/>
      <c r="P219" s="41"/>
      <c r="Q219" s="256" cm="1">
        <f t="array" ref="Q219">+SUMPRODUCT(('Réel 2023'!$A$8:$A$501=$A219)*('Réel 2023'!$C$3:$AO$3=Q$2),'Réel 2023'!$C$8:$AO$501)</f>
        <v>15312.959999999997</v>
      </c>
      <c r="R219" s="253"/>
      <c r="S219" s="276">
        <f t="shared" si="62"/>
        <v>-777.35999999999694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8978.4511677120008</v>
      </c>
      <c r="G220" s="298"/>
      <c r="H220" s="41"/>
      <c r="I220" s="254"/>
      <c r="J220" s="253"/>
      <c r="K220" s="41"/>
      <c r="L220" s="256">
        <f>SUMIFS(BV_Data_An_Cour!$P:$P,BV_Data_An_Cour!$U:$U,$B220,BV_Data_An_Cour!$V:$V,$C220,BV_Data_An_Cour!$W:$W,$L$2)</f>
        <v>12393.65</v>
      </c>
      <c r="M220" s="253"/>
      <c r="N220" s="276">
        <f t="shared" si="61"/>
        <v>3415.1988322879988</v>
      </c>
      <c r="O220" s="253"/>
      <c r="P220" s="41"/>
      <c r="Q220" s="256" cm="1">
        <f t="array" ref="Q220">+SUMPRODUCT(('Réel 2023'!$A$8:$A$501=$A220)*('Réel 2023'!$C$3:$AO$3=Q$2),'Réel 2023'!$C$8:$AO$501)</f>
        <v>11275.07</v>
      </c>
      <c r="R220" s="253"/>
      <c r="S220" s="276">
        <f t="shared" si="62"/>
        <v>1118.58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2593.0447654759992</v>
      </c>
      <c r="G221" s="298"/>
      <c r="H221" s="41"/>
      <c r="I221" s="254"/>
      <c r="J221" s="253"/>
      <c r="K221" s="41"/>
      <c r="L221" s="256">
        <f>SUMIFS(BV_Data_An_Cour!$P:$P,BV_Data_An_Cour!$U:$U,$B221,BV_Data_An_Cour!$V:$V,$C221,BV_Data_An_Cour!$W:$W,$L$2)</f>
        <v>2172.16</v>
      </c>
      <c r="M221" s="253"/>
      <c r="N221" s="276">
        <f t="shared" si="61"/>
        <v>-420.8847654759993</v>
      </c>
      <c r="O221" s="253"/>
      <c r="P221" s="41"/>
      <c r="Q221" s="256" cm="1">
        <f t="array" ref="Q221">+SUMPRODUCT(('Réel 2023'!$A$8:$A$501=$A221)*('Réel 2023'!$C$3:$AO$3=Q$2),'Réel 2023'!$C$8:$AO$501)</f>
        <v>2320.3100000000004</v>
      </c>
      <c r="R221" s="253"/>
      <c r="S221" s="276">
        <f t="shared" si="62"/>
        <v>-148.15000000000055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1245.3413391639999</v>
      </c>
      <c r="G222" s="298"/>
      <c r="H222" s="41"/>
      <c r="I222" s="254"/>
      <c r="J222" s="253"/>
      <c r="K222" s="41"/>
      <c r="L222" s="256">
        <f>SUMIFS(BV_Data_An_Cour!$P:$P,BV_Data_An_Cour!$U:$U,$B222,BV_Data_An_Cour!$V:$V,$C222,BV_Data_An_Cour!$W:$W,$L$2)</f>
        <v>894.78</v>
      </c>
      <c r="M222" s="253"/>
      <c r="N222" s="276">
        <f t="shared" si="61"/>
        <v>-350.56133916399995</v>
      </c>
      <c r="O222" s="253"/>
      <c r="P222" s="41"/>
      <c r="Q222" s="256" cm="1">
        <f t="array" ref="Q222">+SUMPRODUCT(('Réel 2023'!$A$8:$A$501=$A222)*('Réel 2023'!$C$3:$AO$3=Q$2),'Réel 2023'!$C$8:$AO$501)</f>
        <v>1475.2500000000002</v>
      </c>
      <c r="R222" s="253"/>
      <c r="S222" s="276">
        <f t="shared" si="62"/>
        <v>-580.47000000000025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2597.6718309159996</v>
      </c>
      <c r="G223" s="298"/>
      <c r="H223" s="41"/>
      <c r="I223" s="254"/>
      <c r="J223" s="253"/>
      <c r="K223" s="41"/>
      <c r="L223" s="256">
        <f>SUMIFS(BV_Data_An_Cour!$P:$P,BV_Data_An_Cour!$U:$U,$B223,BV_Data_An_Cour!$V:$V,$C223,BV_Data_An_Cour!$W:$W,$L$2)</f>
        <v>1624.35</v>
      </c>
      <c r="M223" s="253"/>
      <c r="N223" s="276">
        <f t="shared" si="61"/>
        <v>-973.32183091599973</v>
      </c>
      <c r="O223" s="253"/>
      <c r="P223" s="41"/>
      <c r="Q223" s="256" cm="1">
        <f t="array" ref="Q223">+SUMPRODUCT(('Réel 2023'!$A$8:$A$501=$A223)*('Réel 2023'!$C$3:$AO$3=Q$2),'Réel 2023'!$C$8:$AO$501)</f>
        <v>1398.8899999999999</v>
      </c>
      <c r="R223" s="253"/>
      <c r="S223" s="276">
        <f t="shared" si="62"/>
        <v>225.46000000000004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47837.454665381847</v>
      </c>
      <c r="G224" s="298"/>
      <c r="H224" s="41"/>
      <c r="I224" s="254"/>
      <c r="J224" s="253"/>
      <c r="K224" s="41"/>
      <c r="L224" s="256">
        <f>SUMIFS(BV_Data_An_Cour!$P:$P,BV_Data_An_Cour!$U:$U,$B224,BV_Data_An_Cour!$V:$V,$C224,BV_Data_An_Cour!$W:$W,$L$2)</f>
        <v>23186.6</v>
      </c>
      <c r="M224" s="253"/>
      <c r="N224" s="276">
        <f t="shared" si="61"/>
        <v>-24650.854665381848</v>
      </c>
      <c r="O224" s="253"/>
      <c r="P224" s="41"/>
      <c r="Q224" s="256" cm="1">
        <f t="array" ref="Q224">+SUMPRODUCT(('Réel 2023'!$A$8:$A$501=$A224)*('Réel 2023'!$C$3:$AO$3=Q$2),'Réel 2023'!$C$8:$AO$501)</f>
        <v>58713.009999999995</v>
      </c>
      <c r="R224" s="253"/>
      <c r="S224" s="276">
        <f t="shared" si="62"/>
        <v>-35526.409999999996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23398.36077425268</v>
      </c>
      <c r="G225" s="298"/>
      <c r="H225" s="41"/>
      <c r="I225" s="254"/>
      <c r="J225" s="253"/>
      <c r="K225" s="41"/>
      <c r="L225" s="256">
        <f>SUMIFS(BV_Data_An_Cour!$P:$P,BV_Data_An_Cour!$U:$U,$B225,BV_Data_An_Cour!$V:$V,$C225,BV_Data_An_Cour!$W:$W,L$2)</f>
        <v>23688.240000000002</v>
      </c>
      <c r="M225" s="253"/>
      <c r="N225" s="276">
        <f t="shared" si="61"/>
        <v>289.87922574732147</v>
      </c>
      <c r="O225" s="253"/>
      <c r="P225" s="41"/>
      <c r="Q225" s="256" cm="1">
        <f t="array" ref="Q225">+SUMPRODUCT(('Réel 2023'!$A$8:$A$501=$A225)*('Réel 2023'!$C$3:$AO$3=Q$2),'Réel 2023'!$C$8:$AO$501)</f>
        <v>21142.239999999998</v>
      </c>
      <c r="R225" s="253"/>
      <c r="S225" s="276">
        <f t="shared" si="62"/>
        <v>2546.0000000000036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0.246335266524187</v>
      </c>
      <c r="F229" s="307">
        <f>+SUM(F211:F228)</f>
        <v>644506.67268789886</v>
      </c>
      <c r="G229" s="308"/>
      <c r="H229" s="306"/>
      <c r="I229" s="307"/>
      <c r="J229" s="308" t="s">
        <v>175</v>
      </c>
      <c r="K229" s="306">
        <f>L229/L$194</f>
        <v>0.26494546090451671</v>
      </c>
      <c r="L229" s="307">
        <f>+SUM(L211:L228)</f>
        <v>691656.6</v>
      </c>
      <c r="M229" s="311"/>
      <c r="N229" s="307">
        <f t="shared" si="61"/>
        <v>47149.927312101121</v>
      </c>
      <c r="O229" s="308" t="s">
        <v>175</v>
      </c>
      <c r="P229" s="306">
        <f>Q229/Q$194</f>
        <v>0.30706193742474436</v>
      </c>
      <c r="Q229" s="307">
        <f>+SUM(Q211:Q228)</f>
        <v>670361.62999999989</v>
      </c>
      <c r="R229" s="311"/>
      <c r="S229" s="307">
        <f t="shared" si="62"/>
        <v>21294.970000000088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0.84082290447073149</v>
      </c>
      <c r="F231" s="307">
        <f>F210+F229</f>
        <v>2199912.2583083203</v>
      </c>
      <c r="G231" s="308"/>
      <c r="H231" s="306"/>
      <c r="I231" s="307"/>
      <c r="J231" s="308" t="s">
        <v>119</v>
      </c>
      <c r="K231" s="306">
        <f>L231/L$194</f>
        <v>0.82667835554102753</v>
      </c>
      <c r="L231" s="307">
        <f>L210+L229</f>
        <v>2158095.25</v>
      </c>
      <c r="M231" s="311"/>
      <c r="N231" s="320">
        <f>L231-F231</f>
        <v>-41817.008308320306</v>
      </c>
      <c r="O231" s="308" t="s">
        <v>119</v>
      </c>
      <c r="P231" s="306">
        <f>Q231/Q$194</f>
        <v>0.92828180877455269</v>
      </c>
      <c r="Q231" s="307">
        <f>Q210+Q229</f>
        <v>2026576.4999999998</v>
      </c>
      <c r="R231" s="311"/>
      <c r="S231" s="320">
        <f>L231-Q231</f>
        <v>131518.75000000023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416467.77440866176</v>
      </c>
      <c r="G233" s="361"/>
      <c r="H233" s="333"/>
      <c r="I233" s="335"/>
      <c r="J233" s="332"/>
      <c r="K233" s="334"/>
      <c r="L233" s="335">
        <f>L194-L231</f>
        <v>452466.93000000017</v>
      </c>
      <c r="M233" s="332"/>
      <c r="N233" s="335">
        <f>L233-F233</f>
        <v>35999.155591338407</v>
      </c>
      <c r="O233" s="332"/>
      <c r="P233" s="334"/>
      <c r="Q233" s="335">
        <f>Q194-Q231</f>
        <v>156571.41999999736</v>
      </c>
      <c r="R233" s="332"/>
      <c r="S233" s="335">
        <f>L233-Q233</f>
        <v>295895.5100000028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Décembre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30"/>
      <c r="H238" s="1226"/>
      <c r="I238" s="1227"/>
      <c r="J238" s="1230" t="s">
        <v>344</v>
      </c>
      <c r="K238" s="1226"/>
      <c r="L238" s="1227"/>
      <c r="M238" s="1230" t="s">
        <v>3310</v>
      </c>
      <c r="N238" s="1227"/>
      <c r="O238" s="1225" t="s">
        <v>345</v>
      </c>
      <c r="P238" s="1226"/>
      <c r="Q238" s="1227"/>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1187551</v>
      </c>
      <c r="F241" s="291" cm="1">
        <f t="array" ref="F241">+SUMPRODUCT(('Budget original'!$A$8:$A$501=$A241)*('Budget original'!$C$3:$AO$3=F$2),'Budget original'!$C$8:$AO$501)</f>
        <v>178132.64999999997</v>
      </c>
      <c r="G241" s="322"/>
      <c r="H241" s="291"/>
      <c r="I241" s="291"/>
      <c r="J241" s="277">
        <f>-SUMIFS(BV_Data_An_Cour!$P:$P,BV_Data_An_Cour!$U:$U,$B241,BV_Data_An_Cour!$V:$V,$C241,BV_Data_An_Cour!$W:$W,J$2)</f>
        <v>141</v>
      </c>
      <c r="K241" s="254">
        <f>-SUMIFS(BV_Data_An_Cour!$P:$P,BV_Data_An_Cour!$X:$X,"Oui",BV_Data_An_Cour!$U:$U,$B241,BV_Data_An_Cour!$V:$V,$C241)</f>
        <v>325852.73</v>
      </c>
      <c r="L241" s="256">
        <f>-SUMIFS(BV_Data_An_Cour!$P:$P,BV_Data_An_Cour!$U:$U,$B241,BV_Data_An_Cour!$V:$V,$C241,BV_Data_An_Cour!$W:$W,$L$2)</f>
        <v>66661.98000000001</v>
      </c>
      <c r="M241" s="292">
        <f>IFERROR((K241-E241)/E241,0)</f>
        <v>-0.72560948540315318</v>
      </c>
      <c r="N241" s="276">
        <f>L241-F241</f>
        <v>-111470.66999999995</v>
      </c>
      <c r="O241" s="277" cm="1">
        <f t="array" ref="O241">+SUMPRODUCT(('Réel 2023'!$A$8:$A$501=$A241)*('Réel 2023'!$C$3:$AO$3=O$2),'Réel 2023'!$C$8:$AO$501)</f>
        <v>506</v>
      </c>
      <c r="P241" s="254" cm="1">
        <f t="array" ref="P241">+SUMPRODUCT(('Réel 2023'!$A$8:$A$501=$A241)*('Réel 2023'!$C$3:$AO$3=P$2),'Réel 2023'!$C$8:$AO$501)</f>
        <v>911810.67999999772</v>
      </c>
      <c r="Q241" s="256" cm="1">
        <f t="array" ref="Q241">+SUMPRODUCT(('Réel 2023'!$A$8:$A$501=$A241)*('Réel 2023'!$C$3:$AO$3=Q$2),'Réel 2023'!$C$8:$AO$501)</f>
        <v>186467.59999999951</v>
      </c>
      <c r="R241" s="292">
        <f>IF(O241=0,0,J241/O241)</f>
        <v>0.27865612648221344</v>
      </c>
      <c r="S241" s="276">
        <f>L241-Q241</f>
        <v>-119805.6199999995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0.20457701858136962</v>
      </c>
      <c r="M242" s="292"/>
      <c r="N242" s="276">
        <f>IFERROR(N241/M241,0)</f>
        <v>153623.50168019944</v>
      </c>
      <c r="O242" s="277"/>
      <c r="P242" s="41"/>
      <c r="Q242" s="362">
        <f>IFERROR(Q241/P241,0)</f>
        <v>0.20450253993515405</v>
      </c>
      <c r="R242" s="277"/>
      <c r="S242" s="276">
        <f>IFERROR(S241/R241,0)</f>
        <v>-429940.73560283508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1187551</v>
      </c>
      <c r="F250" s="281">
        <f t="shared" si="64"/>
        <v>178132.64999999997</v>
      </c>
      <c r="G250" s="282"/>
      <c r="H250" s="279"/>
      <c r="I250" s="281"/>
      <c r="J250" s="282"/>
      <c r="K250" s="279">
        <f t="shared" ref="K250:L250" si="65">K244+K247+K241</f>
        <v>325852.73</v>
      </c>
      <c r="L250" s="281">
        <f t="shared" si="65"/>
        <v>66661.98000000001</v>
      </c>
      <c r="M250" s="399">
        <f>L251-F251</f>
        <v>5.4577018581369652E-2</v>
      </c>
      <c r="N250" s="281">
        <f>L250-F250</f>
        <v>-111470.66999999995</v>
      </c>
      <c r="O250" s="282"/>
      <c r="P250" s="279">
        <f t="shared" ref="P250:Q250" si="66">P244+P247+P241</f>
        <v>911810.67999999772</v>
      </c>
      <c r="Q250" s="281">
        <f t="shared" si="66"/>
        <v>186467.59999999951</v>
      </c>
      <c r="R250" s="399">
        <f>L251-Q251</f>
        <v>7.4478646215569988E-5</v>
      </c>
      <c r="S250" s="281">
        <f>L250-Q250</f>
        <v>-119805.6199999995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0.20457701858136962</v>
      </c>
      <c r="M251" s="286"/>
      <c r="N251" s="287">
        <f>N250/F250</f>
        <v>-0.62577337731179528</v>
      </c>
      <c r="O251" s="283"/>
      <c r="P251" s="284"/>
      <c r="Q251" s="287">
        <f>Q250/P250</f>
        <v>0.20450253993515405</v>
      </c>
      <c r="R251" s="286"/>
      <c r="S251" s="287">
        <f>IF(Q250=0,0,(S250/Q250))</f>
        <v>-0.64250100285518674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3865.2249999999995</v>
      </c>
      <c r="G254" s="253"/>
      <c r="H254" s="41"/>
      <c r="I254" s="254"/>
      <c r="J254" s="253"/>
      <c r="K254" s="41"/>
      <c r="L254" s="256">
        <f>SUMIFS(BV_Data_An_Cour!$P:$P,BV_Data_An_Cour!$U:$U,$B254,BV_Data_An_Cour!$V:$V,$C254,BV_Data_An_Cour!$W:$W,$L$2)</f>
        <v>10822.56</v>
      </c>
      <c r="M254" s="253"/>
      <c r="N254" s="276">
        <f t="shared" ref="N254:N284" si="67">L254-F254</f>
        <v>6957.335</v>
      </c>
      <c r="O254" s="253"/>
      <c r="P254" s="41"/>
      <c r="Q254" s="256" cm="1">
        <f t="array" ref="Q254">+SUMPRODUCT(('Réel 2023'!$A$8:$A$501=$A254)*('Réel 2023'!$C$3:$AO$3=Q$2),'Réel 2023'!$C$8:$AO$501)</f>
        <v>10822.56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60628.758000000016</v>
      </c>
      <c r="G255" s="298"/>
      <c r="H255" s="41"/>
      <c r="I255" s="248"/>
      <c r="J255" s="253"/>
      <c r="K255" s="41"/>
      <c r="L255" s="256">
        <f>SUMIFS(BV_Data_An_Cour!$P:$P,BV_Data_An_Cour!$U:$U,$B255,BV_Data_An_Cour!$V:$V,$C255,BV_Data_An_Cour!$W:$W,$L$2)</f>
        <v>26730.240000000002</v>
      </c>
      <c r="M255" s="253"/>
      <c r="N255" s="276">
        <f t="shared" si="67"/>
        <v>-33898.518000000011</v>
      </c>
      <c r="O255" s="253"/>
      <c r="P255" s="41"/>
      <c r="Q255" s="256" cm="1">
        <f t="array" ref="Q255">+SUMPRODUCT(('Réel 2023'!$A$8:$A$501=$A255)*('Réel 2023'!$C$3:$AO$3=Q$2),'Réel 2023'!$C$8:$AO$501)</f>
        <v>0</v>
      </c>
      <c r="R255" s="253"/>
      <c r="S255" s="276">
        <f t="shared" si="68"/>
        <v>26730.240000000002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227.90000000000006</v>
      </c>
      <c r="G256" s="316"/>
      <c r="H256" s="315"/>
      <c r="I256" s="254"/>
      <c r="J256" s="241"/>
      <c r="K256" s="315"/>
      <c r="L256" s="272">
        <f>SUMIFS(BV_Data_An_Cour!$P:$P,BV_Data_An_Cour!$U:$U,$B256,BV_Data_An_Cour!$V:$V,$C256,BV_Data_An_Cour!$W:$W,$L$2)</f>
        <v>1.41</v>
      </c>
      <c r="M256" s="241"/>
      <c r="N256" s="317">
        <f t="shared" si="67"/>
        <v>-226.49000000000007</v>
      </c>
      <c r="O256" s="241"/>
      <c r="P256" s="315"/>
      <c r="Q256" s="272" cm="1">
        <f t="array" ref="Q256">+SUMPRODUCT(('Réel 2023'!$A$8:$A$501=$A256)*('Réel 2023'!$C$3:$AO$3=Q$2),'Réel 2023'!$C$8:$AO$501)</f>
        <v>0.98999999999999977</v>
      </c>
      <c r="R256" s="241"/>
      <c r="S256" s="317">
        <f t="shared" si="68"/>
        <v>0.42000000000000015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52208.659999999996</v>
      </c>
      <c r="R257" s="253"/>
      <c r="S257" s="276">
        <f t="shared" si="68"/>
        <v>-52208.659999999996</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7697.1027204999991</v>
      </c>
      <c r="G261" s="298"/>
      <c r="H261" s="41"/>
      <c r="I261" s="248"/>
      <c r="J261" s="253"/>
      <c r="K261" s="41"/>
      <c r="L261" s="256">
        <f>SUMIFS(BV_Data_An_Cour!$P:$P,BV_Data_An_Cour!$U:$U,$B261,BV_Data_An_Cour!$V:$V,$C261,BV_Data_An_Cour!$W:$W,$L$2)</f>
        <v>5683.95</v>
      </c>
      <c r="M261" s="253"/>
      <c r="N261" s="276">
        <f t="shared" si="67"/>
        <v>-2013.1527204999993</v>
      </c>
      <c r="O261" s="253"/>
      <c r="P261" s="41"/>
      <c r="Q261" s="256" cm="1">
        <f t="array" ref="Q261">+SUMPRODUCT(('Réel 2023'!$A$8:$A$501=$A261)*('Réel 2023'!$C$3:$AO$3=Q$2),'Réel 2023'!$C$8:$AO$501)</f>
        <v>5022.6899999999996</v>
      </c>
      <c r="R261" s="253"/>
      <c r="S261" s="276">
        <f t="shared" si="68"/>
        <v>661.26000000000022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9358.5918539999984</v>
      </c>
      <c r="G262" s="316"/>
      <c r="H262" s="315"/>
      <c r="I262" s="254"/>
      <c r="J262" s="241"/>
      <c r="K262" s="315"/>
      <c r="L262" s="272">
        <f>SUMIFS(BV_Data_An_Cour!$P:$P,BV_Data_An_Cour!$U:$U,$B262,BV_Data_An_Cour!$V:$V,$C262,BV_Data_An_Cour!$W:$W,$L$2)</f>
        <v>13637.2</v>
      </c>
      <c r="M262" s="241"/>
      <c r="N262" s="317">
        <f t="shared" si="67"/>
        <v>4278.6081460000023</v>
      </c>
      <c r="O262" s="241"/>
      <c r="P262" s="315"/>
      <c r="Q262" s="272" cm="1">
        <f t="array" ref="Q262">+SUMPRODUCT(('Réel 2023'!$A$8:$A$501=$A262)*('Réel 2023'!$C$3:$AO$3=Q$2),'Réel 2023'!$C$8:$AO$501)</f>
        <v>15798.319999999998</v>
      </c>
      <c r="R262" s="241"/>
      <c r="S262" s="317">
        <f t="shared" si="68"/>
        <v>-2161.1199999999972</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4821.709281299999</v>
      </c>
      <c r="G263" s="298"/>
      <c r="H263" s="41"/>
      <c r="I263" s="254"/>
      <c r="J263" s="253"/>
      <c r="K263" s="41"/>
      <c r="L263" s="256">
        <f>SUMIFS(BV_Data_An_Cour!$P:$P,BV_Data_An_Cour!$U:$U,$B263,BV_Data_An_Cour!$V:$V,$C263,BV_Data_An_Cour!$W:$W,$L$2)</f>
        <v>1807.78</v>
      </c>
      <c r="M263" s="253"/>
      <c r="N263" s="276">
        <f t="shared" si="67"/>
        <v>-3013.9292812999993</v>
      </c>
      <c r="O263" s="253"/>
      <c r="P263" s="41"/>
      <c r="Q263" s="256" cm="1">
        <f t="array" ref="Q263">+SUMPRODUCT(('Réel 2023'!$A$8:$A$501=$A263)*('Réel 2023'!$C$3:$AO$3=Q$2),'Réel 2023'!$C$8:$AO$501)</f>
        <v>3471.46</v>
      </c>
      <c r="R263" s="253"/>
      <c r="S263" s="276">
        <f t="shared" si="68"/>
        <v>-1663.68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2102.2923729999998</v>
      </c>
      <c r="G264" s="298"/>
      <c r="H264" s="41"/>
      <c r="I264" s="254"/>
      <c r="J264" s="253"/>
      <c r="K264" s="41"/>
      <c r="L264" s="256">
        <f>SUMIFS(BV_Data_An_Cour!$P:$P,BV_Data_An_Cour!$U:$U,$B264,BV_Data_An_Cour!$V:$V,$C264,BV_Data_An_Cour!$W:$W,$L$2)</f>
        <v>1749.52</v>
      </c>
      <c r="M264" s="253"/>
      <c r="N264" s="276">
        <f t="shared" si="67"/>
        <v>-352.77237299999979</v>
      </c>
      <c r="O264" s="253"/>
      <c r="P264" s="41"/>
      <c r="Q264" s="256" cm="1">
        <f t="array" ref="Q264">+SUMPRODUCT(('Réel 2023'!$A$8:$A$501=$A264)*('Réel 2023'!$C$3:$AO$3=Q$2),'Réel 2023'!$C$8:$AO$501)</f>
        <v>1919.8799999999999</v>
      </c>
      <c r="R264" s="253"/>
      <c r="S264" s="276">
        <f t="shared" si="68"/>
        <v>-170.3599999999999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88701.579228800023</v>
      </c>
      <c r="G266" s="308"/>
      <c r="H266" s="306"/>
      <c r="I266" s="307"/>
      <c r="J266" s="308" t="s">
        <v>119</v>
      </c>
      <c r="K266" s="306">
        <f>IF(L244=0,0,L266/L$244)</f>
        <v>0</v>
      </c>
      <c r="L266" s="307">
        <f>+SUM(L254:L265)</f>
        <v>60432.659999999996</v>
      </c>
      <c r="M266" s="355"/>
      <c r="N266" s="320">
        <f t="shared" si="67"/>
        <v>-28268.919228800027</v>
      </c>
      <c r="O266" s="308" t="s">
        <v>119</v>
      </c>
      <c r="P266" s="306" t="e">
        <f>Q266/Q$244</f>
        <v>#DIV/0!</v>
      </c>
      <c r="Q266" s="307">
        <f>+SUM(Q254:Q265)</f>
        <v>89244.56</v>
      </c>
      <c r="R266" s="355"/>
      <c r="S266" s="320">
        <f t="shared" si="68"/>
        <v>-28811.9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891.76</v>
      </c>
      <c r="M267" s="253"/>
      <c r="N267" s="276">
        <f t="shared" si="67"/>
        <v>891.76</v>
      </c>
      <c r="O267" s="253"/>
      <c r="P267" s="41"/>
      <c r="Q267" s="256" cm="1">
        <f t="array" ref="Q267">+SUMPRODUCT(('Réel 2023'!$A$8:$A$501=$A267)*('Réel 2023'!$C$3:$AO$3=Q$2),'Réel 2023'!$C$8:$AO$501)</f>
        <v>887.27</v>
      </c>
      <c r="R267" s="253"/>
      <c r="S267" s="276">
        <f t="shared" si="68"/>
        <v>4.4900000000000091</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7126.8787510789762</v>
      </c>
      <c r="G268" s="298"/>
      <c r="H268" s="41"/>
      <c r="I268" s="254"/>
      <c r="J268" s="253"/>
      <c r="K268" s="41"/>
      <c r="L268" s="256">
        <f>SUMIFS(BV_Data_An_Cour!$P:$P,BV_Data_An_Cour!$U:$U,$B268,BV_Data_An_Cour!$V:$V,$C268,BV_Data_An_Cour!$W:$W,$L$2)</f>
        <v>14248.439999999999</v>
      </c>
      <c r="M268" s="253"/>
      <c r="N268" s="276">
        <f t="shared" si="67"/>
        <v>7121.5612489210225</v>
      </c>
      <c r="O268" s="253"/>
      <c r="P268" s="41"/>
      <c r="Q268" s="256" cm="1">
        <f t="array" ref="Q268">+SUMPRODUCT(('Réel 2023'!$A$8:$A$501=$A268)*('Réel 2023'!$C$3:$AO$3=Q$2),'Réel 2023'!$C$8:$AO$501)</f>
        <v>17814.03</v>
      </c>
      <c r="R268" s="253"/>
      <c r="S268" s="276">
        <f t="shared" si="68"/>
        <v>-3565.59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2244.34</v>
      </c>
      <c r="M269" s="246"/>
      <c r="N269" s="296">
        <f t="shared" si="67"/>
        <v>2244.34</v>
      </c>
      <c r="O269" s="246"/>
      <c r="P269" s="318"/>
      <c r="Q269" s="256" cm="1">
        <f t="array" ref="Q269">+SUMPRODUCT(('Réel 2023'!$A$8:$A$501=$A269)*('Réel 2023'!$C$3:$AO$3=Q$2),'Réel 2023'!$C$8:$AO$501)</f>
        <v>9128.5499999999993</v>
      </c>
      <c r="R269" s="246"/>
      <c r="S269" s="296">
        <f t="shared" si="68"/>
        <v>-6884.2099999999991</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17209.607161333337</v>
      </c>
      <c r="G270" s="298"/>
      <c r="H270" s="41"/>
      <c r="I270" s="254"/>
      <c r="J270" s="253"/>
      <c r="K270" s="41"/>
      <c r="L270" s="272">
        <f>SUMIFS(BV_Data_An_Cour!$P:$P,BV_Data_An_Cour!$U:$U,$B270,BV_Data_An_Cour!$V:$V,$C270,BV_Data_An_Cour!$W:$W,$L$2)</f>
        <v>17245.68</v>
      </c>
      <c r="M270" s="253"/>
      <c r="N270" s="276">
        <f t="shared" si="67"/>
        <v>36.072838666663301</v>
      </c>
      <c r="O270" s="253"/>
      <c r="P270" s="41"/>
      <c r="Q270" s="272" cm="1">
        <f t="array" ref="Q270">+SUMPRODUCT(('Réel 2023'!$A$8:$A$501=$A270)*('Réel 2023'!$C$3:$AO$3=Q$2),'Réel 2023'!$C$8:$AO$501)</f>
        <v>18258.95</v>
      </c>
      <c r="R270" s="253"/>
      <c r="S270" s="276">
        <f t="shared" si="68"/>
        <v>-1013.2700000000004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2141.1807663028917</v>
      </c>
      <c r="G271" s="298"/>
      <c r="H271" s="41"/>
      <c r="I271" s="254"/>
      <c r="J271" s="253"/>
      <c r="K271" s="41"/>
      <c r="L271" s="256">
        <f>SUMIFS(BV_Data_An_Cour!$P:$P,BV_Data_An_Cour!$U:$U,$B271,BV_Data_An_Cour!$V:$V,$C271,BV_Data_An_Cour!$W:$W,$L$2)</f>
        <v>3145.26</v>
      </c>
      <c r="M271" s="253"/>
      <c r="N271" s="276">
        <f t="shared" si="67"/>
        <v>1004.0792336971085</v>
      </c>
      <c r="O271" s="253"/>
      <c r="P271" s="41"/>
      <c r="Q271" s="256" cm="1">
        <f t="array" ref="Q271">+SUMPRODUCT(('Réel 2023'!$A$8:$A$501=$A271)*('Réel 2023'!$C$3:$AO$3=Q$2),'Réel 2023'!$C$8:$AO$501)</f>
        <v>2857.98</v>
      </c>
      <c r="R271" s="253"/>
      <c r="S271" s="276">
        <f t="shared" si="68"/>
        <v>287.2800000000002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8118.614435794444</v>
      </c>
      <c r="G272" s="300"/>
      <c r="H272" s="318"/>
      <c r="I272" s="248"/>
      <c r="J272" s="246"/>
      <c r="K272" s="318"/>
      <c r="L272" s="256">
        <f>SUMIFS(BV_Data_An_Cour!$P:$P,BV_Data_An_Cour!$U:$U,$B272,BV_Data_An_Cour!$V:$V,$C272,BV_Data_An_Cour!$W:$W,$L$2)</f>
        <v>8681.18</v>
      </c>
      <c r="M272" s="246"/>
      <c r="N272" s="296">
        <f t="shared" si="67"/>
        <v>562.56556420555626</v>
      </c>
      <c r="O272" s="246"/>
      <c r="P272" s="318"/>
      <c r="Q272" s="248" cm="1">
        <f t="array" ref="Q272">+SUMPRODUCT(('Réel 2023'!$A$8:$A$501=$A272)*('Réel 2023'!$C$3:$AO$3=Q$2),'Réel 2023'!$C$8:$AO$501)</f>
        <v>7538.869999999999</v>
      </c>
      <c r="R272" s="246"/>
      <c r="S272" s="296">
        <f t="shared" si="68"/>
        <v>1142.3100000000013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1500</v>
      </c>
      <c r="G274" s="298"/>
      <c r="H274" s="41"/>
      <c r="I274" s="254"/>
      <c r="J274" s="253"/>
      <c r="K274" s="41"/>
      <c r="L274" s="256">
        <f>SUMIFS(BV_Data_An_Cour!$P:$P,BV_Data_An_Cour!$U:$U,$B274,BV_Data_An_Cour!$V:$V,$C274,BV_Data_An_Cour!$W:$W,$L$2)</f>
        <v>43</v>
      </c>
      <c r="M274" s="253"/>
      <c r="N274" s="276">
        <f t="shared" si="67"/>
        <v>-1457</v>
      </c>
      <c r="O274" s="253"/>
      <c r="P274" s="41"/>
      <c r="Q274" s="256" cm="1">
        <f t="array" ref="Q274">+SUMPRODUCT(('Réel 2023'!$A$8:$A$501=$A274)*('Réel 2023'!$C$3:$AO$3=Q$2),'Réel 2023'!$C$8:$AO$501)</f>
        <v>235.89000000000001</v>
      </c>
      <c r="R274" s="253"/>
      <c r="S274" s="276">
        <f t="shared" si="68"/>
        <v>-192.89000000000001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1000.0000000000001</v>
      </c>
      <c r="G275" s="298"/>
      <c r="H275" s="41"/>
      <c r="I275" s="254"/>
      <c r="J275" s="253"/>
      <c r="K275" s="41"/>
      <c r="L275" s="256">
        <f>SUMIFS(BV_Data_An_Cour!$P:$P,BV_Data_An_Cour!$U:$U,$B275,BV_Data_An_Cour!$V:$V,$C275,BV_Data_An_Cour!$W:$W,$L$2)</f>
        <v>0</v>
      </c>
      <c r="M275" s="253"/>
      <c r="N275" s="276">
        <f t="shared" si="67"/>
        <v>-1000.0000000000001</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1890.7022489159997</v>
      </c>
      <c r="G276" s="298"/>
      <c r="H276" s="41"/>
      <c r="I276" s="254"/>
      <c r="J276" s="253"/>
      <c r="K276" s="41"/>
      <c r="L276" s="256">
        <f>SUMIFS(BV_Data_An_Cour!$P:$P,BV_Data_An_Cour!$U:$U,$B276,BV_Data_An_Cour!$V:$V,$C276,BV_Data_An_Cour!$W:$W,$L$2)</f>
        <v>1676.52</v>
      </c>
      <c r="M276" s="253"/>
      <c r="N276" s="276">
        <f t="shared" si="67"/>
        <v>-214.18224891599971</v>
      </c>
      <c r="O276" s="253"/>
      <c r="P276" s="41"/>
      <c r="Q276" s="256" cm="1">
        <f t="array" ref="Q276">+SUMPRODUCT(('Réel 2023'!$A$8:$A$501=$A276)*('Réel 2023'!$C$3:$AO$3=Q$2),'Réel 2023'!$C$8:$AO$501)</f>
        <v>2072.9499999999998</v>
      </c>
      <c r="R276" s="253"/>
      <c r="S276" s="276">
        <f t="shared" si="68"/>
        <v>-396.42999999999984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441.36442326383332</v>
      </c>
      <c r="G277" s="298"/>
      <c r="H277" s="41"/>
      <c r="I277" s="254"/>
      <c r="J277" s="253"/>
      <c r="K277" s="41"/>
      <c r="L277" s="256">
        <f>SUMIFS(BV_Data_An_Cour!$P:$P,BV_Data_An_Cour!$U:$U,$B277,BV_Data_An_Cour!$V:$V,$C277,BV_Data_An_Cour!$W:$W,$L$2)</f>
        <v>353.7</v>
      </c>
      <c r="M277" s="253"/>
      <c r="N277" s="276">
        <f t="shared" si="67"/>
        <v>-87.664423263833328</v>
      </c>
      <c r="O277" s="253"/>
      <c r="P277" s="41"/>
      <c r="Q277" s="256" cm="1">
        <f t="array" ref="Q277">+SUMPRODUCT(('Réel 2023'!$A$8:$A$501=$A277)*('Réel 2023'!$C$3:$AO$3=Q$2),'Réel 2023'!$C$8:$AO$501)</f>
        <v>303.3</v>
      </c>
      <c r="R277" s="253"/>
      <c r="S277" s="276">
        <f t="shared" si="68"/>
        <v>50.399999999999977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296.94878225616674</v>
      </c>
      <c r="G278" s="298"/>
      <c r="H278" s="41"/>
      <c r="I278" s="254"/>
      <c r="J278" s="253"/>
      <c r="K278" s="41"/>
      <c r="L278" s="256">
        <f>SUMIFS(BV_Data_An_Cour!$P:$P,BV_Data_An_Cour!$U:$U,$B278,BV_Data_An_Cour!$V:$V,$C278,BV_Data_An_Cour!$W:$W,$L$2)</f>
        <v>196.06</v>
      </c>
      <c r="M278" s="253"/>
      <c r="N278" s="276">
        <f t="shared" si="67"/>
        <v>-100.88878225616673</v>
      </c>
      <c r="O278" s="253"/>
      <c r="P278" s="41"/>
      <c r="Q278" s="256" cm="1">
        <f t="array" ref="Q278">+SUMPRODUCT(('Réel 2023'!$A$8:$A$501=$A278)*('Réel 2023'!$C$3:$AO$3=Q$2),'Réel 2023'!$C$8:$AO$501)</f>
        <v>354.88</v>
      </c>
      <c r="R278" s="253"/>
      <c r="S278" s="276">
        <f t="shared" si="68"/>
        <v>-158.82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2819.9935590171658</v>
      </c>
      <c r="G279" s="298"/>
      <c r="H279" s="41"/>
      <c r="I279" s="254"/>
      <c r="J279" s="253"/>
      <c r="K279" s="41"/>
      <c r="L279" s="256">
        <f>SUMIFS(BV_Data_An_Cour!$P:$P,BV_Data_An_Cour!$U:$U,$B279,BV_Data_An_Cour!$V:$V,$C279,BV_Data_An_Cour!$W:$W,$L$2)</f>
        <v>473.89</v>
      </c>
      <c r="M279" s="253"/>
      <c r="N279" s="276">
        <f t="shared" si="67"/>
        <v>-2346.1035590171659</v>
      </c>
      <c r="O279" s="253"/>
      <c r="P279" s="41"/>
      <c r="Q279" s="256" cm="1">
        <f t="array" ref="Q279">+SUMPRODUCT(('Réel 2023'!$A$8:$A$501=$A279)*('Réel 2023'!$C$3:$AO$3=Q$2),'Réel 2023'!$C$8:$AO$501)</f>
        <v>2466.3700000000003</v>
      </c>
      <c r="R279" s="253"/>
      <c r="S279" s="276">
        <f t="shared" si="68"/>
        <v>-1992.4800000000005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5211.9018277758541</v>
      </c>
      <c r="G280" s="298"/>
      <c r="H280" s="41"/>
      <c r="I280" s="254"/>
      <c r="J280" s="253"/>
      <c r="K280" s="41"/>
      <c r="L280" s="256">
        <f>SUMIFS(BV_Data_An_Cour!$P:$P,BV_Data_An_Cour!$U:$U,$B280,BV_Data_An_Cour!$V:$V,$C280,BV_Data_An_Cour!$W:$W,$L$2)</f>
        <v>942.53</v>
      </c>
      <c r="M280" s="253"/>
      <c r="N280" s="276">
        <f t="shared" si="67"/>
        <v>-4269.3718277758544</v>
      </c>
      <c r="O280" s="253"/>
      <c r="P280" s="41"/>
      <c r="Q280" s="256" cm="1">
        <f t="array" ref="Q280">+SUMPRODUCT(('Réel 2023'!$A$8:$A$501=$A280)*('Réel 2023'!$C$3:$AO$3=Q$2),'Réel 2023'!$C$8:$AO$501)</f>
        <v>6840.78</v>
      </c>
      <c r="R280" s="253"/>
      <c r="S280" s="276">
        <f t="shared" si="68"/>
        <v>-5898.25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2463.3784661654386</v>
      </c>
      <c r="G281" s="298"/>
      <c r="H281" s="41"/>
      <c r="I281" s="254"/>
      <c r="J281" s="253"/>
      <c r="K281" s="41"/>
      <c r="L281" s="256">
        <f>SUMIFS(BV_Data_An_Cour!$P:$P,BV_Data_An_Cour!$U:$U,$B281,BV_Data_An_Cour!$V:$V,$C281,BV_Data_An_Cour!$W:$W,L$2)</f>
        <v>2632.08</v>
      </c>
      <c r="M281" s="253"/>
      <c r="N281" s="276">
        <f t="shared" si="67"/>
        <v>168.70153383456136</v>
      </c>
      <c r="O281" s="253"/>
      <c r="P281" s="41"/>
      <c r="Q281" s="256" cm="1">
        <f t="array" ref="Q281">+SUMPRODUCT(('Réel 2023'!$A$8:$A$501=$A281)*('Réel 2023'!$C$3:$AO$3=Q$2),'Réel 2023'!$C$8:$AO$501)</f>
        <v>2349.1699999999996</v>
      </c>
      <c r="R281" s="253"/>
      <c r="S281" s="276">
        <f t="shared" si="68"/>
        <v>282.91000000000031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0.28192793641089442</v>
      </c>
      <c r="F285" s="307">
        <f>+SUM(F267:F284)</f>
        <v>50220.5704219041</v>
      </c>
      <c r="G285" s="308"/>
      <c r="H285" s="306"/>
      <c r="I285" s="307"/>
      <c r="J285" s="308" t="s">
        <v>119</v>
      </c>
      <c r="K285" s="306">
        <f>IF(L262=0,0,L285/L$241)</f>
        <v>0.7916722545594953</v>
      </c>
      <c r="L285" s="307">
        <f>+SUM(L267:L284)</f>
        <v>52774.439999999995</v>
      </c>
      <c r="M285" s="311"/>
      <c r="N285" s="307">
        <f>+SUM(N267:N284)</f>
        <v>2553.869578095891</v>
      </c>
      <c r="O285" s="308" t="s">
        <v>119</v>
      </c>
      <c r="P285" s="306">
        <f>IF(Q250=0,0,Q285/Q$250)</f>
        <v>0.38134769793787332</v>
      </c>
      <c r="Q285" s="307">
        <f>+SUM(Q267:Q284)</f>
        <v>71108.990000000005</v>
      </c>
      <c r="R285" s="311"/>
      <c r="S285" s="307">
        <f t="shared" si="68"/>
        <v>-18334.55000000001</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0.77988032879263935</v>
      </c>
      <c r="F287" s="307">
        <f>F266+F285</f>
        <v>138922.14965070412</v>
      </c>
      <c r="G287" s="308"/>
      <c r="H287" s="306"/>
      <c r="I287" s="307"/>
      <c r="J287" s="308" t="s">
        <v>119</v>
      </c>
      <c r="K287" s="306" t="e">
        <f>IF(L264=0,0,L287/L$244)</f>
        <v>#DIV/0!</v>
      </c>
      <c r="L287" s="307">
        <f>L266+L285</f>
        <v>113207.09999999999</v>
      </c>
      <c r="M287" s="311"/>
      <c r="N287" s="320">
        <f>L287-F287</f>
        <v>-25715.049650704124</v>
      </c>
      <c r="O287" s="308" t="s">
        <v>119</v>
      </c>
      <c r="P287" s="306">
        <f>IF(Q250=0,0,Q287/Q$250)</f>
        <v>0.85995395446715894</v>
      </c>
      <c r="Q287" s="307">
        <f>Q266+Q285</f>
        <v>160353.54999999999</v>
      </c>
      <c r="R287" s="311"/>
      <c r="S287" s="320">
        <f>L287-Q287</f>
        <v>-47146.45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39210.500349295849</v>
      </c>
      <c r="G289" s="361"/>
      <c r="H289" s="333"/>
      <c r="I289" s="335"/>
      <c r="J289" s="332"/>
      <c r="K289" s="334"/>
      <c r="L289" s="335">
        <f>L250-L287</f>
        <v>-46545.119999999981</v>
      </c>
      <c r="M289" s="332"/>
      <c r="N289" s="335">
        <f>L289-F289</f>
        <v>-85755.62034929583</v>
      </c>
      <c r="O289" s="332"/>
      <c r="P289" s="334"/>
      <c r="Q289" s="335">
        <f>Q250-Q287</f>
        <v>26114.049999999523</v>
      </c>
      <c r="R289" s="332"/>
      <c r="S289" s="335">
        <f>L289-Q289</f>
        <v>-72659.169999999503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Décembre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30"/>
      <c r="H293" s="1226"/>
      <c r="I293" s="1227"/>
      <c r="J293" s="1230" t="s">
        <v>344</v>
      </c>
      <c r="K293" s="1226"/>
      <c r="L293" s="1227"/>
      <c r="M293" s="1230" t="s">
        <v>3310</v>
      </c>
      <c r="N293" s="1227"/>
      <c r="O293" s="1225" t="s">
        <v>345</v>
      </c>
      <c r="P293" s="1226"/>
      <c r="Q293" s="1227"/>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1453900.5079473404</v>
      </c>
      <c r="E295" s="353">
        <f t="shared" ref="E295:E303" si="70">IF(D295=0,0,F295/D295)</f>
        <v>0.34199999999999997</v>
      </c>
      <c r="F295" s="276" cm="1">
        <f t="array" ref="F295">+SUMPRODUCT(('Budget original'!$A$8:$A$501=$A295)*('Budget original'!$C$3:$AO$3=F$2),'Budget original'!$C$8:$AO$501)</f>
        <v>497233.97371799039</v>
      </c>
      <c r="G295" s="291"/>
      <c r="H295" s="353"/>
      <c r="I295" s="276"/>
      <c r="J295" s="254">
        <f>-SUMIFS(BV_Data_An_Cour!$P:$P,BV_Data_An_Cour!$X:$X,"Oui",BV_Data_An_Cour!$U:$U,$B295,BV_Data_An_Cour!$V:$V,$C295)</f>
        <v>1118224.1299999999</v>
      </c>
      <c r="K295" s="353">
        <f t="shared" ref="K295:K304" si="71">IF(J295&lt;=0,0,L295/J295)</f>
        <v>0.34679176526086947</v>
      </c>
      <c r="L295" s="256">
        <f>-SUMIFS(BV_Data_An_Cour!$P:$P,BV_Data_An_Cour!$U:$U,$B295,BV_Data_An_Cour!$V:$V,$C295,BV_Data_An_Cour!$W:$W,$L$2)</f>
        <v>387790.91999999993</v>
      </c>
      <c r="M295" s="292">
        <f t="shared" ref="M295:M301" si="72">(+J295-D295)/D295</f>
        <v>-0.23087988216006491</v>
      </c>
      <c r="N295" s="276">
        <f t="shared" ref="N295:N304" si="73">L295-F295</f>
        <v>-109443.05371799046</v>
      </c>
      <c r="O295" s="254" cm="1">
        <f t="array" ref="O295">+SUMPRODUCT(('Réel 2023'!$A$8:$A$501=$A295)*('Réel 2023'!$C$3:$AO$3=O$2),'Réel 2023'!$C$8:$AO$501)</f>
        <v>1192011.8199999998</v>
      </c>
      <c r="P295" s="353">
        <f t="shared" ref="P295:P303" si="74">IF(O295=0,0,Q295/O295)</f>
        <v>0.34520734869894132</v>
      </c>
      <c r="Q295" s="256" cm="1">
        <f t="array" ref="Q295">+SUMPRODUCT(('Réel 2023'!$A$8:$A$501=$A295)*('Réel 2023'!$C$3:$AO$3=Q$2),'Réel 2023'!$C$8:$AO$501)</f>
        <v>411491.23999999964</v>
      </c>
      <c r="R295" s="292">
        <f t="shared" ref="R295:R304" si="75">IF(O295=0,0,(J295-O295)/O295)</f>
        <v>-6.1901810671642465E-2</v>
      </c>
      <c r="S295" s="276">
        <f t="shared" ref="S295:S304" si="76">L295-Q295</f>
        <v>-23700.319999999716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710095.99999999988</v>
      </c>
      <c r="E296" s="353">
        <f t="shared" si="70"/>
        <v>0.24800000000000005</v>
      </c>
      <c r="F296" s="276" cm="1">
        <f t="array" ref="F296">+SUMPRODUCT(('Budget original'!$A$8:$A$501=$A296)*('Budget original'!$C$3:$AO$3=F$2),'Budget original'!$C$8:$AO$501)</f>
        <v>176103.80800000002</v>
      </c>
      <c r="G296" s="291"/>
      <c r="H296" s="353"/>
      <c r="I296" s="276"/>
      <c r="J296" s="254">
        <f>-SUMIFS(BV_Data_An_Cour!$P:$P,BV_Data_An_Cour!$X:$X,"Oui",BV_Data_An_Cour!$U:$U,$B296,BV_Data_An_Cour!$V:$V,$C296)</f>
        <v>193233.9</v>
      </c>
      <c r="K296" s="353">
        <f t="shared" si="71"/>
        <v>0.2484264924529288</v>
      </c>
      <c r="L296" s="256">
        <f>-SUMIFS(BV_Data_An_Cour!$P:$P,BV_Data_An_Cour!$U:$U,$B296,BV_Data_An_Cour!$V:$V,$C296,BV_Data_An_Cour!$W:$W,$L$2)</f>
        <v>48004.42</v>
      </c>
      <c r="M296" s="292">
        <f t="shared" si="72"/>
        <v>-0.72787637164552388</v>
      </c>
      <c r="N296" s="276">
        <f t="shared" si="73"/>
        <v>-128099.38800000002</v>
      </c>
      <c r="O296" s="254" cm="1">
        <f t="array" ref="O296">+SUMPRODUCT(('Réel 2023'!$A$8:$A$501=$A296)*('Réel 2023'!$C$3:$AO$3=O$2),'Réel 2023'!$C$8:$AO$501)</f>
        <v>491488.82999999978</v>
      </c>
      <c r="P296" s="353">
        <f t="shared" si="74"/>
        <v>0.26848209347911273</v>
      </c>
      <c r="Q296" s="256" cm="1">
        <f t="array" ref="Q296">+SUMPRODUCT(('Réel 2023'!$A$8:$A$501=$A296)*('Réel 2023'!$C$3:$AO$3=Q$2),'Réel 2023'!$C$8:$AO$501)</f>
        <v>131955.94999999969</v>
      </c>
      <c r="R296" s="292">
        <f t="shared" si="75"/>
        <v>-0.60683969155514672</v>
      </c>
      <c r="S296" s="276">
        <f t="shared" si="76"/>
        <v>-83951.529999999693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539994.9889000064</v>
      </c>
      <c r="E297" s="353">
        <f t="shared" si="70"/>
        <v>0.24299999999999999</v>
      </c>
      <c r="F297" s="276" cm="1">
        <f t="array" ref="F297">+SUMPRODUCT(('Budget original'!$A$8:$A$501=$A297)*('Budget original'!$C$3:$AO$3=F$2),'Budget original'!$C$8:$AO$501)</f>
        <v>131218.78230270155</v>
      </c>
      <c r="G297" s="291"/>
      <c r="H297" s="353"/>
      <c r="I297" s="276"/>
      <c r="J297" s="254">
        <f>-SUMIFS(BV_Data_An_Cour!$P:$P,BV_Data_An_Cour!$X:$X,"Oui",BV_Data_An_Cour!$U:$U,$B297,BV_Data_An_Cour!$V:$V,$C297)</f>
        <v>512439.39</v>
      </c>
      <c r="K297" s="353">
        <f t="shared" si="71"/>
        <v>0.23286545165858541</v>
      </c>
      <c r="L297" s="256">
        <f>-SUMIFS(BV_Data_An_Cour!$P:$P,BV_Data_An_Cour!$U:$U,$B297,BV_Data_An_Cour!$V:$V,$C297,BV_Data_An_Cour!$W:$W,$L$2)</f>
        <v>119329.43</v>
      </c>
      <c r="M297" s="292">
        <f t="shared" si="72"/>
        <v>-5.1029360394877654E-2</v>
      </c>
      <c r="N297" s="276">
        <f t="shared" si="73"/>
        <v>-11889.352302701562</v>
      </c>
      <c r="O297" s="254" cm="1">
        <f t="array" ref="O297">+SUMPRODUCT(('Réel 2023'!$A$8:$A$501=$A297)*('Réel 2023'!$C$3:$AO$3=O$2),'Réel 2023'!$C$8:$AO$501)</f>
        <v>511332.57000000007</v>
      </c>
      <c r="P297" s="353">
        <f t="shared" si="74"/>
        <v>0.23452922234153767</v>
      </c>
      <c r="Q297" s="256" cm="1">
        <f t="array" ref="Q297">+SUMPRODUCT(('Réel 2023'!$A$8:$A$501=$A297)*('Réel 2023'!$C$3:$AO$3=Q$2),'Réel 2023'!$C$8:$AO$501)</f>
        <v>119922.42999999989</v>
      </c>
      <c r="R297" s="292">
        <f t="shared" si="75"/>
        <v>2.1645795025338377E-3</v>
      </c>
      <c r="S297" s="276">
        <f t="shared" si="76"/>
        <v>-592.99999999989814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583538.00000000012</v>
      </c>
      <c r="E298" s="353">
        <f t="shared" si="70"/>
        <v>0.31599999999999995</v>
      </c>
      <c r="F298" s="276" cm="1">
        <f t="array" ref="F298">+SUMPRODUCT(('Budget original'!$A$8:$A$501=$A298)*('Budget original'!$C$3:$AO$3=F$2),'Budget original'!$C$8:$AO$501)</f>
        <v>184398.008</v>
      </c>
      <c r="G298" s="291"/>
      <c r="H298" s="353"/>
      <c r="I298" s="276"/>
      <c r="J298" s="254">
        <f>-SUMIFS(BV_Data_An_Cour!$P:$P,BV_Data_An_Cour!$X:$X,"Oui",BV_Data_An_Cour!$U:$U,$B298,BV_Data_An_Cour!$V:$V,$C298)</f>
        <v>671684.24</v>
      </c>
      <c r="K298" s="353">
        <f t="shared" si="71"/>
        <v>0.28570134383382284</v>
      </c>
      <c r="L298" s="256">
        <f>-SUMIFS(BV_Data_An_Cour!$P:$P,BV_Data_An_Cour!$U:$U,$B298,BV_Data_An_Cour!$V:$V,$C298,BV_Data_An_Cour!$W:$W,$L$2)</f>
        <v>191901.08999999997</v>
      </c>
      <c r="M298" s="292">
        <f t="shared" si="72"/>
        <v>0.15105484132995597</v>
      </c>
      <c r="N298" s="276">
        <f t="shared" si="73"/>
        <v>7503.0819999999658</v>
      </c>
      <c r="O298" s="254" cm="1">
        <f t="array" ref="O298">+SUMPRODUCT(('Réel 2023'!$A$8:$A$501=$A298)*('Réel 2023'!$C$3:$AO$3=O$2),'Réel 2023'!$C$8:$AO$501)</f>
        <v>481751.80000000005</v>
      </c>
      <c r="P298" s="353">
        <f t="shared" si="74"/>
        <v>0.30924150153668339</v>
      </c>
      <c r="Q298" s="256" cm="1">
        <f t="array" ref="Q298">+SUMPRODUCT(('Réel 2023'!$A$8:$A$501=$A298)*('Réel 2023'!$C$3:$AO$3=Q$2),'Réel 2023'!$C$8:$AO$501)</f>
        <v>148977.65</v>
      </c>
      <c r="R298" s="292">
        <f t="shared" si="75"/>
        <v>0.39425372152216126</v>
      </c>
      <c r="S298" s="276">
        <f t="shared" si="76"/>
        <v>42923.439999999973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254357.82</v>
      </c>
      <c r="E299" s="353">
        <f t="shared" si="70"/>
        <v>0.26500000000000007</v>
      </c>
      <c r="F299" s="276" cm="1">
        <f t="array" ref="F299">+SUMPRODUCT(('Budget original'!$A$8:$A$501=$A299)*('Budget original'!$C$3:$AO$3=F$2),'Budget original'!$C$8:$AO$501)</f>
        <v>67404.822300000014</v>
      </c>
      <c r="G299" s="291"/>
      <c r="H299" s="353"/>
      <c r="I299" s="276"/>
      <c r="J299" s="254">
        <f>-SUMIFS(BV_Data_An_Cour!$P:$P,BV_Data_An_Cour!$X:$X,"Oui",BV_Data_An_Cour!$U:$U,$B299,BV_Data_An_Cour!$V:$V,$C299)</f>
        <v>232112.65</v>
      </c>
      <c r="K299" s="353">
        <f t="shared" si="71"/>
        <v>0.2656592391668442</v>
      </c>
      <c r="L299" s="256">
        <f>-SUMIFS(BV_Data_An_Cour!$P:$P,BV_Data_An_Cour!$U:$U,$B299,BV_Data_An_Cour!$V:$V,$C299,BV_Data_An_Cour!$W:$W,$L$2)</f>
        <v>61662.869999999995</v>
      </c>
      <c r="M299" s="292">
        <f t="shared" si="72"/>
        <v>-8.7456206378872137E-2</v>
      </c>
      <c r="N299" s="276">
        <f t="shared" si="73"/>
        <v>-5741.952300000019</v>
      </c>
      <c r="O299" s="254" cm="1">
        <f t="array" ref="O299">+SUMPRODUCT(('Réel 2023'!$A$8:$A$501=$A299)*('Réel 2023'!$C$3:$AO$3=O$2),'Réel 2023'!$C$8:$AO$501)</f>
        <v>207516.24000000002</v>
      </c>
      <c r="P299" s="353">
        <f t="shared" si="74"/>
        <v>0.25799672353354103</v>
      </c>
      <c r="Q299" s="256" cm="1">
        <f t="array" ref="Q299">+SUMPRODUCT(('Réel 2023'!$A$8:$A$501=$A299)*('Réel 2023'!$C$3:$AO$3=Q$2),'Réel 2023'!$C$8:$AO$501)</f>
        <v>53538.509999999958</v>
      </c>
      <c r="R299" s="292">
        <f t="shared" si="75"/>
        <v>0.11852763908983688</v>
      </c>
      <c r="S299" s="276">
        <f t="shared" si="76"/>
        <v>8124.360000000037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1580494.9999999998</v>
      </c>
      <c r="E300" s="353">
        <f t="shared" si="70"/>
        <v>0.14499999999999999</v>
      </c>
      <c r="F300" s="276" cm="1">
        <f t="array" ref="F300">+SUMPRODUCT(('Budget original'!$A$8:$A$501=$A300)*('Budget original'!$C$3:$AO$3=F$2),'Budget original'!$C$8:$AO$501)</f>
        <v>229171.77499999994</v>
      </c>
      <c r="G300" s="291"/>
      <c r="H300" s="353"/>
      <c r="I300" s="276"/>
      <c r="J300" s="254">
        <f>-SUMIFS(BV_Data_An_Cour!$P:$P,BV_Data_An_Cour!$X:$X,"Oui",BV_Data_An_Cour!$U:$U,$B300,BV_Data_An_Cour!$V:$V,$C300)</f>
        <v>1871696.81</v>
      </c>
      <c r="K300" s="353">
        <f t="shared" si="71"/>
        <v>0.13797422671249837</v>
      </c>
      <c r="L300" s="256">
        <f>-SUMIFS(BV_Data_An_Cour!$P:$P,BV_Data_An_Cour!$U:$U,$B300,BV_Data_An_Cour!$V:$V,$C300,BV_Data_An_Cour!$W:$W,$L$2)</f>
        <v>258245.91999999998</v>
      </c>
      <c r="M300" s="292">
        <f t="shared" si="72"/>
        <v>0.18424722001651403</v>
      </c>
      <c r="N300" s="276">
        <f t="shared" si="73"/>
        <v>29074.145000000048</v>
      </c>
      <c r="O300" s="254" cm="1">
        <f t="array" ref="O300">+SUMPRODUCT(('Réel 2023'!$A$8:$A$501=$A300)*('Réel 2023'!$C$3:$AO$3=O$2),'Réel 2023'!$C$8:$AO$501)</f>
        <v>1486540.9599999997</v>
      </c>
      <c r="P300" s="353">
        <f t="shared" si="74"/>
        <v>0.17803058046917147</v>
      </c>
      <c r="Q300" s="256" cm="1">
        <f t="array" ref="Q300">+SUMPRODUCT(('Réel 2023'!$A$8:$A$501=$A300)*('Réel 2023'!$C$3:$AO$3=Q$2),'Réel 2023'!$C$8:$AO$501)</f>
        <v>264649.74999999936</v>
      </c>
      <c r="R300" s="292">
        <f t="shared" si="75"/>
        <v>0.25909534978437487</v>
      </c>
      <c r="S300" s="276">
        <f t="shared" si="76"/>
        <v>-6403.829999999376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93727</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128387.13</v>
      </c>
      <c r="M302" s="292"/>
      <c r="N302" s="276">
        <f t="shared" si="73"/>
        <v>34660.130000000005</v>
      </c>
      <c r="O302" s="254" cm="1">
        <f t="array" ref="O302">+SUMPRODUCT(('Réel 2023'!$A$8:$A$501=$A302)*('Réel 2023'!$C$3:$AO$3=O$2),'Réel 2023'!$C$8:$AO$501)</f>
        <v>0</v>
      </c>
      <c r="P302" s="353">
        <f t="shared" si="74"/>
        <v>0</v>
      </c>
      <c r="Q302" s="256" cm="1">
        <f t="array" ref="Q302">+SUMPRODUCT(('Réel 2023'!$A$8:$A$501=$A302)*('Réel 2023'!$C$3:$AO$3=Q$2),'Réel 2023'!$C$8:$AO$501)</f>
        <v>107117.11999999988</v>
      </c>
      <c r="R302" s="292">
        <f t="shared" si="75"/>
        <v>0</v>
      </c>
      <c r="S302" s="276">
        <f t="shared" si="76"/>
        <v>21270.010000000126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5122382.3168473458</v>
      </c>
      <c r="E304" s="407">
        <f>IF(D304&lt;=0,0,F304/D304)</f>
        <v>0.26926107502447783</v>
      </c>
      <c r="F304" s="392">
        <f t="shared" ref="F304" si="77">SUM(F295:F303)</f>
        <v>1379258.1693206918</v>
      </c>
      <c r="G304" s="390"/>
      <c r="H304" s="407"/>
      <c r="I304" s="392"/>
      <c r="J304" s="390">
        <f t="shared" ref="J304" si="78">SUM(J295:J303)</f>
        <v>4599391.12</v>
      </c>
      <c r="K304" s="407">
        <f t="shared" si="71"/>
        <v>0.25988696086363705</v>
      </c>
      <c r="L304" s="392">
        <f>SUM(L295:L303)</f>
        <v>1195321.7799999998</v>
      </c>
      <c r="M304" s="408">
        <f>(+J304-D304)/D304</f>
        <v>-0.10209921175294646</v>
      </c>
      <c r="N304" s="392">
        <f t="shared" si="73"/>
        <v>-183936.38932069205</v>
      </c>
      <c r="O304" s="390">
        <f>SUM(O295:O303)</f>
        <v>4370642.22</v>
      </c>
      <c r="P304" s="407">
        <f>IF(O304&lt;=0,0,Q304/O304)</f>
        <v>0.28317409380628705</v>
      </c>
      <c r="Q304" s="392">
        <f t="shared" ref="Q304" si="79">SUM(Q295:Q303)</f>
        <v>1237652.6499999985</v>
      </c>
      <c r="R304" s="408">
        <f t="shared" si="75"/>
        <v>5.2337594450822006E-2</v>
      </c>
      <c r="S304" s="392">
        <f t="shared" si="76"/>
        <v>-42330.869999998715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-0.13335892685796732</v>
      </c>
      <c r="O305" s="253"/>
      <c r="P305" s="41"/>
      <c r="Q305" s="263"/>
      <c r="R305" s="253"/>
      <c r="S305" s="265">
        <f>IF(Q304=0,0,S304/Q304)</f>
        <v>-3.4202544631564247E-2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562303.35499999998</v>
      </c>
      <c r="E307" s="353">
        <f t="shared" ref="E307:E308" si="80">IF(D307=0,0,F307/D307)</f>
        <v>0.18000000000000005</v>
      </c>
      <c r="F307" s="317" cm="1">
        <f t="array" ref="F307">+SUMPRODUCT(('Budget original'!$A$8:$A$501=$A307)*('Budget original'!$C$3:$AO$3=F$2),'Budget original'!$C$8:$AO$501)</f>
        <v>101214.60390000002</v>
      </c>
      <c r="G307" s="291"/>
      <c r="H307" s="353"/>
      <c r="I307" s="317"/>
      <c r="J307" s="254">
        <f>-SUMIFS(BV_Data_An_Cour!$P:$P,BV_Data_An_Cour!$X:$X,"Oui",BV_Data_An_Cour!$U:$U,$B307,BV_Data_An_Cour!$V:$V,$C307)</f>
        <v>531144.48</v>
      </c>
      <c r="K307" s="353">
        <f t="shared" ref="K307:K309" si="81">IF(J307&lt;=0,0,L307/J307)</f>
        <v>0.16668760258978871</v>
      </c>
      <c r="L307" s="256">
        <f>-SUMIFS(BV_Data_An_Cour!$P:$P,BV_Data_An_Cour!$U:$U,$B307,BV_Data_An_Cour!$V:$V,$C307,BV_Data_An_Cour!$W:$W,$L$2)</f>
        <v>88535.199999999968</v>
      </c>
      <c r="M307" s="292">
        <f>(+J307-D307)/D307</f>
        <v>-5.5412927422423083E-2</v>
      </c>
      <c r="N307" s="276">
        <f>L307-F307</f>
        <v>-12679.403900000048</v>
      </c>
      <c r="O307" s="254" cm="1">
        <f t="array" ref="O307">+SUMPRODUCT(('Réel 2023'!$A$8:$A$501=$A307)*('Réel 2023'!$C$3:$AO$3=O$2),'Réel 2023'!$C$8:$AO$501)</f>
        <v>553066.79999999993</v>
      </c>
      <c r="P307" s="353">
        <f t="shared" ref="P307:P308" si="82">IF(O307=0,0,Q307/O307)</f>
        <v>0.17961251696901703</v>
      </c>
      <c r="Q307" s="256" cm="1">
        <f t="array" ref="Q307">+SUMPRODUCT(('Réel 2023'!$A$8:$A$501=$A307)*('Réel 2023'!$C$3:$AO$3=Q$2),'Réel 2023'!$C$8:$AO$501)</f>
        <v>99337.719999999943</v>
      </c>
      <c r="R307" s="292">
        <f t="shared" ref="R307:R309" si="83">IF(O307=0,0,(J307-O307)/O307)</f>
        <v>-3.9637743578171666E-2</v>
      </c>
      <c r="S307" s="276">
        <f t="shared" ref="S307:S309" si="84">L307-Q307</f>
        <v>-10802.519999999975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281372.3888921098</v>
      </c>
      <c r="E308" s="353">
        <f t="shared" si="80"/>
        <v>0.26</v>
      </c>
      <c r="F308" s="296" cm="1">
        <f t="array" ref="F308">+SUMPRODUCT(('Budget original'!$A$8:$A$501=$A308)*('Budget original'!$C$3:$AO$3=F$2),'Budget original'!$C$8:$AO$501)</f>
        <v>73156.82111194855</v>
      </c>
      <c r="G308" s="291"/>
      <c r="H308" s="353"/>
      <c r="I308" s="296"/>
      <c r="J308" s="254">
        <f>-SUMIFS(BV_Data_An_Cour!$P:$P,BV_Data_An_Cour!$X:$X,"Oui",BV_Data_An_Cour!$U:$U,$B308,BV_Data_An_Cour!$V:$V,$C308)</f>
        <v>284600.24</v>
      </c>
      <c r="K308" s="353">
        <f t="shared" si="81"/>
        <v>0.25616341714961305</v>
      </c>
      <c r="L308" s="256">
        <f>-SUMIFS(BV_Data_An_Cour!$P:$P,BV_Data_An_Cour!$U:$U,$B308,BV_Data_An_Cour!$V:$V,$C308,BV_Data_An_Cour!$W:$W,$L$2)</f>
        <v>72904.169999999984</v>
      </c>
      <c r="M308" s="292">
        <f>(+J308-D308)/D308</f>
        <v>1.1471811859719789E-2</v>
      </c>
      <c r="N308" s="276">
        <f>L308-F308</f>
        <v>-252.65111194856581</v>
      </c>
      <c r="O308" s="254" cm="1">
        <f t="array" ref="O308">+SUMPRODUCT(('Réel 2023'!$A$8:$A$501=$A308)*('Réel 2023'!$C$3:$AO$3=O$2),'Réel 2023'!$C$8:$AO$501)</f>
        <v>268549.64999999997</v>
      </c>
      <c r="P308" s="353">
        <f t="shared" si="82"/>
        <v>0.24732212460526376</v>
      </c>
      <c r="Q308" s="256" cm="1">
        <f t="array" ref="Q308">+SUMPRODUCT(('Réel 2023'!$A$8:$A$501=$A308)*('Réel 2023'!$C$3:$AO$3=Q$2),'Réel 2023'!$C$8:$AO$501)</f>
        <v>66418.26999999996</v>
      </c>
      <c r="R308" s="292">
        <f t="shared" si="83"/>
        <v>5.976768169312463E-2</v>
      </c>
      <c r="S308" s="276">
        <f t="shared" si="84"/>
        <v>6485.9000000000233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5966058.0607394548</v>
      </c>
      <c r="E309" s="407">
        <f>IF(D309&lt;=0,0,F309/D309)</f>
        <v>0.2604114104347281</v>
      </c>
      <c r="F309" s="392">
        <f t="shared" ref="F309" si="85">F304+F307+F308</f>
        <v>1553629.5943326403</v>
      </c>
      <c r="G309" s="393"/>
      <c r="H309" s="407"/>
      <c r="I309" s="392"/>
      <c r="J309" s="393">
        <f t="shared" ref="J309" si="86">J304+J307+J308</f>
        <v>5415135.8399999999</v>
      </c>
      <c r="K309" s="407">
        <f t="shared" si="81"/>
        <v>0.25054979045548742</v>
      </c>
      <c r="L309" s="392">
        <f>L304+L307+L308</f>
        <v>1356761.1499999997</v>
      </c>
      <c r="M309" s="408">
        <f>(+J309-D309)/D309</f>
        <v>-9.2342752137274983E-2</v>
      </c>
      <c r="N309" s="392">
        <f>L309-F309</f>
        <v>-196868.44433264062</v>
      </c>
      <c r="O309" s="393">
        <f>O304+O307+O308</f>
        <v>5192258.67</v>
      </c>
      <c r="P309" s="407">
        <f>IF(O309&lt;=0,0,Q309/O309)</f>
        <v>0.27028866032978255</v>
      </c>
      <c r="Q309" s="392">
        <f t="shared" ref="Q309" si="87">Q304+Q307+Q308</f>
        <v>1403408.6399999985</v>
      </c>
      <c r="R309" s="408">
        <f t="shared" si="83"/>
        <v>4.2924897268263394E-2</v>
      </c>
      <c r="S309" s="392">
        <f t="shared" si="84"/>
        <v>-46647.489999998827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-0.12671517397118406</v>
      </c>
      <c r="O310" s="253"/>
      <c r="P310" s="41"/>
      <c r="Q310" s="263"/>
      <c r="R310" s="253"/>
      <c r="S310" s="265">
        <f>IF(Q309=0,0,S309/Q309)</f>
        <v>-3.323870800738328E-2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5966058.0607394548</v>
      </c>
      <c r="E314" s="410">
        <f>IF(D314&lt;=0,0,F314/D314)</f>
        <v>0.2604114104347281</v>
      </c>
      <c r="F314" s="281">
        <f t="shared" ref="F314" si="88">F309+F312</f>
        <v>1553629.5943326403</v>
      </c>
      <c r="G314" s="282"/>
      <c r="H314" s="410"/>
      <c r="I314" s="281"/>
      <c r="J314" s="282">
        <f t="shared" ref="J314" si="89">J309+J312</f>
        <v>5415135.8399999999</v>
      </c>
      <c r="K314" s="410">
        <f>IF(J314&lt;=0,0,L314/J314)</f>
        <v>0.25054979045548742</v>
      </c>
      <c r="L314" s="281">
        <f>L309+L312</f>
        <v>1356761.1499999997</v>
      </c>
      <c r="M314" s="411">
        <f>(+J314-D314)/D314</f>
        <v>-9.2342752137274983E-2</v>
      </c>
      <c r="N314" s="412">
        <f>L314-F314</f>
        <v>-196868.44433264062</v>
      </c>
      <c r="O314" s="282">
        <f>O309+O312</f>
        <v>5192258.67</v>
      </c>
      <c r="P314" s="410">
        <f>IF(O314&lt;=0,0,Q314/O314)</f>
        <v>0.27028866032978255</v>
      </c>
      <c r="Q314" s="281">
        <f t="shared" ref="Q314" si="90">Q309+Q312</f>
        <v>1403408.6399999985</v>
      </c>
      <c r="R314" s="411">
        <f>IF(O314=0,0,(J314-O314)/O314)</f>
        <v>4.2924897268263394E-2</v>
      </c>
      <c r="S314" s="412">
        <f>L314-Q314</f>
        <v>-46647.489999998827</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-0.12671517397118406</v>
      </c>
      <c r="O315" s="415"/>
      <c r="P315" s="414"/>
      <c r="Q315" s="335"/>
      <c r="R315" s="416"/>
      <c r="S315" s="287">
        <f>IF(Q314=0,0,S314/Q314)</f>
        <v>-3.323870800738328E-2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83588.600000000006</v>
      </c>
      <c r="G318" s="253"/>
      <c r="H318" s="41"/>
      <c r="I318" s="254"/>
      <c r="J318" s="253"/>
      <c r="K318" s="41"/>
      <c r="L318" s="256">
        <f>SUMIFS(BV_Data_An_Cour!$P:$P,BV_Data_An_Cour!$U:$U,$B318,BV_Data_An_Cour!$V:$V,$C318,BV_Data_An_Cour!$W:$W,$L$2)</f>
        <v>102195.55</v>
      </c>
      <c r="M318" s="253"/>
      <c r="N318" s="276">
        <f t="shared" ref="N318:N348" si="91">L318-F318</f>
        <v>18606.949999999997</v>
      </c>
      <c r="O318" s="253"/>
      <c r="P318" s="41"/>
      <c r="Q318" s="256" cm="1">
        <f t="array" ref="Q318">+SUMPRODUCT(('Réel 2023'!$A$8:$A$501=$A318)*('Réel 2023'!$C$3:$AO$3=Q$2),'Réel 2023'!$C$8:$AO$501)</f>
        <v>84682.14</v>
      </c>
      <c r="R318" s="253"/>
      <c r="S318" s="256">
        <f t="shared" ref="S318:S348" si="92">L318-Q318</f>
        <v>17513.410000000003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344059.10399999999</v>
      </c>
      <c r="G319" s="298"/>
      <c r="H319" s="41"/>
      <c r="I319" s="248"/>
      <c r="J319" s="253"/>
      <c r="K319" s="41"/>
      <c r="L319" s="256">
        <f>SUMIFS(BV_Data_An_Cour!$P:$P,BV_Data_An_Cour!$U:$U,$B319,BV_Data_An_Cour!$V:$V,$C319,BV_Data_An_Cour!$W:$W,$L$2)</f>
        <v>306458.19</v>
      </c>
      <c r="M319" s="253"/>
      <c r="N319" s="276">
        <f t="shared" si="91"/>
        <v>-37600.91399999999</v>
      </c>
      <c r="O319" s="253"/>
      <c r="P319" s="41"/>
      <c r="Q319" s="256" cm="1">
        <f t="array" ref="Q319">+SUMPRODUCT(('Réel 2023'!$A$8:$A$501=$A319)*('Réel 2023'!$C$3:$AO$3=Q$2),'Réel 2023'!$C$8:$AO$501)</f>
        <v>294172.55</v>
      </c>
      <c r="R319" s="253"/>
      <c r="S319" s="276">
        <f t="shared" si="92"/>
        <v>12285.640000000014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1823.2000000000005</v>
      </c>
      <c r="G320" s="316"/>
      <c r="H320" s="315"/>
      <c r="I320" s="254"/>
      <c r="J320" s="241"/>
      <c r="K320" s="315"/>
      <c r="L320" s="272">
        <f>SUMIFS(BV_Data_An_Cour!$P:$P,BV_Data_An_Cour!$U:$U,$B320,BV_Data_An_Cour!$V:$V,$C320,BV_Data_An_Cour!$W:$W,$L$2)</f>
        <v>8600.33</v>
      </c>
      <c r="M320" s="241"/>
      <c r="N320" s="317">
        <f t="shared" si="91"/>
        <v>6777.1299999999992</v>
      </c>
      <c r="O320" s="241"/>
      <c r="P320" s="315"/>
      <c r="Q320" s="272" cm="1">
        <f t="array" ref="Q320">+SUMPRODUCT(('Réel 2023'!$A$8:$A$501=$A320)*('Réel 2023'!$C$3:$AO$3=Q$2),'Réel 2023'!$C$8:$AO$501)</f>
        <v>15780.18</v>
      </c>
      <c r="R320" s="241"/>
      <c r="S320" s="317">
        <f t="shared" si="92"/>
        <v>-7179.85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52678.040404000007</v>
      </c>
      <c r="G325" s="298"/>
      <c r="H325" s="41"/>
      <c r="I325" s="248"/>
      <c r="J325" s="253"/>
      <c r="K325" s="41"/>
      <c r="L325" s="256">
        <f>SUMIFS(BV_Data_An_Cour!$P:$P,BV_Data_An_Cour!$U:$U,$B325,BV_Data_An_Cour!$V:$V,$C325,BV_Data_An_Cour!$W:$W,$L$2)</f>
        <v>45257.120000000003</v>
      </c>
      <c r="M325" s="253"/>
      <c r="N325" s="276">
        <f t="shared" si="91"/>
        <v>-7420.9204040000041</v>
      </c>
      <c r="O325" s="253"/>
      <c r="P325" s="41"/>
      <c r="Q325" s="256" cm="1">
        <f t="array" ref="Q325">+SUMPRODUCT(('Réel 2023'!$A$8:$A$501=$A325)*('Réel 2023'!$C$3:$AO$3=Q$2),'Réel 2023'!$C$8:$AO$501)</f>
        <v>39233.490000000005</v>
      </c>
      <c r="R325" s="253"/>
      <c r="S325" s="276">
        <f t="shared" si="92"/>
        <v>6023.6299999999974</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64049.071151999997</v>
      </c>
      <c r="G326" s="316"/>
      <c r="H326" s="315"/>
      <c r="I326" s="254"/>
      <c r="J326" s="241"/>
      <c r="K326" s="315"/>
      <c r="L326" s="272">
        <f>SUMIFS(BV_Data_An_Cour!$P:$P,BV_Data_An_Cour!$U:$U,$B326,BV_Data_An_Cour!$V:$V,$C326,BV_Data_An_Cour!$W:$W,$L$2)</f>
        <v>88155.37</v>
      </c>
      <c r="M326" s="241"/>
      <c r="N326" s="317">
        <f t="shared" si="91"/>
        <v>24106.298847999999</v>
      </c>
      <c r="O326" s="241"/>
      <c r="P326" s="315"/>
      <c r="Q326" s="272" cm="1">
        <f t="array" ref="Q326">+SUMPRODUCT(('Réel 2023'!$A$8:$A$501=$A326)*('Réel 2023'!$C$3:$AO$3=Q$2),'Réel 2023'!$C$8:$AO$501)</f>
        <v>87918.87</v>
      </c>
      <c r="R326" s="241"/>
      <c r="S326" s="317">
        <f t="shared" si="92"/>
        <v>236.5</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32999.195354399999</v>
      </c>
      <c r="G327" s="298"/>
      <c r="H327" s="41"/>
      <c r="I327" s="254"/>
      <c r="J327" s="253"/>
      <c r="K327" s="41"/>
      <c r="L327" s="256">
        <f>SUMIFS(BV_Data_An_Cour!$P:$P,BV_Data_An_Cour!$U:$U,$B327,BV_Data_An_Cour!$V:$V,$C327,BV_Data_An_Cour!$W:$W,$L$2)</f>
        <v>11103.86</v>
      </c>
      <c r="M327" s="253"/>
      <c r="N327" s="276">
        <f t="shared" si="91"/>
        <v>-21895.335354399998</v>
      </c>
      <c r="O327" s="253"/>
      <c r="P327" s="41"/>
      <c r="Q327" s="256" cm="1">
        <f t="array" ref="Q327">+SUMPRODUCT(('Réel 2023'!$A$8:$A$501=$A327)*('Réel 2023'!$C$3:$AO$3=Q$2),'Réel 2023'!$C$8:$AO$501)</f>
        <v>14057.14</v>
      </c>
      <c r="R327" s="253"/>
      <c r="S327" s="276">
        <f t="shared" si="92"/>
        <v>-2953.2799999999988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14387.834824000001</v>
      </c>
      <c r="G328" s="298"/>
      <c r="H328" s="41"/>
      <c r="I328" s="254"/>
      <c r="J328" s="253"/>
      <c r="K328" s="41"/>
      <c r="L328" s="256">
        <f>SUMIFS(BV_Data_An_Cour!$P:$P,BV_Data_An_Cour!$U:$U,$B328,BV_Data_An_Cour!$V:$V,$C328,BV_Data_An_Cour!$W:$W,$L$2)</f>
        <v>12977.3</v>
      </c>
      <c r="M328" s="253"/>
      <c r="N328" s="276">
        <f t="shared" si="91"/>
        <v>-1410.5348240000021</v>
      </c>
      <c r="O328" s="253"/>
      <c r="P328" s="41"/>
      <c r="Q328" s="256" cm="1">
        <f t="array" ref="Q328">+SUMPRODUCT(('Réel 2023'!$A$8:$A$501=$A328)*('Réel 2023'!$C$3:$AO$3=Q$2),'Réel 2023'!$C$8:$AO$501)</f>
        <v>11559.459999999992</v>
      </c>
      <c r="R328" s="253"/>
      <c r="S328" s="276">
        <f t="shared" si="92"/>
        <v>1417.8400000000074</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0.3820634261214455</v>
      </c>
      <c r="F330" s="307">
        <f>+SUM(F318:F329)</f>
        <v>593585.04573440005</v>
      </c>
      <c r="G330" s="308"/>
      <c r="H330" s="306"/>
      <c r="I330" s="307"/>
      <c r="J330" s="308" t="s">
        <v>119</v>
      </c>
      <c r="K330" s="306">
        <f>L330/L$314</f>
        <v>0.42361746575659265</v>
      </c>
      <c r="L330" s="307">
        <f>+SUM(L318:L329)</f>
        <v>574747.72000000009</v>
      </c>
      <c r="M330" s="355"/>
      <c r="N330" s="320">
        <f t="shared" si="91"/>
        <v>-18837.325734399958</v>
      </c>
      <c r="O330" s="308" t="s">
        <v>119</v>
      </c>
      <c r="P330" s="306">
        <f>Q330/Q$314</f>
        <v>0.39005305682028618</v>
      </c>
      <c r="Q330" s="307">
        <f>+SUM(Q318:Q329)</f>
        <v>547403.82999999996</v>
      </c>
      <c r="R330" s="355"/>
      <c r="S330" s="320">
        <f t="shared" si="92"/>
        <v>27343.89000000013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53418.817641249982</v>
      </c>
      <c r="G331" s="298"/>
      <c r="H331" s="41"/>
      <c r="I331" s="254"/>
      <c r="J331" s="253"/>
      <c r="K331" s="41"/>
      <c r="L331" s="256">
        <f>SUMIFS(BV_Data_An_Cour!$P:$P,BV_Data_An_Cour!$U:$U,$B331,BV_Data_An_Cour!$V:$V,$C331,BV_Data_An_Cour!$W:$W,$L$2)</f>
        <v>49528.76</v>
      </c>
      <c r="M331" s="253"/>
      <c r="N331" s="276">
        <f t="shared" si="91"/>
        <v>-3890.0576412499795</v>
      </c>
      <c r="O331" s="253"/>
      <c r="P331" s="41"/>
      <c r="Q331" s="256" cm="1">
        <f t="array" ref="Q331">+SUMPRODUCT(('Réel 2023'!$A$8:$A$501=$A331)*('Réel 2023'!$C$3:$AO$3=Q$2),'Réel 2023'!$C$8:$AO$501)</f>
        <v>46937.58</v>
      </c>
      <c r="R331" s="253"/>
      <c r="S331" s="276">
        <f t="shared" si="92"/>
        <v>2591.1800000000003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17817.196877697435</v>
      </c>
      <c r="G332" s="298"/>
      <c r="H332" s="41"/>
      <c r="I332" s="254"/>
      <c r="J332" s="253"/>
      <c r="K332" s="41"/>
      <c r="L332" s="256">
        <f>SUMIFS(BV_Data_An_Cour!$P:$P,BV_Data_An_Cour!$U:$U,$B332,BV_Data_An_Cour!$V:$V,$C332,BV_Data_An_Cour!$W:$W,$L$2)</f>
        <v>4305.6000000000004</v>
      </c>
      <c r="M332" s="253"/>
      <c r="N332" s="276">
        <f t="shared" si="91"/>
        <v>-13511.596877697435</v>
      </c>
      <c r="O332" s="253"/>
      <c r="P332" s="41"/>
      <c r="Q332" s="256" cm="1">
        <f t="array" ref="Q332">+SUMPRODUCT(('Réel 2023'!$A$8:$A$501=$A332)*('Réel 2023'!$C$3:$AO$3=Q$2),'Réel 2023'!$C$8:$AO$501)</f>
        <v>16265.52</v>
      </c>
      <c r="R332" s="253"/>
      <c r="S332" s="276">
        <f t="shared" si="92"/>
        <v>-11959.92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13000.000000000002</v>
      </c>
      <c r="G333" s="300"/>
      <c r="H333" s="318"/>
      <c r="I333" s="248"/>
      <c r="J333" s="246"/>
      <c r="K333" s="318"/>
      <c r="L333" s="256">
        <f>SUMIFS(BV_Data_An_Cour!$P:$P,BV_Data_An_Cour!$U:$U,$B333,BV_Data_An_Cour!$V:$V,$C333,BV_Data_An_Cour!$W:$W,$L$2)</f>
        <v>15083.72</v>
      </c>
      <c r="M333" s="246"/>
      <c r="N333" s="296">
        <f t="shared" si="91"/>
        <v>2083.7199999999975</v>
      </c>
      <c r="O333" s="246"/>
      <c r="P333" s="318"/>
      <c r="Q333" s="256" cm="1">
        <f t="array" ref="Q333">+SUMPRODUCT(('Réel 2023'!$A$8:$A$501=$A333)*('Réel 2023'!$C$3:$AO$3=Q$2),'Réel 2023'!$C$8:$AO$501)</f>
        <v>11617.630000000001</v>
      </c>
      <c r="R333" s="246"/>
      <c r="S333" s="296">
        <f t="shared" si="92"/>
        <v>3466.0899999999983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45707.228433333337</v>
      </c>
      <c r="G334" s="298"/>
      <c r="H334" s="41"/>
      <c r="I334" s="254"/>
      <c r="J334" s="253"/>
      <c r="K334" s="41"/>
      <c r="L334" s="272">
        <f>SUMIFS(BV_Data_An_Cour!$P:$P,BV_Data_An_Cour!$U:$U,$B334,BV_Data_An_Cour!$V:$V,$C334,BV_Data_An_Cour!$W:$W,$L$2)</f>
        <v>58714.14</v>
      </c>
      <c r="M334" s="253"/>
      <c r="N334" s="276">
        <f t="shared" si="91"/>
        <v>13006.911566666662</v>
      </c>
      <c r="O334" s="253"/>
      <c r="P334" s="41"/>
      <c r="Q334" s="272" cm="1">
        <f t="array" ref="Q334">+SUMPRODUCT(('Réel 2023'!$A$8:$A$501=$A334)*('Réel 2023'!$C$3:$AO$3=Q$2),'Réel 2023'!$C$8:$AO$501)</f>
        <v>47452.229999999996</v>
      </c>
      <c r="R334" s="253"/>
      <c r="S334" s="276">
        <f t="shared" si="92"/>
        <v>11261.910000000003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8227.4459603579617</v>
      </c>
      <c r="G335" s="298"/>
      <c r="H335" s="41"/>
      <c r="I335" s="254"/>
      <c r="J335" s="253"/>
      <c r="K335" s="41"/>
      <c r="L335" s="256">
        <f>SUMIFS(BV_Data_An_Cour!$P:$P,BV_Data_An_Cour!$U:$U,$B335,BV_Data_An_Cour!$V:$V,$C335,BV_Data_An_Cour!$W:$W,$L$2)</f>
        <v>11673.32</v>
      </c>
      <c r="M335" s="253"/>
      <c r="N335" s="276">
        <f t="shared" si="91"/>
        <v>3445.874039642038</v>
      </c>
      <c r="O335" s="253"/>
      <c r="P335" s="41"/>
      <c r="Q335" s="256" cm="1">
        <f t="array" ref="Q335">+SUMPRODUCT(('Réel 2023'!$A$8:$A$501=$A335)*('Réel 2023'!$C$3:$AO$3=Q$2),'Réel 2023'!$C$8:$AO$501)</f>
        <v>11594.619999999999</v>
      </c>
      <c r="R335" s="253"/>
      <c r="S335" s="276">
        <f t="shared" si="92"/>
        <v>78.700000000000728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149001.93300638889</v>
      </c>
      <c r="G336" s="300"/>
      <c r="H336" s="318"/>
      <c r="I336" s="248"/>
      <c r="J336" s="246"/>
      <c r="K336" s="318"/>
      <c r="L336" s="248">
        <f>SUMIFS(BV_Data_An_Cour!$P:$P,BV_Data_An_Cour!$U:$U,$B336,BV_Data_An_Cour!$V:$V,$C336,BV_Data_An_Cour!$W:$W,$L$2)</f>
        <v>143262.68</v>
      </c>
      <c r="M336" s="246"/>
      <c r="N336" s="296">
        <f t="shared" si="91"/>
        <v>-5739.2530063888989</v>
      </c>
      <c r="O336" s="246"/>
      <c r="P336" s="318"/>
      <c r="Q336" s="248" cm="1">
        <f t="array" ref="Q336">+SUMPRODUCT(('Réel 2023'!$A$8:$A$501=$A336)*('Réel 2023'!$C$3:$AO$3=Q$2),'Réel 2023'!$C$8:$AO$501)</f>
        <v>195002.43000000002</v>
      </c>
      <c r="R336" s="246"/>
      <c r="S336" s="296">
        <f t="shared" si="92"/>
        <v>-51739.750000000029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1500</v>
      </c>
      <c r="G338" s="298"/>
      <c r="H338" s="41"/>
      <c r="I338" s="254"/>
      <c r="J338" s="253"/>
      <c r="K338" s="41"/>
      <c r="L338" s="256">
        <f>SUMIFS(BV_Data_An_Cour!$P:$P,BV_Data_An_Cour!$U:$U,$B338,BV_Data_An_Cour!$V:$V,$C338,BV_Data_An_Cour!$W:$W,$L$2)</f>
        <v>2798.71</v>
      </c>
      <c r="M338" s="253"/>
      <c r="N338" s="276">
        <f t="shared" si="91"/>
        <v>1298.71</v>
      </c>
      <c r="O338" s="253"/>
      <c r="P338" s="41"/>
      <c r="Q338" s="256" cm="1">
        <f t="array" ref="Q338">+SUMPRODUCT(('Réel 2023'!$A$8:$A$501=$A338)*('Réel 2023'!$C$3:$AO$3=Q$2),'Réel 2023'!$C$8:$AO$501)</f>
        <v>1744.87</v>
      </c>
      <c r="R338" s="253"/>
      <c r="S338" s="276">
        <f t="shared" si="92"/>
        <v>1053.8400000000001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1000.0000000000001</v>
      </c>
      <c r="G339" s="298"/>
      <c r="H339" s="41"/>
      <c r="I339" s="254"/>
      <c r="J339" s="253"/>
      <c r="K339" s="41"/>
      <c r="L339" s="256">
        <f>SUMIFS(BV_Data_An_Cour!$P:$P,BV_Data_An_Cour!$U:$U,$B339,BV_Data_An_Cour!$V:$V,$C339,BV_Data_An_Cour!$W:$W,$L$2)</f>
        <v>240</v>
      </c>
      <c r="M339" s="253"/>
      <c r="N339" s="276">
        <f t="shared" si="91"/>
        <v>-760.00000000000011</v>
      </c>
      <c r="O339" s="253"/>
      <c r="P339" s="41"/>
      <c r="Q339" s="256" cm="1">
        <f t="array" ref="Q339">+SUMPRODUCT(('Réel 2023'!$A$8:$A$501=$A339)*('Réel 2023'!$C$3:$AO$3=Q$2),'Réel 2023'!$C$8:$AO$501)</f>
        <v>0</v>
      </c>
      <c r="R339" s="253"/>
      <c r="S339" s="276">
        <f t="shared" si="92"/>
        <v>240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7415.4351746999992</v>
      </c>
      <c r="G340" s="298"/>
      <c r="H340" s="41"/>
      <c r="I340" s="254"/>
      <c r="J340" s="253"/>
      <c r="K340" s="41"/>
      <c r="L340" s="256">
        <f>SUMIFS(BV_Data_An_Cour!$P:$P,BV_Data_An_Cour!$U:$U,$B340,BV_Data_An_Cour!$V:$V,$C340,BV_Data_An_Cour!$W:$W,$L$2)</f>
        <v>8619.15</v>
      </c>
      <c r="M340" s="253"/>
      <c r="N340" s="276">
        <f t="shared" si="91"/>
        <v>1203.7148253000005</v>
      </c>
      <c r="O340" s="253"/>
      <c r="P340" s="41"/>
      <c r="Q340" s="256" cm="1">
        <f t="array" ref="Q340">+SUMPRODUCT(('Réel 2023'!$A$8:$A$501=$A340)*('Réel 2023'!$C$3:$AO$3=Q$2),'Réel 2023'!$C$8:$AO$501)</f>
        <v>8703.33</v>
      </c>
      <c r="R340" s="253"/>
      <c r="S340" s="276">
        <f t="shared" si="92"/>
        <v>-84.180000000000291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1576.2985973708335</v>
      </c>
      <c r="G341" s="298"/>
      <c r="H341" s="41"/>
      <c r="I341" s="254"/>
      <c r="J341" s="253"/>
      <c r="K341" s="41"/>
      <c r="L341" s="256">
        <f>SUMIFS(BV_Data_An_Cour!$P:$P,BV_Data_An_Cour!$U:$U,$B341,BV_Data_An_Cour!$V:$V,$C341,BV_Data_An_Cour!$W:$W,$L$2)</f>
        <v>1262.1099999999999</v>
      </c>
      <c r="M341" s="253"/>
      <c r="N341" s="276">
        <f t="shared" si="91"/>
        <v>-314.18859737083358</v>
      </c>
      <c r="O341" s="253"/>
      <c r="P341" s="41"/>
      <c r="Q341" s="256" cm="1">
        <f t="array" ref="Q341">+SUMPRODUCT(('Réel 2023'!$A$8:$A$501=$A341)*('Réel 2023'!$C$3:$AO$3=Q$2),'Réel 2023'!$C$8:$AO$501)</f>
        <v>1083.0999999999999</v>
      </c>
      <c r="R341" s="253"/>
      <c r="S341" s="276">
        <f t="shared" si="92"/>
        <v>179.01</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1923.5577366291664</v>
      </c>
      <c r="G342" s="298"/>
      <c r="H342" s="41"/>
      <c r="I342" s="254"/>
      <c r="J342" s="253"/>
      <c r="K342" s="41"/>
      <c r="L342" s="256">
        <f>SUMIFS(BV_Data_An_Cour!$P:$P,BV_Data_An_Cour!$U:$U,$B342,BV_Data_An_Cour!$V:$V,$C342,BV_Data_An_Cour!$W:$W,$L$2)</f>
        <v>-1807.28</v>
      </c>
      <c r="M342" s="253"/>
      <c r="N342" s="276">
        <f t="shared" si="91"/>
        <v>-3730.8377366291661</v>
      </c>
      <c r="O342" s="253"/>
      <c r="P342" s="41"/>
      <c r="Q342" s="256" cm="1">
        <f t="array" ref="Q342">+SUMPRODUCT(('Réel 2023'!$A$8:$A$501=$A342)*('Réel 2023'!$C$3:$AO$3=Q$2),'Réel 2023'!$C$8:$AO$501)</f>
        <v>-475.76999999999992</v>
      </c>
      <c r="R342" s="253"/>
      <c r="S342" s="276">
        <f t="shared" si="92"/>
        <v>-1331.51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2625.1738822041675</v>
      </c>
      <c r="G343" s="298"/>
      <c r="H343" s="41"/>
      <c r="I343" s="254"/>
      <c r="J343" s="253"/>
      <c r="K343" s="41"/>
      <c r="L343" s="256">
        <f>SUMIFS(BV_Data_An_Cour!$P:$P,BV_Data_An_Cour!$U:$U,$B343,BV_Data_An_Cour!$V:$V,$C343,BV_Data_An_Cour!$W:$W,$L$2)</f>
        <v>1691.93</v>
      </c>
      <c r="M343" s="253"/>
      <c r="N343" s="276">
        <f t="shared" si="91"/>
        <v>-933.24388220416745</v>
      </c>
      <c r="O343" s="253"/>
      <c r="P343" s="41"/>
      <c r="Q343" s="256" cm="1">
        <f t="array" ref="Q343">+SUMPRODUCT(('Réel 2023'!$A$8:$A$501=$A343)*('Réel 2023'!$C$3:$AO$3=Q$2),'Réel 2023'!$C$8:$AO$501)</f>
        <v>1508.2700000000002</v>
      </c>
      <c r="R343" s="253"/>
      <c r="S343" s="276">
        <f t="shared" si="92"/>
        <v>183.65999999999985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9867.1083957992942</v>
      </c>
      <c r="G344" s="298"/>
      <c r="H344" s="41"/>
      <c r="I344" s="254"/>
      <c r="J344" s="253"/>
      <c r="K344" s="41"/>
      <c r="L344" s="256">
        <f>SUMIFS(BV_Data_An_Cour!$P:$P,BV_Data_An_Cour!$U:$U,$B344,BV_Data_An_Cour!$V:$V,$C344,BV_Data_An_Cour!$W:$W,$L$2)</f>
        <v>3366.2</v>
      </c>
      <c r="M344" s="253"/>
      <c r="N344" s="276">
        <f t="shared" si="91"/>
        <v>-6500.9083957992943</v>
      </c>
      <c r="O344" s="253"/>
      <c r="P344" s="41"/>
      <c r="Q344" s="256" cm="1">
        <f t="array" ref="Q344">+SUMPRODUCT(('Réel 2023'!$A$8:$A$501=$A344)*('Réel 2023'!$C$3:$AO$3=Q$2),'Réel 2023'!$C$8:$AO$501)</f>
        <v>8785.5600000000013</v>
      </c>
      <c r="R344" s="253"/>
      <c r="S344" s="276">
        <f t="shared" si="92"/>
        <v>-5419.3600000000015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17755.930187755745</v>
      </c>
      <c r="G345" s="298"/>
      <c r="H345" s="41"/>
      <c r="I345" s="254"/>
      <c r="J345" s="253"/>
      <c r="K345" s="41"/>
      <c r="L345" s="256">
        <f>SUMIFS(BV_Data_An_Cour!$P:$P,BV_Data_An_Cour!$U:$U,$B345,BV_Data_An_Cour!$V:$V,$C345,BV_Data_An_Cour!$W:$W,L$2)</f>
        <v>21103.25</v>
      </c>
      <c r="M345" s="253"/>
      <c r="N345" s="276">
        <f t="shared" si="91"/>
        <v>3347.3198122442554</v>
      </c>
      <c r="O345" s="253"/>
      <c r="P345" s="41"/>
      <c r="Q345" s="256" cm="1">
        <f t="array" ref="Q345">+SUMPRODUCT(('Réel 2023'!$A$8:$A$501=$A345)*('Réel 2023'!$C$3:$AO$3=Q$2),'Réel 2023'!$C$8:$AO$501)</f>
        <v>18792.920000000002</v>
      </c>
      <c r="R345" s="253"/>
      <c r="S345" s="276">
        <f t="shared" si="92"/>
        <v>2310.3299999999981</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0.21294401645045716</v>
      </c>
      <c r="F349" s="307">
        <f>+SUM(F331:F348)</f>
        <v>330836.12589348684</v>
      </c>
      <c r="G349" s="308"/>
      <c r="H349" s="306"/>
      <c r="I349" s="307"/>
      <c r="J349" s="308" t="s">
        <v>119</v>
      </c>
      <c r="K349" s="306">
        <f>L349/L$314</f>
        <v>0.23573956993093445</v>
      </c>
      <c r="L349" s="307">
        <f>+SUM(L331:L348)</f>
        <v>319842.28999999998</v>
      </c>
      <c r="M349" s="311"/>
      <c r="N349" s="307">
        <f>+SUM(N331:N348)</f>
        <v>-10993.835893486819</v>
      </c>
      <c r="O349" s="308" t="s">
        <v>119</v>
      </c>
      <c r="P349" s="306">
        <f>Q349/Q$314</f>
        <v>0.26294001581748877</v>
      </c>
      <c r="Q349" s="307">
        <f>+SUM(Q331:Q348)</f>
        <v>369012.29</v>
      </c>
      <c r="R349" s="311"/>
      <c r="S349" s="307">
        <f>+SUM(S331:S348)</f>
        <v>-49170.000000000029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0.59500744257190263</v>
      </c>
      <c r="F351" s="307">
        <f>F330+F349</f>
        <v>924421.17162788683</v>
      </c>
      <c r="G351" s="308"/>
      <c r="H351" s="306"/>
      <c r="I351" s="307"/>
      <c r="J351" s="308" t="s">
        <v>119</v>
      </c>
      <c r="K351" s="306">
        <f>L351/L$314</f>
        <v>0.65935703568752702</v>
      </c>
      <c r="L351" s="307">
        <f>L330+L349</f>
        <v>894590.01</v>
      </c>
      <c r="M351" s="311"/>
      <c r="N351" s="320">
        <f>L351-F351</f>
        <v>-29831.161627886817</v>
      </c>
      <c r="O351" s="308" t="s">
        <v>119</v>
      </c>
      <c r="P351" s="306">
        <f>Q351/Q$314</f>
        <v>0.65299307263777484</v>
      </c>
      <c r="Q351" s="307">
        <f>Q330+Q349</f>
        <v>916416.11999999988</v>
      </c>
      <c r="R351" s="311"/>
      <c r="S351" s="320">
        <f>L351-Q351</f>
        <v>-21826.10999999987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629208.42270475347</v>
      </c>
      <c r="G353" s="361"/>
      <c r="H353" s="333"/>
      <c r="I353" s="335"/>
      <c r="J353" s="332"/>
      <c r="K353" s="334"/>
      <c r="L353" s="335">
        <f>L314-L351</f>
        <v>462171.13999999966</v>
      </c>
      <c r="M353" s="332"/>
      <c r="N353" s="335">
        <f>L353-F353</f>
        <v>-167037.2827047538</v>
      </c>
      <c r="O353" s="332"/>
      <c r="P353" s="334"/>
      <c r="Q353" s="335">
        <f>Q314-Q351</f>
        <v>486992.51999999862</v>
      </c>
      <c r="R353" s="332"/>
      <c r="S353" s="335">
        <f>L353-Q353</f>
        <v>-24821.379999998957</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Décembre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5" t="s">
        <v>343</v>
      </c>
      <c r="E358" s="1226"/>
      <c r="F358" s="1227"/>
      <c r="G358" s="1230"/>
      <c r="H358" s="1226"/>
      <c r="I358" s="1227"/>
      <c r="J358" s="1230" t="s">
        <v>344</v>
      </c>
      <c r="K358" s="1226"/>
      <c r="L358" s="1227"/>
      <c r="M358" s="1230"/>
      <c r="N358" s="1227"/>
      <c r="O358" s="1230" t="s">
        <v>345</v>
      </c>
      <c r="P358" s="1226"/>
      <c r="Q358" s="1227"/>
      <c r="R358" s="1230"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Décembre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4" t="s">
        <v>600</v>
      </c>
      <c r="Y404" s="1232"/>
      <c r="Z404" s="1235"/>
      <c r="AA404" s="1231"/>
      <c r="AB404" s="1232"/>
      <c r="AC404" s="1235"/>
      <c r="AD404" s="1231" t="s">
        <v>344</v>
      </c>
      <c r="AE404" s="1232"/>
      <c r="AF404" s="1235"/>
      <c r="AG404" s="1231" t="s">
        <v>3310</v>
      </c>
      <c r="AH404" s="1232"/>
      <c r="AI404" s="1235"/>
      <c r="AJ404" s="1231" t="s">
        <v>601</v>
      </c>
      <c r="AK404" s="1232"/>
      <c r="AL404" s="1232"/>
      <c r="AM404" s="1231" t="s">
        <v>602</v>
      </c>
      <c r="AN404" s="1232"/>
      <c r="AO404" s="1233"/>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64247633.028998941</v>
      </c>
      <c r="AA406" s="440"/>
      <c r="AB406" s="440"/>
      <c r="AC406" s="441"/>
      <c r="AD406" s="442"/>
      <c r="AE406" s="443"/>
      <c r="AF406" s="443">
        <f>L5+L93+K194+K250+J314+J362</f>
        <v>62756561.019999996</v>
      </c>
      <c r="AG406" s="442"/>
      <c r="AH406" s="443"/>
      <c r="AI406" s="444"/>
      <c r="AJ406" s="442"/>
      <c r="AK406" s="443"/>
      <c r="AL406" s="443">
        <f>Q5+Q93+P194+P250+O314+O362</f>
        <v>73091183.97999993</v>
      </c>
      <c r="AM406" s="445"/>
      <c r="AN406" s="443"/>
      <c r="AO406" s="446"/>
      <c r="AP406" s="38"/>
      <c r="AQ406" s="445">
        <v>54204064.640000001</v>
      </c>
      <c r="AR406" s="620">
        <f t="shared" ref="AR406:AR407" si="99">AF406-AQ406</f>
        <v>8552496.3799999952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9094384.0683882013</v>
      </c>
      <c r="AA407" s="448"/>
      <c r="AB407" s="448"/>
      <c r="AC407" s="449"/>
      <c r="AD407" s="475">
        <f>AF407/AF$406</f>
        <v>0.11520085457990574</v>
      </c>
      <c r="AE407" s="451"/>
      <c r="AF407" s="451">
        <f>L27+L108+L194+L250+L314+L362</f>
        <v>7229609.4600000009</v>
      </c>
      <c r="AG407" s="450"/>
      <c r="AH407" s="451">
        <f>AF407-Z407</f>
        <v>-1864774.6083882004</v>
      </c>
      <c r="AI407" s="452">
        <f>AH407/Z407</f>
        <v>-0.20504682828055387</v>
      </c>
      <c r="AJ407" s="475">
        <f>+AL407/AL406</f>
        <v>0.10137336894183388</v>
      </c>
      <c r="AK407" s="451"/>
      <c r="AL407" s="451">
        <f>Q27+Q108+Q194+Q250+Q314+Q362</f>
        <v>7409499.5599999912</v>
      </c>
      <c r="AM407" s="453"/>
      <c r="AN407" s="451">
        <f>AF407-AL407</f>
        <v>-179890.09999999031</v>
      </c>
      <c r="AO407" s="454">
        <f>IF(AL407=0,0,AN407/AL407)</f>
        <v>-2.427830632059455E-2</v>
      </c>
      <c r="AP407" s="94"/>
      <c r="AQ407" s="453">
        <v>7795760.1900000032</v>
      </c>
      <c r="AR407" s="621">
        <f t="shared" si="99"/>
        <v>-566150.73000000231</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831.73897235773222</v>
      </c>
      <c r="Z409" s="457">
        <f t="shared" ref="Z409:Z418" si="101">+SUMIF($C:$C,$V409,F:F)</f>
        <v>865804.92131807399</v>
      </c>
      <c r="AA409" s="456"/>
      <c r="AB409" s="464"/>
      <c r="AC409" s="457"/>
      <c r="AD409" s="465"/>
      <c r="AE409" s="464">
        <f t="shared" ref="AE409:AE414" si="102">IF(AF409=0,0,AF409/(J$13+J$97))</f>
        <v>674.07852329038656</v>
      </c>
      <c r="AF409" s="457">
        <f t="shared" ref="AF409:AF418" si="103">+SUMIF($C:$C,$V409,L:L)</f>
        <v>680145.23</v>
      </c>
      <c r="AG409" s="458">
        <f t="shared" ref="AG409:AG418" si="104">AE409-Y409</f>
        <v>-157.66044906734567</v>
      </c>
      <c r="AH409" s="459">
        <f t="shared" ref="AH409:AH418" si="105">AF409-Z409</f>
        <v>-185659.69131807401</v>
      </c>
      <c r="AI409" s="460">
        <f t="shared" ref="AI409:AI418" si="106">IF(Z409=0,0,AH409/Z409)</f>
        <v>-0.21443593902819538</v>
      </c>
      <c r="AJ409" s="465"/>
      <c r="AK409" s="459">
        <f t="shared" ref="AK409:AK418" si="107">AL409/(O$13+O$97)</f>
        <v>770.9727815315315</v>
      </c>
      <c r="AL409" s="457">
        <f t="shared" ref="AL409:AL418" si="108">+SUMIF($C:$C,$V409,Q:Q)</f>
        <v>684623.83</v>
      </c>
      <c r="AM409" s="461">
        <f t="shared" ref="AM409:AM418" si="109">AE409-Y409</f>
        <v>-157.66044906734567</v>
      </c>
      <c r="AN409" s="459">
        <f t="shared" ref="AN409:AN431" si="110">AF409-AL409</f>
        <v>-4478.5999999999767</v>
      </c>
      <c r="AO409" s="466">
        <f t="shared" ref="AO409:AO431" si="111">IF(AL409=0,0,AN409/AL409)</f>
        <v>-6.5416945828484776E-3</v>
      </c>
      <c r="AP409" s="94"/>
      <c r="AQ409" s="622">
        <v>778277.40999999992</v>
      </c>
      <c r="AR409" s="512">
        <f t="shared" ref="AR409:AR466" si="112">AF409-AQ409</f>
        <v>-98132.179999999935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518.58024943381452</v>
      </c>
      <c r="Z410" s="441">
        <f t="shared" si="101"/>
        <v>539820</v>
      </c>
      <c r="AA410" s="440"/>
      <c r="AB410" s="468"/>
      <c r="AC410" s="441"/>
      <c r="AD410" s="469"/>
      <c r="AE410" s="468">
        <f t="shared" si="102"/>
        <v>339.70474727452921</v>
      </c>
      <c r="AF410" s="441">
        <f t="shared" si="103"/>
        <v>342762.08999999997</v>
      </c>
      <c r="AG410" s="442">
        <f t="shared" si="104"/>
        <v>-178.8755021592853</v>
      </c>
      <c r="AH410" s="443">
        <f t="shared" si="105"/>
        <v>-197057.91000000003</v>
      </c>
      <c r="AI410" s="470">
        <f t="shared" si="106"/>
        <v>-0.36504373680115598</v>
      </c>
      <c r="AJ410" s="469"/>
      <c r="AK410" s="443">
        <f t="shared" si="107"/>
        <v>454.03748873873877</v>
      </c>
      <c r="AL410" s="441">
        <f t="shared" si="108"/>
        <v>403185.29000000004</v>
      </c>
      <c r="AM410" s="445">
        <f t="shared" si="109"/>
        <v>-178.8755021592853</v>
      </c>
      <c r="AN410" s="443">
        <f t="shared" si="110"/>
        <v>-60423.20000000007</v>
      </c>
      <c r="AO410" s="446">
        <f t="shared" si="111"/>
        <v>-0.14986459451434864</v>
      </c>
      <c r="AP410" s="94"/>
      <c r="AQ410" s="623">
        <v>469053.9</v>
      </c>
      <c r="AR410" s="620">
        <f t="shared" si="112"/>
        <v>-126291.81000000006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77.547834565772376</v>
      </c>
      <c r="Z411" s="457">
        <f t="shared" si="101"/>
        <v>80724</v>
      </c>
      <c r="AA411" s="456"/>
      <c r="AB411" s="464"/>
      <c r="AC411" s="457"/>
      <c r="AD411" s="465"/>
      <c r="AE411" s="464">
        <f t="shared" si="102"/>
        <v>89.4619425173439</v>
      </c>
      <c r="AF411" s="457">
        <f t="shared" si="103"/>
        <v>90267.099999999991</v>
      </c>
      <c r="AG411" s="458">
        <f t="shared" si="104"/>
        <v>11.914107951571523</v>
      </c>
      <c r="AH411" s="459">
        <f t="shared" si="105"/>
        <v>9543.0999999999913</v>
      </c>
      <c r="AI411" s="460">
        <f t="shared" si="106"/>
        <v>0.11821886923343729</v>
      </c>
      <c r="AJ411" s="465"/>
      <c r="AK411" s="459">
        <f t="shared" si="107"/>
        <v>77.01684684684686</v>
      </c>
      <c r="AL411" s="457">
        <f t="shared" si="108"/>
        <v>68390.960000000006</v>
      </c>
      <c r="AM411" s="461">
        <f t="shared" si="109"/>
        <v>11.914107951571523</v>
      </c>
      <c r="AN411" s="459">
        <f t="shared" si="110"/>
        <v>21876.139999999985</v>
      </c>
      <c r="AO411" s="466">
        <f t="shared" si="111"/>
        <v>0.31986888325591545</v>
      </c>
      <c r="AP411" s="94"/>
      <c r="AQ411" s="622">
        <v>56454.65</v>
      </c>
      <c r="AR411" s="512">
        <f t="shared" si="112"/>
        <v>33812.44999999999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4.7741502414844028</v>
      </c>
      <c r="Z412" s="457">
        <f t="shared" si="101"/>
        <v>4969.6875</v>
      </c>
      <c r="AA412" s="456"/>
      <c r="AB412" s="464"/>
      <c r="AC412" s="457"/>
      <c r="AD412" s="465"/>
      <c r="AE412" s="464">
        <f t="shared" si="102"/>
        <v>33.896927651139741</v>
      </c>
      <c r="AF412" s="457">
        <f t="shared" si="103"/>
        <v>34202</v>
      </c>
      <c r="AG412" s="458">
        <f t="shared" si="104"/>
        <v>29.122777409655338</v>
      </c>
      <c r="AH412" s="459">
        <f t="shared" si="105"/>
        <v>29232.3125</v>
      </c>
      <c r="AI412" s="460">
        <f t="shared" si="106"/>
        <v>5.8821228698987609</v>
      </c>
      <c r="AJ412" s="465"/>
      <c r="AK412" s="459">
        <f t="shared" si="107"/>
        <v>14.472804054054054</v>
      </c>
      <c r="AL412" s="457">
        <f t="shared" si="108"/>
        <v>12851.85</v>
      </c>
      <c r="AM412" s="461">
        <f t="shared" si="109"/>
        <v>29.122777409655338</v>
      </c>
      <c r="AN412" s="459">
        <f t="shared" si="110"/>
        <v>21350.15</v>
      </c>
      <c r="AO412" s="466">
        <f t="shared" si="111"/>
        <v>1.6612511039266722</v>
      </c>
      <c r="AP412" s="94"/>
      <c r="AQ412" s="622">
        <v>3117.25</v>
      </c>
      <c r="AR412" s="512">
        <f t="shared" si="112"/>
        <v>31084.75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120.46691603643761</v>
      </c>
      <c r="Z413" s="441">
        <f t="shared" si="101"/>
        <v>125400.93975000001</v>
      </c>
      <c r="AA413" s="440"/>
      <c r="AB413" s="468"/>
      <c r="AC413" s="441"/>
      <c r="AD413" s="469"/>
      <c r="AE413" s="468">
        <f t="shared" si="102"/>
        <v>140.51894945490585</v>
      </c>
      <c r="AF413" s="441">
        <f t="shared" si="103"/>
        <v>141783.62</v>
      </c>
      <c r="AG413" s="442">
        <f t="shared" si="104"/>
        <v>20.052033418468241</v>
      </c>
      <c r="AH413" s="443">
        <f t="shared" si="105"/>
        <v>16382.68024999999</v>
      </c>
      <c r="AI413" s="470">
        <f t="shared" si="106"/>
        <v>0.13064240413716668</v>
      </c>
      <c r="AJ413" s="469"/>
      <c r="AK413" s="443">
        <f t="shared" si="107"/>
        <v>110.89993243243244</v>
      </c>
      <c r="AL413" s="441">
        <f t="shared" si="108"/>
        <v>98479.14</v>
      </c>
      <c r="AM413" s="445">
        <f t="shared" si="109"/>
        <v>20.052033418468241</v>
      </c>
      <c r="AN413" s="443">
        <f t="shared" si="110"/>
        <v>43304.479999999996</v>
      </c>
      <c r="AO413" s="446">
        <f t="shared" si="111"/>
        <v>0.43973251594195478</v>
      </c>
      <c r="AP413" s="94"/>
      <c r="AQ413" s="623">
        <v>111419.39000000001</v>
      </c>
      <c r="AR413" s="620">
        <f t="shared" si="112"/>
        <v>30364.229999999981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208.13601900173637</v>
      </c>
      <c r="Z414" s="457">
        <f t="shared" si="101"/>
        <v>216660.75</v>
      </c>
      <c r="AA414" s="460"/>
      <c r="AB414" s="464"/>
      <c r="AC414" s="457"/>
      <c r="AD414" s="465"/>
      <c r="AE414" s="464">
        <f t="shared" si="102"/>
        <v>244.73981169474729</v>
      </c>
      <c r="AF414" s="457">
        <f t="shared" si="103"/>
        <v>246942.47</v>
      </c>
      <c r="AG414" s="458">
        <f t="shared" si="104"/>
        <v>36.603792693010917</v>
      </c>
      <c r="AH414" s="459">
        <f t="shared" si="105"/>
        <v>30281.72</v>
      </c>
      <c r="AI414" s="460">
        <f t="shared" si="106"/>
        <v>0.13976560129141988</v>
      </c>
      <c r="AJ414" s="465"/>
      <c r="AK414" s="459">
        <f t="shared" si="107"/>
        <v>236.88950450450446</v>
      </c>
      <c r="AL414" s="457">
        <f t="shared" si="108"/>
        <v>210357.87999999995</v>
      </c>
      <c r="AM414" s="461">
        <f t="shared" si="109"/>
        <v>36.603792693010917</v>
      </c>
      <c r="AN414" s="459">
        <f t="shared" si="110"/>
        <v>36584.590000000055</v>
      </c>
      <c r="AO414" s="466">
        <f t="shared" si="111"/>
        <v>0.17391594743206226</v>
      </c>
      <c r="AP414" s="94"/>
      <c r="AQ414" s="622">
        <v>186022.03999999998</v>
      </c>
      <c r="AR414" s="512">
        <f t="shared" si="112"/>
        <v>60920.430000000022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284.13795776004218</v>
      </c>
      <c r="Z415" s="457">
        <f t="shared" si="101"/>
        <v>295775.5381649991</v>
      </c>
      <c r="AA415" s="456"/>
      <c r="AB415" s="464"/>
      <c r="AC415" s="457"/>
      <c r="AD415" s="465"/>
      <c r="AE415" s="464">
        <f t="shared" ref="AE415:AE418" si="113">IF(AF415=0,0,AF415/(J$13+J$13))</f>
        <v>272.39389136904759</v>
      </c>
      <c r="AF415" s="457">
        <f t="shared" si="103"/>
        <v>366097.38999999996</v>
      </c>
      <c r="AG415" s="458">
        <f t="shared" si="104"/>
        <v>-11.74406639099459</v>
      </c>
      <c r="AH415" s="459">
        <f t="shared" si="105"/>
        <v>70321.851835000853</v>
      </c>
      <c r="AI415" s="460">
        <f t="shared" si="106"/>
        <v>0.23775411675786262</v>
      </c>
      <c r="AJ415" s="465"/>
      <c r="AK415" s="459">
        <f t="shared" si="107"/>
        <v>115.53834459459458</v>
      </c>
      <c r="AL415" s="457">
        <f t="shared" si="108"/>
        <v>102598.04999999999</v>
      </c>
      <c r="AM415" s="461">
        <f t="shared" si="109"/>
        <v>-11.74406639099459</v>
      </c>
      <c r="AN415" s="459">
        <f t="shared" si="110"/>
        <v>263499.33999999997</v>
      </c>
      <c r="AO415" s="466">
        <f t="shared" si="111"/>
        <v>2.56826850022978</v>
      </c>
      <c r="AP415" s="94"/>
      <c r="AQ415" s="622">
        <v>67811.08</v>
      </c>
      <c r="AR415" s="512">
        <f t="shared" si="112"/>
        <v>298286.30999999994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0.23411765114846569</v>
      </c>
      <c r="Y419" s="472"/>
      <c r="Z419" s="474">
        <f>SUM(Z409:Z418)</f>
        <v>2129155.836733073</v>
      </c>
      <c r="AA419" s="473"/>
      <c r="AB419" s="472"/>
      <c r="AC419" s="474"/>
      <c r="AD419" s="475">
        <f>AF419/AF$407</f>
        <v>0.26311240054175755</v>
      </c>
      <c r="AE419" s="472"/>
      <c r="AF419" s="474">
        <f>SUM(AF409:AF418)</f>
        <v>1902199.9</v>
      </c>
      <c r="AG419" s="476"/>
      <c r="AH419" s="477">
        <f t="shared" ref="AH419:AH451" si="114">AF419-Z419</f>
        <v>-226955.93673307309</v>
      </c>
      <c r="AI419" s="473">
        <f>AH419/Z419</f>
        <v>-0.10659432852097335</v>
      </c>
      <c r="AJ419" s="475">
        <f>IF($AL$407=0,0,AL419/$AL$407)</f>
        <v>0.21330549886691699</v>
      </c>
      <c r="AK419" s="472"/>
      <c r="AL419" s="474">
        <f>SUM(AL409:AL418)</f>
        <v>1580487</v>
      </c>
      <c r="AM419" s="478"/>
      <c r="AN419" s="477">
        <f t="shared" si="110"/>
        <v>321712.89999999991</v>
      </c>
      <c r="AO419" s="454">
        <f t="shared" si="111"/>
        <v>0.20355301878471629</v>
      </c>
      <c r="AP419" s="94"/>
      <c r="AQ419" s="624">
        <v>1672155.7200000002</v>
      </c>
      <c r="AR419" s="625">
        <f t="shared" si="112"/>
        <v>230044.1799999997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172026.39999999997</v>
      </c>
      <c r="AA420" s="456"/>
      <c r="AB420" s="456"/>
      <c r="AC420" s="457"/>
      <c r="AD420" s="465"/>
      <c r="AE420" s="464"/>
      <c r="AF420" s="457">
        <f>SUMIFS(BV_Data_An_Cour!$P:$P,BV_Data_An_Cour!$V:$V,$V420)</f>
        <v>187237.77999999997</v>
      </c>
      <c r="AG420" s="458"/>
      <c r="AH420" s="459">
        <f t="shared" si="114"/>
        <v>15211.380000000005</v>
      </c>
      <c r="AI420" s="460">
        <f t="shared" ref="AI420:AI432" si="115">IF(Z420=0,0,AH420/Z420)</f>
        <v>8.8424683653206756E-2</v>
      </c>
      <c r="AJ420" s="465"/>
      <c r="AK420" s="456"/>
      <c r="AL420" s="457" cm="1">
        <f t="array" ref="AL420">+SUMPRODUCT(('Réel 2023'!$A$8:$A$501=$A420)*('Réel 2023'!$C$3:$AO$3=Z$2),'Réel 2023'!$C$8:$AO$501)</f>
        <v>189463.65999999977</v>
      </c>
      <c r="AM420" s="461"/>
      <c r="AN420" s="459">
        <f t="shared" si="110"/>
        <v>-2225.8799999998009</v>
      </c>
      <c r="AO420" s="466">
        <f t="shared" si="111"/>
        <v>-1.1748321551477489E-2</v>
      </c>
      <c r="AP420" s="94"/>
      <c r="AQ420" s="622">
        <v>196581.69999999998</v>
      </c>
      <c r="AR420" s="512">
        <f t="shared" si="112"/>
        <v>-9343.9200000000128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675636</v>
      </c>
      <c r="AA421" s="456"/>
      <c r="AB421" s="456"/>
      <c r="AC421" s="457"/>
      <c r="AD421" s="465"/>
      <c r="AE421" s="464"/>
      <c r="AF421" s="457">
        <f t="shared" ref="AF421:AF432" si="117">+SUMIF($C:$C,$V421,L:L)</f>
        <v>611283.19999999995</v>
      </c>
      <c r="AG421" s="458"/>
      <c r="AH421" s="459">
        <f t="shared" si="114"/>
        <v>-64352.800000000047</v>
      </c>
      <c r="AI421" s="460">
        <f t="shared" si="115"/>
        <v>-9.5247736947113609E-2</v>
      </c>
      <c r="AJ421" s="465"/>
      <c r="AK421" s="456"/>
      <c r="AL421" s="457">
        <f t="shared" ref="AL421:AL432" si="118">+SUMIF($C:$C,$V421,Q:Q)</f>
        <v>501484.98999999993</v>
      </c>
      <c r="AM421" s="461"/>
      <c r="AN421" s="459">
        <f t="shared" si="110"/>
        <v>109798.21000000002</v>
      </c>
      <c r="AO421" s="466">
        <f t="shared" si="111"/>
        <v>0.21894615430065023</v>
      </c>
      <c r="AP421" s="94"/>
      <c r="AQ421" s="622">
        <v>480874.87</v>
      </c>
      <c r="AR421" s="512">
        <f t="shared" si="112"/>
        <v>130408.32999999996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715492.96</v>
      </c>
      <c r="AA422" s="440"/>
      <c r="AB422" s="440"/>
      <c r="AC422" s="441"/>
      <c r="AD422" s="469"/>
      <c r="AE422" s="468"/>
      <c r="AF422" s="441">
        <f t="shared" si="117"/>
        <v>569519.34000000008</v>
      </c>
      <c r="AG422" s="442"/>
      <c r="AH422" s="443">
        <f t="shared" si="114"/>
        <v>-145973.61999999988</v>
      </c>
      <c r="AI422" s="470">
        <f t="shared" si="115"/>
        <v>-0.20401824778261954</v>
      </c>
      <c r="AJ422" s="469"/>
      <c r="AK422" s="440"/>
      <c r="AL422" s="441">
        <f t="shared" si="118"/>
        <v>589217.09000000008</v>
      </c>
      <c r="AM422" s="445"/>
      <c r="AN422" s="443">
        <f t="shared" si="110"/>
        <v>-19697.75</v>
      </c>
      <c r="AO422" s="446">
        <f t="shared" si="111"/>
        <v>-3.3430377927429089E-2</v>
      </c>
      <c r="AP422" s="94"/>
      <c r="AQ422" s="623">
        <v>263830.23</v>
      </c>
      <c r="AR422" s="620">
        <f t="shared" si="112"/>
        <v>305689.1100000001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336231.20000000007</v>
      </c>
      <c r="AA423" s="456"/>
      <c r="AB423" s="456"/>
      <c r="AC423" s="457"/>
      <c r="AD423" s="465"/>
      <c r="AE423" s="464"/>
      <c r="AF423" s="457">
        <f t="shared" si="117"/>
        <v>339631.83999999997</v>
      </c>
      <c r="AG423" s="458"/>
      <c r="AH423" s="459">
        <f t="shared" si="114"/>
        <v>3400.6399999998976</v>
      </c>
      <c r="AI423" s="460">
        <f t="shared" si="115"/>
        <v>1.0113992990537156E-2</v>
      </c>
      <c r="AJ423" s="465"/>
      <c r="AK423" s="456"/>
      <c r="AL423" s="457">
        <f t="shared" si="118"/>
        <v>421862.53</v>
      </c>
      <c r="AM423" s="461"/>
      <c r="AN423" s="459">
        <f t="shared" si="110"/>
        <v>-82230.690000000061</v>
      </c>
      <c r="AO423" s="466">
        <f t="shared" si="111"/>
        <v>-0.19492295274481963</v>
      </c>
      <c r="AP423" s="94"/>
      <c r="AQ423" s="622">
        <v>653651.56000000006</v>
      </c>
      <c r="AR423" s="512">
        <f t="shared" si="112"/>
        <v>-314019.72000000009</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365799.26791981579</v>
      </c>
      <c r="AA424" s="456"/>
      <c r="AB424" s="456"/>
      <c r="AC424" s="457"/>
      <c r="AD424" s="465"/>
      <c r="AE424" s="464"/>
      <c r="AF424" s="457">
        <f t="shared" si="117"/>
        <v>347460.79</v>
      </c>
      <c r="AG424" s="458"/>
      <c r="AH424" s="459">
        <f t="shared" si="114"/>
        <v>-18338.477919815807</v>
      </c>
      <c r="AI424" s="460">
        <f t="shared" si="115"/>
        <v>-5.0132626082334458E-2</v>
      </c>
      <c r="AJ424" s="465"/>
      <c r="AK424" s="456"/>
      <c r="AL424" s="457">
        <f t="shared" si="118"/>
        <v>390462.77999999997</v>
      </c>
      <c r="AM424" s="461"/>
      <c r="AN424" s="459">
        <f t="shared" si="110"/>
        <v>-43001.989999999991</v>
      </c>
      <c r="AO424" s="466">
        <f t="shared" si="111"/>
        <v>-0.11013082988345264</v>
      </c>
      <c r="AP424" s="94"/>
      <c r="AQ424" s="622">
        <v>399727.32999999996</v>
      </c>
      <c r="AR424" s="512">
        <f t="shared" si="112"/>
        <v>-52266.539999999979</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507421.00753431482</v>
      </c>
      <c r="AA428" s="440"/>
      <c r="AB428" s="440"/>
      <c r="AC428" s="441"/>
      <c r="AD428" s="469"/>
      <c r="AE428" s="468"/>
      <c r="AF428" s="441">
        <f t="shared" si="117"/>
        <v>456964.5</v>
      </c>
      <c r="AG428" s="442"/>
      <c r="AH428" s="443">
        <f t="shared" si="114"/>
        <v>-50456.50753431482</v>
      </c>
      <c r="AI428" s="470">
        <f t="shared" si="115"/>
        <v>-9.943716713562091E-2</v>
      </c>
      <c r="AJ428" s="469"/>
      <c r="AK428" s="440"/>
      <c r="AL428" s="441">
        <f t="shared" si="118"/>
        <v>419826.25999999995</v>
      </c>
      <c r="AM428" s="445"/>
      <c r="AN428" s="443">
        <f t="shared" si="110"/>
        <v>37138.240000000049</v>
      </c>
      <c r="AO428" s="446">
        <f t="shared" si="111"/>
        <v>8.8460974308753465E-2</v>
      </c>
      <c r="AP428" s="94"/>
      <c r="AQ428" s="623">
        <v>484984.30000000005</v>
      </c>
      <c r="AR428" s="620">
        <f t="shared" si="112"/>
        <v>-28019.800000000047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616952.41444700817</v>
      </c>
      <c r="AA429" s="456"/>
      <c r="AB429" s="456"/>
      <c r="AC429" s="457"/>
      <c r="AD429" s="465"/>
      <c r="AE429" s="464"/>
      <c r="AF429" s="457">
        <f t="shared" si="117"/>
        <v>617777.30999999994</v>
      </c>
      <c r="AG429" s="458"/>
      <c r="AH429" s="459">
        <f t="shared" si="114"/>
        <v>824.895552991773</v>
      </c>
      <c r="AI429" s="460">
        <f t="shared" si="115"/>
        <v>1.3370489095680907E-3</v>
      </c>
      <c r="AJ429" s="465"/>
      <c r="AK429" s="456"/>
      <c r="AL429" s="457">
        <f t="shared" si="118"/>
        <v>581531.29</v>
      </c>
      <c r="AM429" s="461"/>
      <c r="AN429" s="459">
        <f t="shared" si="110"/>
        <v>36246.019999999902</v>
      </c>
      <c r="AO429" s="466">
        <f t="shared" si="111"/>
        <v>6.2328580806030057E-2</v>
      </c>
      <c r="AP429" s="94"/>
      <c r="AQ429" s="622">
        <v>452089.25</v>
      </c>
      <c r="AR429" s="512">
        <f t="shared" si="112"/>
        <v>165688.05999999994</v>
      </c>
      <c r="AS429" s="5" t="s">
        <v>697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317864.61353030649</v>
      </c>
      <c r="AA430" s="456"/>
      <c r="AB430" s="456"/>
      <c r="AC430" s="457"/>
      <c r="AD430" s="465"/>
      <c r="AE430" s="464"/>
      <c r="AF430" s="457">
        <f t="shared" si="117"/>
        <v>240100.37</v>
      </c>
      <c r="AG430" s="458"/>
      <c r="AH430" s="459">
        <f t="shared" si="114"/>
        <v>-77764.243530306499</v>
      </c>
      <c r="AI430" s="460">
        <f t="shared" si="115"/>
        <v>-0.24464580271025402</v>
      </c>
      <c r="AJ430" s="465"/>
      <c r="AK430" s="456"/>
      <c r="AL430" s="457">
        <f t="shared" si="118"/>
        <v>250156.77999999997</v>
      </c>
      <c r="AM430" s="461"/>
      <c r="AN430" s="459">
        <f t="shared" si="110"/>
        <v>-10056.409999999974</v>
      </c>
      <c r="AO430" s="466">
        <f t="shared" si="111"/>
        <v>-4.0200429506647692E-2</v>
      </c>
      <c r="AP430" s="94"/>
      <c r="AQ430" s="622">
        <v>250596.99999999997</v>
      </c>
      <c r="AR430" s="512">
        <f t="shared" si="112"/>
        <v>-10496.629999999976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138590.75976708156</v>
      </c>
      <c r="AA431" s="456"/>
      <c r="AB431" s="456"/>
      <c r="AC431" s="457"/>
      <c r="AD431" s="465"/>
      <c r="AE431" s="464"/>
      <c r="AF431" s="457">
        <f t="shared" si="117"/>
        <v>107161.16</v>
      </c>
      <c r="AG431" s="458"/>
      <c r="AH431" s="459">
        <f t="shared" si="114"/>
        <v>-31429.599767081556</v>
      </c>
      <c r="AI431" s="479">
        <f t="shared" si="115"/>
        <v>-0.22677990812592974</v>
      </c>
      <c r="AJ431" s="465"/>
      <c r="AK431" s="456"/>
      <c r="AL431" s="457">
        <f t="shared" si="118"/>
        <v>105398.91999999998</v>
      </c>
      <c r="AM431" s="461"/>
      <c r="AN431" s="459">
        <f t="shared" si="110"/>
        <v>1762.2400000000198</v>
      </c>
      <c r="AO431" s="466">
        <f t="shared" si="111"/>
        <v>1.6719715913597787E-2</v>
      </c>
      <c r="AP431" s="94"/>
      <c r="AQ431" s="622">
        <v>185602.45</v>
      </c>
      <c r="AR431" s="512">
        <f t="shared" si="112"/>
        <v>-78441.290000000008</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0.42289995609127123</v>
      </c>
      <c r="Y433" s="472"/>
      <c r="Z433" s="474">
        <f>SUM(Z420:Z432)</f>
        <v>3846014.6231985269</v>
      </c>
      <c r="AA433" s="473"/>
      <c r="AB433" s="472"/>
      <c r="AC433" s="474"/>
      <c r="AD433" s="475">
        <f>AF433/AF407</f>
        <v>0.48095769339108951</v>
      </c>
      <c r="AE433" s="480"/>
      <c r="AF433" s="474">
        <f>SUM(AF420:AF432)</f>
        <v>3477136.2900000005</v>
      </c>
      <c r="AG433" s="481"/>
      <c r="AH433" s="477">
        <f t="shared" si="114"/>
        <v>-368878.33319852641</v>
      </c>
      <c r="AI433" s="473">
        <f>AH433/Z433</f>
        <v>-9.5911838445312467E-2</v>
      </c>
      <c r="AJ433" s="475">
        <f>IF($AL$407=0,0,AL433/$AL$407)</f>
        <v>0.4655380936415095</v>
      </c>
      <c r="AK433" s="472"/>
      <c r="AL433" s="474">
        <f>SUM(AL420:AL432)</f>
        <v>3449404.2999999993</v>
      </c>
      <c r="AM433" s="482"/>
      <c r="AN433" s="477">
        <f t="shared" ref="AN433:AN451" si="119">AF433-AL433</f>
        <v>27731.990000001155</v>
      </c>
      <c r="AO433" s="454">
        <f t="shared" ref="AO433:AO461" si="120">IF(AL433=0,0,AN433/AL433)</f>
        <v>8.0396461499167154E-3</v>
      </c>
      <c r="AP433" s="94"/>
      <c r="AQ433" s="624">
        <v>3367938.6900000004</v>
      </c>
      <c r="AR433" s="625">
        <f t="shared" si="112"/>
        <v>109197.60000000009</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178062.72547083328</v>
      </c>
      <c r="AA434" s="484"/>
      <c r="AB434" s="484"/>
      <c r="AC434" s="485"/>
      <c r="AD434" s="486"/>
      <c r="AE434" s="487"/>
      <c r="AF434" s="485">
        <f t="shared" ref="AF434:AF447" si="122">+SUMIF($C:$C,$V434,L:L)</f>
        <v>184727.44000000003</v>
      </c>
      <c r="AG434" s="486"/>
      <c r="AH434" s="488">
        <f t="shared" si="114"/>
        <v>6664.7145291667548</v>
      </c>
      <c r="AI434" s="489">
        <f t="shared" ref="AI434:AI451" si="123">IF(Z434=0,0,AH434/Z434)</f>
        <v>3.7429026830539204E-2</v>
      </c>
      <c r="AJ434" s="486"/>
      <c r="AK434" s="484"/>
      <c r="AL434" s="485">
        <f t="shared" ref="AL434:AL447" si="124">+SUMIF($C:$C,$V434,Q:Q)</f>
        <v>178723.49</v>
      </c>
      <c r="AM434" s="490"/>
      <c r="AN434" s="488">
        <f t="shared" si="119"/>
        <v>6003.9500000000407</v>
      </c>
      <c r="AO434" s="462">
        <f t="shared" si="120"/>
        <v>3.3593513645016899E-2</v>
      </c>
      <c r="AP434" s="94"/>
      <c r="AQ434" s="628">
        <v>176878.05000000002</v>
      </c>
      <c r="AR434" s="506">
        <f t="shared" si="112"/>
        <v>7849.390000000014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71268.787510789756</v>
      </c>
      <c r="AA435" s="456"/>
      <c r="AB435" s="456"/>
      <c r="AC435" s="457"/>
      <c r="AD435" s="465"/>
      <c r="AE435" s="464"/>
      <c r="AF435" s="457">
        <f t="shared" si="122"/>
        <v>74078.12000000001</v>
      </c>
      <c r="AG435" s="458"/>
      <c r="AH435" s="459">
        <f t="shared" si="114"/>
        <v>2809.3324892102537</v>
      </c>
      <c r="AI435" s="460">
        <f t="shared" si="123"/>
        <v>3.9418833788703561E-2</v>
      </c>
      <c r="AJ435" s="465"/>
      <c r="AK435" s="456"/>
      <c r="AL435" s="457">
        <f t="shared" si="124"/>
        <v>87538.00999999998</v>
      </c>
      <c r="AM435" s="461"/>
      <c r="AN435" s="459">
        <f t="shared" si="119"/>
        <v>-13459.88999999997</v>
      </c>
      <c r="AO435" s="466">
        <f t="shared" si="120"/>
        <v>-0.15376052071551516</v>
      </c>
      <c r="AP435" s="94"/>
      <c r="AQ435" s="622">
        <v>67659.239999999991</v>
      </c>
      <c r="AR435" s="512">
        <f t="shared" si="112"/>
        <v>6418.8800000000192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312900</v>
      </c>
      <c r="AA436" s="440"/>
      <c r="AB436" s="440"/>
      <c r="AC436" s="441"/>
      <c r="AD436" s="469"/>
      <c r="AE436" s="468"/>
      <c r="AF436" s="441">
        <f t="shared" si="122"/>
        <v>278853.13</v>
      </c>
      <c r="AG436" s="442"/>
      <c r="AH436" s="443">
        <f t="shared" si="114"/>
        <v>-34046.869999999995</v>
      </c>
      <c r="AI436" s="470">
        <f t="shared" si="123"/>
        <v>-0.10881070629594118</v>
      </c>
      <c r="AJ436" s="469"/>
      <c r="AK436" s="440"/>
      <c r="AL436" s="441">
        <f t="shared" si="124"/>
        <v>268729.73</v>
      </c>
      <c r="AM436" s="445"/>
      <c r="AN436" s="443">
        <f t="shared" si="119"/>
        <v>10123.400000000023</v>
      </c>
      <c r="AO436" s="446">
        <f t="shared" si="120"/>
        <v>3.7671306408859281E-2</v>
      </c>
      <c r="AP436" s="94"/>
      <c r="AQ436" s="623">
        <v>276796.59999999998</v>
      </c>
      <c r="AR436" s="620">
        <f t="shared" si="112"/>
        <v>2056.5300000000279</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267248.26213333337</v>
      </c>
      <c r="AA437" s="456"/>
      <c r="AB437" s="456"/>
      <c r="AC437" s="457"/>
      <c r="AD437" s="465"/>
      <c r="AE437" s="464"/>
      <c r="AF437" s="457">
        <f t="shared" si="122"/>
        <v>268902.55</v>
      </c>
      <c r="AG437" s="458"/>
      <c r="AH437" s="459">
        <f t="shared" si="114"/>
        <v>1654.287866666622</v>
      </c>
      <c r="AI437" s="460">
        <f t="shared" si="123"/>
        <v>6.1900790428387441E-3</v>
      </c>
      <c r="AJ437" s="465"/>
      <c r="AK437" s="456"/>
      <c r="AL437" s="457">
        <f t="shared" si="124"/>
        <v>255651.74</v>
      </c>
      <c r="AM437" s="461"/>
      <c r="AN437" s="459">
        <f t="shared" si="119"/>
        <v>13250.809999999998</v>
      </c>
      <c r="AO437" s="466">
        <f t="shared" si="120"/>
        <v>5.1831487632354852E-2</v>
      </c>
      <c r="AP437" s="94"/>
      <c r="AQ437" s="622">
        <v>239193.79</v>
      </c>
      <c r="AR437" s="512">
        <f t="shared" si="112"/>
        <v>29708.75999999998</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43077.230558333322</v>
      </c>
      <c r="AA438" s="456"/>
      <c r="AB438" s="456"/>
      <c r="AC438" s="457"/>
      <c r="AD438" s="465"/>
      <c r="AE438" s="464"/>
      <c r="AF438" s="457">
        <f t="shared" si="122"/>
        <v>54107.670000000006</v>
      </c>
      <c r="AG438" s="458"/>
      <c r="AH438" s="459">
        <f t="shared" si="114"/>
        <v>11030.439441666684</v>
      </c>
      <c r="AI438" s="460">
        <f t="shared" si="123"/>
        <v>0.25606194499272045</v>
      </c>
      <c r="AJ438" s="465"/>
      <c r="AK438" s="456"/>
      <c r="AL438" s="457">
        <f t="shared" si="124"/>
        <v>59895.05</v>
      </c>
      <c r="AM438" s="461"/>
      <c r="AN438" s="459">
        <f t="shared" si="119"/>
        <v>-5787.3799999999974</v>
      </c>
      <c r="AO438" s="466">
        <f t="shared" si="120"/>
        <v>-9.6625347169757722E-2</v>
      </c>
      <c r="AP438" s="94"/>
      <c r="AQ438" s="622">
        <v>42486.400000000001</v>
      </c>
      <c r="AR438" s="512">
        <f t="shared" si="112"/>
        <v>11621.270000000004</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335233.92781847226</v>
      </c>
      <c r="AA439" s="456"/>
      <c r="AB439" s="456"/>
      <c r="AC439" s="457"/>
      <c r="AD439" s="465"/>
      <c r="AE439" s="464"/>
      <c r="AF439" s="457">
        <f t="shared" si="122"/>
        <v>409895.26999999996</v>
      </c>
      <c r="AG439" s="458"/>
      <c r="AH439" s="459">
        <f t="shared" si="114"/>
        <v>74661.342181527696</v>
      </c>
      <c r="AI439" s="460">
        <f t="shared" si="123"/>
        <v>0.22271415863956495</v>
      </c>
      <c r="AJ439" s="465"/>
      <c r="AK439" s="456"/>
      <c r="AL439" s="457">
        <f t="shared" si="124"/>
        <v>359526.27</v>
      </c>
      <c r="AM439" s="461"/>
      <c r="AN439" s="459">
        <f t="shared" si="119"/>
        <v>50368.999999999942</v>
      </c>
      <c r="AO439" s="466">
        <f t="shared" si="120"/>
        <v>0.14009824650643732</v>
      </c>
      <c r="AP439" s="94"/>
      <c r="AQ439" s="622">
        <v>240398.68</v>
      </c>
      <c r="AR439" s="512">
        <f t="shared" si="112"/>
        <v>169496.58999999997</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73000.000000000015</v>
      </c>
      <c r="AA441" s="456"/>
      <c r="AB441" s="464"/>
      <c r="AC441" s="457"/>
      <c r="AD441" s="465"/>
      <c r="AE441" s="464"/>
      <c r="AF441" s="457">
        <f t="shared" si="122"/>
        <v>61597.4</v>
      </c>
      <c r="AG441" s="458"/>
      <c r="AH441" s="459">
        <f t="shared" si="114"/>
        <v>-11402.600000000013</v>
      </c>
      <c r="AI441" s="460">
        <f t="shared" si="123"/>
        <v>-0.15620000000000014</v>
      </c>
      <c r="AJ441" s="465"/>
      <c r="AK441" s="456"/>
      <c r="AL441" s="457">
        <f t="shared" si="124"/>
        <v>82813.75</v>
      </c>
      <c r="AM441" s="461"/>
      <c r="AN441" s="459">
        <f t="shared" si="119"/>
        <v>-21216.35</v>
      </c>
      <c r="AO441" s="466">
        <f t="shared" si="120"/>
        <v>-0.25619356688955636</v>
      </c>
      <c r="AP441" s="94"/>
      <c r="AQ441" s="622">
        <v>30518.469999999998</v>
      </c>
      <c r="AR441" s="512">
        <f t="shared" si="112"/>
        <v>31078.930000000004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18663.299651285317</v>
      </c>
      <c r="AA442" s="456"/>
      <c r="AB442" s="456"/>
      <c r="AC442" s="457"/>
      <c r="AD442" s="465"/>
      <c r="AE442" s="464"/>
      <c r="AF442" s="457">
        <f t="shared" si="122"/>
        <v>15645.36</v>
      </c>
      <c r="AG442" s="458"/>
      <c r="AH442" s="459">
        <f t="shared" si="114"/>
        <v>-3017.9396512853164</v>
      </c>
      <c r="AI442" s="479">
        <f t="shared" si="123"/>
        <v>-0.16170450604523595</v>
      </c>
      <c r="AJ442" s="465"/>
      <c r="AK442" s="456"/>
      <c r="AL442" s="457">
        <f t="shared" si="124"/>
        <v>15522.959999999997</v>
      </c>
      <c r="AM442" s="461"/>
      <c r="AN442" s="459">
        <f t="shared" si="119"/>
        <v>122.40000000000327</v>
      </c>
      <c r="AO442" s="466">
        <f t="shared" si="120"/>
        <v>7.8850940799952644E-3</v>
      </c>
      <c r="AP442" s="94"/>
      <c r="AQ442" s="622">
        <v>14808.84</v>
      </c>
      <c r="AR442" s="512">
        <f t="shared" si="112"/>
        <v>836.52000000000044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31049.358898800001</v>
      </c>
      <c r="AA443" s="456"/>
      <c r="AB443" s="456"/>
      <c r="AC443" s="457"/>
      <c r="AD443" s="465"/>
      <c r="AE443" s="464"/>
      <c r="AF443" s="457">
        <f t="shared" si="122"/>
        <v>35578.49</v>
      </c>
      <c r="AG443" s="458"/>
      <c r="AH443" s="459">
        <f t="shared" si="114"/>
        <v>4529.1311011999969</v>
      </c>
      <c r="AI443" s="460">
        <f t="shared" si="123"/>
        <v>0.14586874775617475</v>
      </c>
      <c r="AJ443" s="465"/>
      <c r="AK443" s="456"/>
      <c r="AL443" s="457">
        <f t="shared" si="124"/>
        <v>36129.24</v>
      </c>
      <c r="AM443" s="461"/>
      <c r="AN443" s="459">
        <f t="shared" si="119"/>
        <v>-550.75</v>
      </c>
      <c r="AO443" s="466">
        <f t="shared" si="120"/>
        <v>-1.5243885561943733E-2</v>
      </c>
      <c r="AP443" s="94"/>
      <c r="AQ443" s="622">
        <v>30323.510000000002</v>
      </c>
      <c r="AR443" s="512">
        <f t="shared" si="112"/>
        <v>5254.9799999999959</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9337.3891894833323</v>
      </c>
      <c r="AA444" s="456"/>
      <c r="AB444" s="456"/>
      <c r="AC444" s="457"/>
      <c r="AD444" s="465"/>
      <c r="AE444" s="464"/>
      <c r="AF444" s="457">
        <f t="shared" si="122"/>
        <v>8789.1999999999989</v>
      </c>
      <c r="AG444" s="458"/>
      <c r="AH444" s="459">
        <f t="shared" si="114"/>
        <v>-548.18918948333339</v>
      </c>
      <c r="AI444" s="479">
        <f t="shared" si="123"/>
        <v>-5.870904364795642E-2</v>
      </c>
      <c r="AJ444" s="465"/>
      <c r="AK444" s="456"/>
      <c r="AL444" s="457">
        <f t="shared" si="124"/>
        <v>8574.51</v>
      </c>
      <c r="AM444" s="461"/>
      <c r="AN444" s="459">
        <f t="shared" si="119"/>
        <v>214.68999999999869</v>
      </c>
      <c r="AO444" s="466">
        <f t="shared" si="120"/>
        <v>2.5038165446188608E-2</v>
      </c>
      <c r="AP444" s="94"/>
      <c r="AQ444" s="622">
        <v>8588.4900000000016</v>
      </c>
      <c r="AR444" s="512">
        <f t="shared" si="112"/>
        <v>200.70999999999731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5547.3145465166663</v>
      </c>
      <c r="AA445" s="456"/>
      <c r="AB445" s="456"/>
      <c r="AC445" s="457"/>
      <c r="AD445" s="465"/>
      <c r="AE445" s="464"/>
      <c r="AF445" s="457">
        <f t="shared" si="122"/>
        <v>557.96999999999957</v>
      </c>
      <c r="AG445" s="458"/>
      <c r="AH445" s="459">
        <f t="shared" si="114"/>
        <v>-4989.3445465166669</v>
      </c>
      <c r="AI445" s="460">
        <f t="shared" si="123"/>
        <v>-0.89941619583292487</v>
      </c>
      <c r="AJ445" s="465"/>
      <c r="AK445" s="456"/>
      <c r="AL445" s="457">
        <f t="shared" si="124"/>
        <v>3924.9500000000003</v>
      </c>
      <c r="AM445" s="461"/>
      <c r="AN445" s="459">
        <f t="shared" si="119"/>
        <v>-3366.9800000000005</v>
      </c>
      <c r="AO445" s="466">
        <f t="shared" si="120"/>
        <v>-0.85784022726404163</v>
      </c>
      <c r="AP445" s="94"/>
      <c r="AQ445" s="622">
        <v>3965.16</v>
      </c>
      <c r="AR445" s="512">
        <f t="shared" si="112"/>
        <v>-3407.1900000000005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13829.75112881667</v>
      </c>
      <c r="AA446" s="456"/>
      <c r="AB446" s="464"/>
      <c r="AC446" s="457"/>
      <c r="AD446" s="465"/>
      <c r="AE446" s="464"/>
      <c r="AF446" s="457">
        <f t="shared" si="122"/>
        <v>6768.1000000000013</v>
      </c>
      <c r="AG446" s="458"/>
      <c r="AH446" s="459">
        <f t="shared" si="114"/>
        <v>-7061.6511288166685</v>
      </c>
      <c r="AI446" s="479">
        <f t="shared" si="123"/>
        <v>-0.51061303005681002</v>
      </c>
      <c r="AJ446" s="465"/>
      <c r="AK446" s="456"/>
      <c r="AL446" s="457">
        <f t="shared" si="124"/>
        <v>9171.73</v>
      </c>
      <c r="AM446" s="461"/>
      <c r="AN446" s="459">
        <f t="shared" si="119"/>
        <v>-2403.6299999999983</v>
      </c>
      <c r="AO446" s="466">
        <f t="shared" si="120"/>
        <v>-0.2620694241980519</v>
      </c>
      <c r="AP446" s="94"/>
      <c r="AQ446" s="622">
        <v>9676.7800000000007</v>
      </c>
      <c r="AR446" s="512">
        <f t="shared" si="112"/>
        <v>-2908.6799999999994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91732.542125321168</v>
      </c>
      <c r="AA447" s="456"/>
      <c r="AB447" s="464"/>
      <c r="AC447" s="457"/>
      <c r="AD447" s="465"/>
      <c r="AE447" s="464"/>
      <c r="AF447" s="457">
        <f t="shared" si="122"/>
        <v>51205.87999999999</v>
      </c>
      <c r="AG447" s="458"/>
      <c r="AH447" s="1015">
        <f t="shared" si="114"/>
        <v>-40526.662125321178</v>
      </c>
      <c r="AI447" s="460">
        <f t="shared" si="123"/>
        <v>-0.44179155168244816</v>
      </c>
      <c r="AJ447" s="465"/>
      <c r="AK447" s="456"/>
      <c r="AL447" s="457">
        <f t="shared" si="124"/>
        <v>102741.10999999999</v>
      </c>
      <c r="AM447" s="461"/>
      <c r="AN447" s="459">
        <f t="shared" si="119"/>
        <v>-51535.229999999996</v>
      </c>
      <c r="AO447" s="466">
        <f t="shared" si="120"/>
        <v>-0.50160281507567905</v>
      </c>
      <c r="AP447" s="94"/>
      <c r="AQ447" s="622">
        <v>39202.850000000006</v>
      </c>
      <c r="AR447" s="512">
        <f t="shared" si="112"/>
        <v>12003.029999999984</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93363.315428984759</v>
      </c>
      <c r="AA448" s="456"/>
      <c r="AB448" s="464"/>
      <c r="AC448" s="457"/>
      <c r="AD448" s="465"/>
      <c r="AE448" s="464"/>
      <c r="AF448" s="441">
        <f>SUMIFS(BV_Data_An_Cour!$P:$P,BV_Data_An_Cour!$V:$V,$V448)</f>
        <v>105490.89000000001</v>
      </c>
      <c r="AG448" s="458"/>
      <c r="AH448" s="962">
        <f t="shared" si="114"/>
        <v>12127.574571015255</v>
      </c>
      <c r="AI448" s="460">
        <f t="shared" si="123"/>
        <v>0.12989657142413596</v>
      </c>
      <c r="AJ448" s="465"/>
      <c r="AK448" s="456"/>
      <c r="AL448" s="457" cm="1">
        <f t="array" ref="AL448">+SUMPRODUCT(('Réel 2023'!$A$8:$A$501=$A448)*('Réel 2023'!$C$3:$AO$3=Z$2),'Réel 2023'!$C$8:$AO$501)</f>
        <v>93995.029999999897</v>
      </c>
      <c r="AM448" s="461"/>
      <c r="AN448" s="459">
        <f t="shared" si="119"/>
        <v>11495.860000000117</v>
      </c>
      <c r="AO448" s="466">
        <f t="shared" si="120"/>
        <v>0.12230284941661415</v>
      </c>
      <c r="AP448" s="94"/>
      <c r="AQ448" s="623">
        <v>99368.799999999988</v>
      </c>
      <c r="AR448" s="620">
        <f t="shared" si="112"/>
        <v>6122.0900000000256</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0.16980962018406037</v>
      </c>
      <c r="Y452" s="472"/>
      <c r="Z452" s="474">
        <f>+SUM(Z434:Z451)</f>
        <v>1544313.9044609703</v>
      </c>
      <c r="AA452" s="473"/>
      <c r="AB452" s="472"/>
      <c r="AC452" s="474"/>
      <c r="AD452" s="475">
        <f>AF452/AF407</f>
        <v>0.21525332434761968</v>
      </c>
      <c r="AE452" s="472"/>
      <c r="AF452" s="474">
        <f>+SUM(AF434:AF451)</f>
        <v>1556197.4699999997</v>
      </c>
      <c r="AG452" s="481"/>
      <c r="AH452" s="1012">
        <f>+SUM(AH434:AH451)</f>
        <v>11883.565539030096</v>
      </c>
      <c r="AI452" s="473">
        <f>AH452/Z452</f>
        <v>7.6950453561952185E-3</v>
      </c>
      <c r="AJ452" s="475">
        <f>IF($AL$407=0,0,AL452/$AL$407)</f>
        <v>0.21093699477863276</v>
      </c>
      <c r="AK452" s="473"/>
      <c r="AL452" s="474">
        <f>+SUM(AL434:AL451)</f>
        <v>1562937.5699999998</v>
      </c>
      <c r="AM452" s="482"/>
      <c r="AN452" s="477">
        <f>+SUM(AN434:AN451)</f>
        <v>-6740.0999999998457</v>
      </c>
      <c r="AO452" s="495">
        <f t="shared" si="120"/>
        <v>-4.3124563190325297E-3</v>
      </c>
      <c r="AP452" s="94"/>
      <c r="AQ452" s="624">
        <v>1279865.6600000001</v>
      </c>
      <c r="AR452" s="625">
        <f t="shared" si="112"/>
        <v>276331.80999999959</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432000</v>
      </c>
      <c r="AA453" s="456"/>
      <c r="AB453" s="464"/>
      <c r="AC453" s="457"/>
      <c r="AD453" s="465"/>
      <c r="AE453" s="464"/>
      <c r="AF453" s="457">
        <f>SUMIFS(BV_Data_An_Cour!$P:$P,BV_Data_An_Cour!$V:$V,$V453)</f>
        <v>432000</v>
      </c>
      <c r="AG453" s="458"/>
      <c r="AH453" s="459">
        <f t="shared" ref="AH453:AH461" si="126">AF453-Z453</f>
        <v>0</v>
      </c>
      <c r="AI453" s="460">
        <f t="shared" ref="AI453:AI461" si="127">IF(Z453=0,0,AH453/Z453)</f>
        <v>0</v>
      </c>
      <c r="AJ453" s="465"/>
      <c r="AK453" s="456"/>
      <c r="AL453" s="457" cm="1">
        <f t="array" ref="AL453">+SUMPRODUCT(('Réel 2023'!$A$8:$A$501=$A453)*('Réel 2023'!$C$3:$AO$3=Z$2),'Réel 2023'!$C$8:$AO$501)</f>
        <v>312000</v>
      </c>
      <c r="AM453" s="461"/>
      <c r="AN453" s="459">
        <f t="shared" ref="AN453:AN461" si="128">AF453-AL453</f>
        <v>120000</v>
      </c>
      <c r="AO453" s="466">
        <f t="shared" si="120"/>
        <v>0.38461538461538464</v>
      </c>
      <c r="AP453" s="94"/>
      <c r="AQ453" s="622">
        <v>312000</v>
      </c>
      <c r="AR453" s="512">
        <f t="shared" si="112"/>
        <v>120000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62123.039999999986</v>
      </c>
      <c r="AA454" s="456"/>
      <c r="AB454" s="464"/>
      <c r="AC454" s="457"/>
      <c r="AD454" s="465"/>
      <c r="AE454" s="464"/>
      <c r="AF454" s="457">
        <f>SUMIFS(BV_Data_An_Cour!$P:$P,BV_Data_An_Cour!$V:$V,$V454)</f>
        <v>62124</v>
      </c>
      <c r="AG454" s="458"/>
      <c r="AH454" s="459">
        <f t="shared" si="126"/>
        <v>0.9600000000136788</v>
      </c>
      <c r="AI454" s="460">
        <f t="shared" si="127"/>
        <v>1.5453203835705384E-5</v>
      </c>
      <c r="AJ454" s="465"/>
      <c r="AK454" s="456"/>
      <c r="AL454" s="457" cm="1">
        <f t="array" ref="AL454">+SUMPRODUCT(('Réel 2023'!$A$8:$A$501=$A454)*('Réel 2023'!$C$3:$AO$3=Z$2),'Réel 2023'!$C$8:$AO$501)</f>
        <v>59826.75</v>
      </c>
      <c r="AM454" s="461"/>
      <c r="AN454" s="459">
        <f t="shared" si="128"/>
        <v>2297.25</v>
      </c>
      <c r="AO454" s="466">
        <f t="shared" si="120"/>
        <v>3.839837530870388E-2</v>
      </c>
      <c r="AP454" s="94"/>
      <c r="AQ454" s="622">
        <v>59160</v>
      </c>
      <c r="AR454" s="512">
        <f t="shared" si="112"/>
        <v>2964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41338.080000000016</v>
      </c>
      <c r="AA455" s="440"/>
      <c r="AB455" s="468"/>
      <c r="AC455" s="441"/>
      <c r="AD455" s="469"/>
      <c r="AE455" s="468"/>
      <c r="AF455" s="441">
        <f>SUMIFS(BV_Data_An_Cour!$P:$P,BV_Data_An_Cour!$V:$V,$V455)</f>
        <v>41937.979999999996</v>
      </c>
      <c r="AG455" s="442"/>
      <c r="AH455" s="443">
        <f t="shared" si="126"/>
        <v>599.89999999997963</v>
      </c>
      <c r="AI455" s="470">
        <f t="shared" si="127"/>
        <v>1.4512043133110667E-2</v>
      </c>
      <c r="AJ455" s="469"/>
      <c r="AK455" s="440"/>
      <c r="AL455" s="441" cm="1">
        <f t="array" ref="AL455">+SUMPRODUCT(('Réel 2023'!$A$8:$A$501=$A455)*('Réel 2023'!$C$3:$AO$3=Z$2),'Réel 2023'!$C$8:$AO$501)</f>
        <v>39984.999999999884</v>
      </c>
      <c r="AM455" s="445"/>
      <c r="AN455" s="443">
        <f t="shared" si="128"/>
        <v>1952.9800000001123</v>
      </c>
      <c r="AO455" s="446">
        <f t="shared" si="120"/>
        <v>4.884281605602396E-2</v>
      </c>
      <c r="AP455" s="94"/>
      <c r="AQ455" s="623">
        <v>39360</v>
      </c>
      <c r="AR455" s="620">
        <f t="shared" si="112"/>
        <v>2577.9799999999959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46717</v>
      </c>
      <c r="AA457" s="440"/>
      <c r="AB457" s="468"/>
      <c r="AC457" s="441"/>
      <c r="AD457" s="469"/>
      <c r="AE457" s="468"/>
      <c r="AF457" s="441">
        <f>SUMIF(BV_Data_An_Cour!$V:$V,Print_AAD!$V457,BV_Data_An_Cour!$P:$P)</f>
        <v>46716.959999999999</v>
      </c>
      <c r="AG457" s="442"/>
      <c r="AH457" s="443">
        <f t="shared" si="126"/>
        <v>-4.0000000000873115E-2</v>
      </c>
      <c r="AI457" s="470">
        <f t="shared" si="127"/>
        <v>-8.562193634195928E-7</v>
      </c>
      <c r="AJ457" s="469"/>
      <c r="AK457" s="440"/>
      <c r="AL457" s="441" cm="1">
        <f t="array" ref="AL457">+SUMPRODUCT(('Réel 2023'!$A$8:$A$501=$A457)*('Réel 2023'!$C$3:$AO$3=Z$2),'Réel 2023'!$C$8:$AO$501)</f>
        <v>51252</v>
      </c>
      <c r="AM457" s="445"/>
      <c r="AN457" s="443">
        <f t="shared" si="128"/>
        <v>-4535.0400000000009</v>
      </c>
      <c r="AO457" s="446">
        <f t="shared" si="120"/>
        <v>-8.8485132287520502E-2</v>
      </c>
      <c r="AP457" s="94"/>
      <c r="AQ457" s="623">
        <v>51252</v>
      </c>
      <c r="AR457" s="620">
        <f t="shared" si="112"/>
        <v>-4535.0400000000009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41415.000000000007</v>
      </c>
      <c r="AA458" s="496"/>
      <c r="AB458" s="497"/>
      <c r="AC458" s="457"/>
      <c r="AD458" s="465"/>
      <c r="AE458" s="464"/>
      <c r="AF458" s="457">
        <f>SUMIFS(BV_Data_An_Cour!$P:$P,BV_Data_An_Cour!$V:$V,$V458)</f>
        <v>48185.75</v>
      </c>
      <c r="AG458" s="458"/>
      <c r="AH458" s="459">
        <f t="shared" si="126"/>
        <v>6770.7499999999927</v>
      </c>
      <c r="AI458" s="460">
        <f t="shared" si="127"/>
        <v>0.16348545213087026</v>
      </c>
      <c r="AJ458" s="465"/>
      <c r="AK458" s="456"/>
      <c r="AL458" s="457" cm="1">
        <f t="array" ref="AL458">+SUMPRODUCT(('Réel 2023'!$A$8:$A$501=$A458)*('Réel 2023'!$C$3:$AO$3=Z$2),'Réel 2023'!$C$8:$AO$501)</f>
        <v>27353.499999999982</v>
      </c>
      <c r="AM458" s="461"/>
      <c r="AN458" s="459">
        <f t="shared" si="128"/>
        <v>20832.250000000018</v>
      </c>
      <c r="AO458" s="466">
        <f t="shared" si="120"/>
        <v>0.76159358034620916</v>
      </c>
      <c r="AP458" s="94"/>
      <c r="AQ458" s="622">
        <v>28763.690000000002</v>
      </c>
      <c r="AR458" s="512">
        <f t="shared" si="112"/>
        <v>19422.059999999998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81408.60000000002</v>
      </c>
      <c r="AA459" s="456"/>
      <c r="AB459" s="464"/>
      <c r="AC459" s="457"/>
      <c r="AD459" s="465"/>
      <c r="AE459" s="464"/>
      <c r="AF459" s="457">
        <f>SUMIFS(BV_Data_An_Cour!$P:$P,BV_Data_An_Cour!$V:$V,$V459)</f>
        <v>83256.22</v>
      </c>
      <c r="AG459" s="458"/>
      <c r="AH459" s="459">
        <f t="shared" si="126"/>
        <v>1847.6199999999808</v>
      </c>
      <c r="AI459" s="460">
        <f t="shared" si="127"/>
        <v>2.2695636578936137E-2</v>
      </c>
      <c r="AJ459" s="465"/>
      <c r="AK459" s="456"/>
      <c r="AL459" s="457" cm="1">
        <f t="array" ref="AL459">+SUMPRODUCT(('Réel 2023'!$A$8:$A$501=$A459)*('Réel 2023'!$C$3:$AO$3=Z$2),'Réel 2023'!$C$8:$AO$501)</f>
        <v>79580.73</v>
      </c>
      <c r="AM459" s="461"/>
      <c r="AN459" s="459">
        <f t="shared" si="128"/>
        <v>3675.4900000000052</v>
      </c>
      <c r="AO459" s="466">
        <f t="shared" si="120"/>
        <v>4.6185678367112307E-2</v>
      </c>
      <c r="AP459" s="94"/>
      <c r="AQ459" s="622">
        <v>73723.959999999992</v>
      </c>
      <c r="AR459" s="512">
        <f t="shared" si="112"/>
        <v>9532.2600000000093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23363.053879566665</v>
      </c>
      <c r="AA460" s="440"/>
      <c r="AB460" s="468"/>
      <c r="AC460" s="441"/>
      <c r="AD460" s="469"/>
      <c r="AE460" s="468"/>
      <c r="AF460" s="441">
        <f>SUMIFS(BV_Data_An_Cour!$P:$P,BV_Data_An_Cour!$V:$V,$V460)</f>
        <v>9055.1299999999992</v>
      </c>
      <c r="AG460" s="442"/>
      <c r="AH460" s="443">
        <f t="shared" si="126"/>
        <v>-14307.923879566666</v>
      </c>
      <c r="AI460" s="470">
        <f t="shared" si="127"/>
        <v>-0.61241667948556933</v>
      </c>
      <c r="AJ460" s="469"/>
      <c r="AK460" s="440"/>
      <c r="AL460" s="441" cm="1">
        <f t="array" ref="AL460">+SUMPRODUCT(('Réel 2023'!$A$8:$A$501=$A460)*('Réel 2023'!$C$3:$AO$3=Z$2),'Réel 2023'!$C$8:$AO$501)</f>
        <v>26007.289999999994</v>
      </c>
      <c r="AM460" s="445"/>
      <c r="AN460" s="443">
        <f t="shared" si="128"/>
        <v>-16952.159999999996</v>
      </c>
      <c r="AO460" s="446">
        <f t="shared" si="120"/>
        <v>-0.65182339259492239</v>
      </c>
      <c r="AP460" s="94"/>
      <c r="AQ460" s="623">
        <v>18683.22</v>
      </c>
      <c r="AR460" s="620">
        <f t="shared" si="112"/>
        <v>-9628.090000000002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12000</v>
      </c>
      <c r="AA461" s="456"/>
      <c r="AB461" s="464"/>
      <c r="AC461" s="457"/>
      <c r="AD461" s="465"/>
      <c r="AE461" s="464"/>
      <c r="AF461" s="457">
        <f>SUMIFS(BV_Data_An_Cour!$P:$P,BV_Data_An_Cour!$V:$V,$V461)</f>
        <v>10467.629999999999</v>
      </c>
      <c r="AG461" s="458"/>
      <c r="AH461" s="459">
        <f t="shared" si="126"/>
        <v>-1532.3700000000008</v>
      </c>
      <c r="AI461" s="498">
        <f t="shared" si="127"/>
        <v>-0.12769750000000007</v>
      </c>
      <c r="AJ461" s="456"/>
      <c r="AK461" s="456"/>
      <c r="AL461" s="457" cm="1">
        <f t="array" ref="AL461">+SUMPRODUCT(('Réel 2023'!$A$8:$A$501=$A461)*('Réel 2023'!$C$3:$AO$3=Z$2),'Réel 2023'!$C$8:$AO$501)</f>
        <v>6895.5300000000007</v>
      </c>
      <c r="AM461" s="461"/>
      <c r="AN461" s="459">
        <f t="shared" si="128"/>
        <v>3572.0999999999985</v>
      </c>
      <c r="AO461" s="466">
        <f t="shared" si="120"/>
        <v>0.51803124632914344</v>
      </c>
      <c r="AP461" s="94"/>
      <c r="AQ461" s="622">
        <v>0</v>
      </c>
      <c r="AR461" s="512">
        <f t="shared" si="112"/>
        <v>10467.629999999999</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8.1409006735602016E-2</v>
      </c>
      <c r="Y466" s="472"/>
      <c r="Z466" s="474">
        <f>SUM(Z453:Z465)</f>
        <v>740364.7738795667</v>
      </c>
      <c r="AA466" s="473"/>
      <c r="AB466" s="472"/>
      <c r="AC466" s="474"/>
      <c r="AD466" s="475">
        <f>AF466/AF407</f>
        <v>0.10149146700933966</v>
      </c>
      <c r="AE466" s="472"/>
      <c r="AF466" s="474">
        <f>SUM(AF453:AF465)</f>
        <v>733743.66999999993</v>
      </c>
      <c r="AG466" s="481"/>
      <c r="AH466" s="1012">
        <f>SUM(AH453:AH465)</f>
        <v>-6621.1038795667009</v>
      </c>
      <c r="AI466" s="473">
        <f>IF(Z466=0,0,AH466/Z466)</f>
        <v>-8.9430293190093605E-3</v>
      </c>
      <c r="AJ466" s="475">
        <f>IF($AL$407=0,0,AL466/$AL$407)</f>
        <v>8.1368626196395996E-2</v>
      </c>
      <c r="AK466" s="473"/>
      <c r="AL466" s="474">
        <f>SUM(AL453:AL465)</f>
        <v>602900.79999999993</v>
      </c>
      <c r="AM466" s="482"/>
      <c r="AN466" s="477">
        <f>SUM(AN453:AN465)</f>
        <v>130842.87000000017</v>
      </c>
      <c r="AO466" s="495">
        <f t="shared" ref="AO466:AO483" si="129">IF(AL466=0,0,AN466/AL466)</f>
        <v>0.21702221990748757</v>
      </c>
      <c r="AP466" s="94"/>
      <c r="AQ466" s="624">
        <v>582942.87</v>
      </c>
      <c r="AR466" s="625">
        <f t="shared" si="112"/>
        <v>150800.79999999993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0.90823623415939925</v>
      </c>
      <c r="Y468" s="472"/>
      <c r="Z468" s="474">
        <f>Z419+Z433+Z452+Z466</f>
        <v>8259849.1382721364</v>
      </c>
      <c r="AA468" s="473"/>
      <c r="AB468" s="472"/>
      <c r="AC468" s="474"/>
      <c r="AD468" s="475">
        <f>AF468/AF407</f>
        <v>1.0608148852898065</v>
      </c>
      <c r="AE468" s="472"/>
      <c r="AF468" s="474">
        <f>AF419+AF433+AF452+AF466</f>
        <v>7669277.3300000001</v>
      </c>
      <c r="AG468" s="481"/>
      <c r="AH468" s="477">
        <f t="shared" si="130"/>
        <v>-590571.80827213638</v>
      </c>
      <c r="AI468" s="473">
        <f>AH468/Z468</f>
        <v>-7.1499103480681378E-2</v>
      </c>
      <c r="AJ468" s="475">
        <f>IF($AL$407=0,0,AL468/$AL$407)</f>
        <v>0.97114921348345518</v>
      </c>
      <c r="AK468" s="473"/>
      <c r="AL468" s="474">
        <f>AL419+AL433+AL452+AL466</f>
        <v>7195729.669999999</v>
      </c>
      <c r="AM468" s="482"/>
      <c r="AN468" s="477">
        <f t="shared" si="131"/>
        <v>473547.66000000108</v>
      </c>
      <c r="AO468" s="454">
        <f t="shared" si="129"/>
        <v>6.5809540062946967E-2</v>
      </c>
      <c r="AP468" s="94"/>
      <c r="AQ468" s="624">
        <v>6902902.9400000004</v>
      </c>
      <c r="AR468" s="625">
        <f t="shared" ref="AR468:AR481" si="132">AF468-AQ468</f>
        <v>766374.38999999966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88391.43</v>
      </c>
      <c r="AA469" s="502"/>
      <c r="AB469" s="503"/>
      <c r="AC469" s="485"/>
      <c r="AD469" s="504"/>
      <c r="AE469" s="503"/>
      <c r="AF469" s="457">
        <f>-SUMIFS(BV_Data_An_Cour!$P:$P,BV_Data_An_Cour!$V:$V,$V469)</f>
        <v>183398.22</v>
      </c>
      <c r="AG469" s="505"/>
      <c r="AH469" s="459">
        <f t="shared" si="130"/>
        <v>95006.790000000008</v>
      </c>
      <c r="AI469" s="498">
        <f>IF(AH469=0,0,AH469/Z469)</f>
        <v>1.0748416447160094</v>
      </c>
      <c r="AJ469" s="504"/>
      <c r="AK469" s="502"/>
      <c r="AL469" s="506" cm="1">
        <f t="array" ref="AL469">+SUMPRODUCT(('Réel 2023'!$A$8:$A$501=$A469)*('Réel 2023'!$C$3:$AO$3=Z$2),'Réel 2023'!$C$8:$AO$501)</f>
        <v>507447.12000000005</v>
      </c>
      <c r="AM469" s="507"/>
      <c r="AN469" s="459">
        <f t="shared" si="131"/>
        <v>-324048.90000000002</v>
      </c>
      <c r="AO469" s="466">
        <f t="shared" si="129"/>
        <v>-0.63858653882989813</v>
      </c>
      <c r="AP469" s="94"/>
      <c r="AQ469" s="622">
        <v>275258.11</v>
      </c>
      <c r="AR469" s="512">
        <f t="shared" si="132"/>
        <v>-91859.889999999985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911504.31324615923</v>
      </c>
      <c r="AA470" s="496"/>
      <c r="AB470" s="497"/>
      <c r="AC470" s="457"/>
      <c r="AD470" s="511"/>
      <c r="AE470" s="497"/>
      <c r="AF470" s="457">
        <f t="shared" ref="AF470:AF480" si="134">+SUMIF($C:$C,$V470,L:L)</f>
        <v>953913.25</v>
      </c>
      <c r="AG470" s="510"/>
      <c r="AH470" s="459">
        <f t="shared" si="130"/>
        <v>42408.936753840768</v>
      </c>
      <c r="AI470" s="479">
        <f>IF(Z470=0,0,AH470/Z470)</f>
        <v>4.6526314947220537E-2</v>
      </c>
      <c r="AJ470" s="511"/>
      <c r="AK470" s="496"/>
      <c r="AL470" s="512">
        <f t="shared" ref="AL470:AL476" si="135">+SUMIF($C:$C,$V470,Q:Q)</f>
        <v>679516.07</v>
      </c>
      <c r="AM470" s="508"/>
      <c r="AN470" s="459">
        <f t="shared" si="131"/>
        <v>274397.18000000005</v>
      </c>
      <c r="AO470" s="466">
        <f t="shared" si="129"/>
        <v>0.40381264272381384</v>
      </c>
      <c r="AP470" s="94"/>
      <c r="AQ470" s="622">
        <v>693962.92</v>
      </c>
      <c r="AR470" s="512">
        <f t="shared" si="132"/>
        <v>259950.32999999996</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80000</v>
      </c>
      <c r="AA471" s="496"/>
      <c r="AB471" s="497"/>
      <c r="AC471" s="457"/>
      <c r="AD471" s="511"/>
      <c r="AE471" s="497"/>
      <c r="AF471" s="457">
        <f t="shared" si="134"/>
        <v>87295</v>
      </c>
      <c r="AG471" s="510"/>
      <c r="AH471" s="459">
        <f t="shared" si="130"/>
        <v>7295</v>
      </c>
      <c r="AI471" s="479">
        <f t="shared" ref="AI471:AI480" si="136">IF(AH471=0,0,AH471/Z471)</f>
        <v>9.1187500000000005E-2</v>
      </c>
      <c r="AJ471" s="511"/>
      <c r="AK471" s="496"/>
      <c r="AL471" s="512">
        <f t="shared" si="135"/>
        <v>31556</v>
      </c>
      <c r="AM471" s="508"/>
      <c r="AN471" s="459">
        <f t="shared" si="131"/>
        <v>55739</v>
      </c>
      <c r="AO471" s="466">
        <f t="shared" si="129"/>
        <v>1.7663518823678539</v>
      </c>
      <c r="AP471" s="94"/>
      <c r="AQ471" s="622">
        <v>43300</v>
      </c>
      <c r="AR471" s="512">
        <f t="shared" si="132"/>
        <v>43995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516691.98262499995</v>
      </c>
      <c r="AA480" s="496"/>
      <c r="AB480" s="497"/>
      <c r="AC480" s="457"/>
      <c r="AD480" s="511"/>
      <c r="AE480" s="497"/>
      <c r="AF480" s="457">
        <f t="shared" si="134"/>
        <v>459937.5</v>
      </c>
      <c r="AG480" s="510"/>
      <c r="AH480" s="459">
        <f t="shared" si="130"/>
        <v>-56754.482624999946</v>
      </c>
      <c r="AI480" s="479">
        <f t="shared" si="136"/>
        <v>-0.10984200361821891</v>
      </c>
      <c r="AJ480" s="511"/>
      <c r="AK480" s="496"/>
      <c r="AL480" s="512" cm="1">
        <f t="array" ref="AL480">+SUMPRODUCT(('Réel 2023'!$A$8:$A$501=$A480)*('Réel 2023'!$C$3:$AO$3=Z$2),'Réel 2023'!$C$8:$AO$501)</f>
        <v>399858.9</v>
      </c>
      <c r="AM480" s="508"/>
      <c r="AN480" s="459">
        <f t="shared" si="131"/>
        <v>60078.599999999977</v>
      </c>
      <c r="AO480" s="466">
        <f t="shared" si="129"/>
        <v>0.15024950051130528</v>
      </c>
      <c r="AP480" s="94"/>
      <c r="AQ480" s="622">
        <v>331468.49</v>
      </c>
      <c r="AR480" s="512">
        <f t="shared" si="132"/>
        <v>128469.01000000001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0.17555754340976745</v>
      </c>
      <c r="Y481" s="493"/>
      <c r="Z481" s="474">
        <f>SUM(Z469:Z480)</f>
        <v>1596587.7258711592</v>
      </c>
      <c r="AA481" s="473"/>
      <c r="AB481" s="493"/>
      <c r="AC481" s="474"/>
      <c r="AD481" s="473">
        <f>AF481/+AF407</f>
        <v>0.23300621967483148</v>
      </c>
      <c r="AE481" s="493"/>
      <c r="AF481" s="474">
        <f>SUM(AF469:AF480)</f>
        <v>1684543.97</v>
      </c>
      <c r="AG481" s="481"/>
      <c r="AH481" s="477">
        <f t="shared" si="130"/>
        <v>87956.244128840743</v>
      </c>
      <c r="AI481" s="473">
        <f>AH481/Z481</f>
        <v>5.5090141746422648E-2</v>
      </c>
      <c r="AJ481" s="514"/>
      <c r="AK481" s="515"/>
      <c r="AL481" s="474">
        <f>SUM(AL469:AL480)</f>
        <v>1618378.0899999999</v>
      </c>
      <c r="AM481" s="516"/>
      <c r="AN481" s="477">
        <f t="shared" si="131"/>
        <v>66165.880000000121</v>
      </c>
      <c r="AO481" s="495">
        <f t="shared" si="129"/>
        <v>4.0884068073363575E-2</v>
      </c>
      <c r="AP481" s="94"/>
      <c r="AQ481" s="624">
        <v>1343989.52</v>
      </c>
      <c r="AR481" s="625">
        <f t="shared" si="132"/>
        <v>340554.44999999995</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3.7839878939818807E-2</v>
      </c>
      <c r="Z483" s="534">
        <f>Z407-Z468+Z481</f>
        <v>2431122.6559872241</v>
      </c>
      <c r="AA483" s="532"/>
      <c r="AB483" s="533"/>
      <c r="AC483" s="534"/>
      <c r="AD483" s="532" t="s">
        <v>219</v>
      </c>
      <c r="AE483" s="533">
        <f>AF483/AF406</f>
        <v>1.9836588872409199E-2</v>
      </c>
      <c r="AF483" s="535">
        <f>AF407-AF468+AF481</f>
        <v>1244876.1000000008</v>
      </c>
      <c r="AG483" s="536"/>
      <c r="AH483" s="536">
        <f>AF483-Z483</f>
        <v>-1186246.5559872233</v>
      </c>
      <c r="AI483" s="537">
        <f>AH483/Z483</f>
        <v>-0.48794187864845318</v>
      </c>
      <c r="AJ483" s="538" t="s">
        <v>219</v>
      </c>
      <c r="AK483" s="533">
        <f>IF($AL$406=0,0,AL483/$AL$406)</f>
        <v>2.506660694539202E-2</v>
      </c>
      <c r="AL483" s="535">
        <f>AL407-AL468+AL481</f>
        <v>1832147.9799999921</v>
      </c>
      <c r="AM483" s="539"/>
      <c r="AN483" s="535">
        <f t="shared" si="131"/>
        <v>-587271.87999999127</v>
      </c>
      <c r="AO483" s="540">
        <f t="shared" si="129"/>
        <v>-0.32053736183471043</v>
      </c>
      <c r="AP483" s="94"/>
      <c r="AQ483" s="539">
        <v>2236846.7700000028</v>
      </c>
      <c r="AR483" s="543">
        <f>AF483-AQ483</f>
        <v>-991970.67000000202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Décembre 2024</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8" t="s">
        <v>3939</v>
      </c>
      <c r="W488" s="1189"/>
      <c r="X488" s="1190" t="s">
        <v>219</v>
      </c>
      <c r="Y488" s="1191">
        <f>Z488/Z406</f>
        <v>4.2443558861093057E-2</v>
      </c>
      <c r="Z488" s="1192">
        <f>Z489+Z415</f>
        <v>2726898.1941522229</v>
      </c>
      <c r="AA488" s="1190"/>
      <c r="AB488" s="1191"/>
      <c r="AC488" s="534"/>
      <c r="AD488" s="1190" t="s">
        <v>219</v>
      </c>
      <c r="AE488" s="1191">
        <f>AF488/AF406</f>
        <v>2.567020027573845E-2</v>
      </c>
      <c r="AF488" s="1192">
        <f>AF489+AF415</f>
        <v>1610973.4900000007</v>
      </c>
      <c r="AG488" s="536"/>
      <c r="AH488" s="536">
        <f t="shared" ref="AH488" si="137">AF488-Z488</f>
        <v>-1115924.7041522223</v>
      </c>
      <c r="AI488" s="537">
        <f>AH488/Z488</f>
        <v>-0.40922859039816734</v>
      </c>
      <c r="AJ488" s="1190" t="s">
        <v>219</v>
      </c>
      <c r="AK488" s="1191">
        <f>IF($AL$406=0,0,AL488/$AL$406)</f>
        <v>2.6470306330369474E-2</v>
      </c>
      <c r="AL488" s="1192">
        <f>AL489+AL415</f>
        <v>1934746.0299999921</v>
      </c>
      <c r="AM488" s="539"/>
      <c r="AN488" s="1192">
        <f t="shared" ref="AN488" si="138">AF488-AL488</f>
        <v>-323772.53999999142</v>
      </c>
      <c r="AO488" s="1193">
        <f t="shared" ref="AO488" si="139">IF(AL488=0,0,AN488/AL488)</f>
        <v>-0.16734627438413338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hidden="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3.7839878939818807E-2</v>
      </c>
      <c r="Z489" s="534">
        <f>Z483</f>
        <v>2431122.6559872241</v>
      </c>
      <c r="AA489" s="532"/>
      <c r="AB489" s="533"/>
      <c r="AC489" s="534"/>
      <c r="AD489" s="532" t="s">
        <v>219</v>
      </c>
      <c r="AE489" s="533">
        <f>AF489/AF406</f>
        <v>1.9836588872409199E-2</v>
      </c>
      <c r="AF489" s="534">
        <f>AF483</f>
        <v>1244876.1000000008</v>
      </c>
      <c r="AG489" s="535"/>
      <c r="AH489" s="536">
        <f>AF489-Z489</f>
        <v>-1186246.5559872233</v>
      </c>
      <c r="AI489" s="537">
        <f>AH489/Z489</f>
        <v>-0.48794187864845318</v>
      </c>
      <c r="AJ489" s="532" t="s">
        <v>219</v>
      </c>
      <c r="AK489" s="533">
        <f>IF($AL$406=0,0,AL489/$AL$406)</f>
        <v>2.506660694539202E-2</v>
      </c>
      <c r="AL489" s="543">
        <f>AL483</f>
        <v>1832147.9799999921</v>
      </c>
      <c r="AM489" s="544"/>
      <c r="AN489" s="545">
        <f>AF489-AL489</f>
        <v>-587271.87999999127</v>
      </c>
      <c r="AO489" s="546">
        <f>IF(AL489=0,0,AN489/AL489)</f>
        <v>-0.32053736183471043</v>
      </c>
      <c r="AP489" s="94"/>
      <c r="AQ489" s="637">
        <v>2236846.7700000028</v>
      </c>
      <c r="AR489" s="543">
        <f>AF489-AQ489</f>
        <v>-991970.67000000202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245779.99999999994</v>
      </c>
      <c r="AA491" s="456"/>
      <c r="AB491" s="464"/>
      <c r="AC491" s="457"/>
      <c r="AD491" s="456"/>
      <c r="AE491" s="464"/>
      <c r="AF491" s="457">
        <f>SUMIFS(BV_Data_An_Cour!$P:$P,BV_Data_An_Cour!$V:$V,$V491)</f>
        <v>256355.76</v>
      </c>
      <c r="AG491" s="456"/>
      <c r="AH491" s="459">
        <f t="shared" ref="AH491:AH498" si="140">AF491-Z491</f>
        <v>10575.760000000068</v>
      </c>
      <c r="AI491" s="479">
        <f t="shared" ref="AI491:AI497" si="141">IF(Z491=0,0,AH491/Z491)</f>
        <v>4.3029375864594641E-2</v>
      </c>
      <c r="AJ491" s="456"/>
      <c r="AK491" s="456"/>
      <c r="AL491" s="457" cm="1">
        <f t="array" ref="AL491">+SUMPRODUCT(('Réel 2023'!$A$8:$A$501=$A491)*('Réel 2023'!$C$3:$AO$3=Z$2),'Réel 2023'!$C$8:$AO$501)</f>
        <v>51774</v>
      </c>
      <c r="AM491" s="461"/>
      <c r="AN491" s="459">
        <f t="shared" ref="AN491:AN498" si="142">AF491-AL491</f>
        <v>204581.76000000001</v>
      </c>
      <c r="AO491" s="466">
        <f t="shared" ref="AO491:AO498" si="143">IF(AL491=0,0,AN491/AL491)</f>
        <v>3.951438173600649</v>
      </c>
      <c r="AP491" s="94"/>
      <c r="AQ491" s="622">
        <v>51774</v>
      </c>
      <c r="AR491" s="512">
        <f t="shared" ref="AR491:AR493" si="144">AF491-AQ491</f>
        <v>204581.76000000001</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2023'!$A$8:$A$501=$A492)*('Réel 2023'!$C$3:$AO$3=Z$2),'Réel 2023'!$C$8:$AO$501)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-1916.75</v>
      </c>
      <c r="AG493" s="38"/>
      <c r="AH493" s="459">
        <f t="shared" si="140"/>
        <v>-1916.75</v>
      </c>
      <c r="AI493" s="479">
        <f t="shared" si="141"/>
        <v>0</v>
      </c>
      <c r="AJ493" s="38"/>
      <c r="AK493" s="38"/>
      <c r="AL493" s="457" cm="1">
        <f t="array" ref="AL493">+SUMPRODUCT(('Réel 2023'!$A$8:$A$501=$A493)*('Réel 2023'!$C$3:$AO$3=Z$2),'Réel 2023'!$C$8:$AO$501)</f>
        <v>-2098.77</v>
      </c>
      <c r="AM493" s="551"/>
      <c r="AN493" s="459">
        <f t="shared" si="142"/>
        <v>182.01999999999998</v>
      </c>
      <c r="AO493" s="466">
        <f t="shared" si="143"/>
        <v>-8.6726987711850265E-2</v>
      </c>
      <c r="AP493" s="94"/>
      <c r="AQ493" s="622">
        <v>5121.4799999999996</v>
      </c>
      <c r="AR493" s="512">
        <f t="shared" si="144"/>
        <v>-7038.23</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2023'!$A$8:$A$501=$A494)*('Réel 2023'!$C$3:$AO$3=Z$2),'Réel 2023'!$C$8:$AO$501)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m="1">
        <f t="array" ref="AL495">+SUMPRODUCT(('Réel 2023'!$A$8:$A$501=$A495)*('Réel 2023'!$C$3:$AO$3=Z$2),'Réel 2023'!$C$8:$AO$501)</f>
        <v>0</v>
      </c>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cm="1">
        <f t="array" ref="Z496">+SUMPRODUCT(('Budget original'!$A$8:$A$501=$A496)*('Budget original'!$C$3:$AO$3=Z$2),'Budget original'!$C$8:$AO$501)</f>
        <v>-55999.999999999993</v>
      </c>
      <c r="AA496" s="38"/>
      <c r="AB496" s="38"/>
      <c r="AC496" s="457"/>
      <c r="AD496" s="38"/>
      <c r="AE496" s="41"/>
      <c r="AF496" s="457">
        <f>SUMIFS(BV_Data_An_Cour!$P:$P,BV_Data_An_Cour!$V:$V,$V496)</f>
        <v>-39335.24</v>
      </c>
      <c r="AG496" s="38"/>
      <c r="AH496" s="459">
        <f t="shared" si="140"/>
        <v>16664.759999999995</v>
      </c>
      <c r="AI496" s="479">
        <f t="shared" si="141"/>
        <v>-0.29758499999999993</v>
      </c>
      <c r="AJ496" s="38"/>
      <c r="AK496" s="38"/>
      <c r="AL496" s="457" cm="1">
        <f t="array" ref="AL496">+SUMPRODUCT(('Réel 2023'!$A$8:$A$501=$A496)*('Réel 2023'!$C$3:$AO$3=Z$2),'Réel 2023'!$C$8:$AO$501)</f>
        <v>0</v>
      </c>
      <c r="AM496" s="551"/>
      <c r="AN496" s="459">
        <f t="shared" si="142"/>
        <v>-39335.24</v>
      </c>
      <c r="AO496" s="466">
        <f t="shared" si="143"/>
        <v>0</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m="1">
        <f t="array" ref="AL497">+SUMPRODUCT(('Réel 2023'!$A$8:$A$501=$A497)*('Réel 2023'!$C$3:$AO$3=Z$2),'Réel 2023'!$C$8:$AO$501)</f>
        <v>0</v>
      </c>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3.4885995799651751E-2</v>
      </c>
      <c r="Z498" s="534">
        <f>Z489-Z491-Z492-Z493-Z497-Z496</f>
        <v>2241342.6559872241</v>
      </c>
      <c r="AA498" s="532"/>
      <c r="AB498" s="533"/>
      <c r="AC498" s="534"/>
      <c r="AD498" s="532" t="s">
        <v>219</v>
      </c>
      <c r="AE498" s="533">
        <f>AF498/AF406</f>
        <v>1.6408998728783448E-2</v>
      </c>
      <c r="AF498" s="535">
        <f>AF489-AF491-AF492-AF493-AF497-AF496</f>
        <v>1029772.3300000008</v>
      </c>
      <c r="AG498" s="536"/>
      <c r="AH498" s="536">
        <f t="shared" si="140"/>
        <v>-1211570.3259872233</v>
      </c>
      <c r="AI498" s="537">
        <f>AH498/Z498</f>
        <v>-0.54055560079169318</v>
      </c>
      <c r="AJ498" s="538" t="s">
        <v>219</v>
      </c>
      <c r="AK498" s="533">
        <f>IF($AL$406=0,0,AL498/$AL$406)</f>
        <v>2.4386973270096889E-2</v>
      </c>
      <c r="AL498" s="535">
        <f>AL489-AL491-AL492-AL493-AL497-AL496</f>
        <v>1782472.7499999921</v>
      </c>
      <c r="AM498" s="539"/>
      <c r="AN498" s="535">
        <f t="shared" si="142"/>
        <v>-752700.41999999131</v>
      </c>
      <c r="AO498" s="553">
        <f t="shared" si="143"/>
        <v>-0.42227878097995869</v>
      </c>
      <c r="AP498" s="94"/>
      <c r="AQ498" s="544">
        <v>2179951.2900000028</v>
      </c>
      <c r="AR498" s="639">
        <f>AF498-AQ498</f>
        <v>-1150178.9600000021</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2241342.6559872241</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5"/>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5"/>
      <c r="AG508" s="1076"/>
      <c r="AH508" s="1074"/>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2" t="s">
        <v>682</v>
      </c>
      <c r="C2" s="1253"/>
      <c r="D2" s="1254"/>
      <c r="E2" s="3"/>
      <c r="F2" s="1252" t="s">
        <v>683</v>
      </c>
      <c r="G2" s="1253"/>
      <c r="H2" s="1254"/>
      <c r="I2" s="3"/>
      <c r="J2" s="589" t="s">
        <v>655</v>
      </c>
      <c r="K2" s="3"/>
      <c r="L2" s="589" t="s">
        <v>684</v>
      </c>
      <c r="M2" s="3"/>
      <c r="N2" s="589" t="s">
        <v>685</v>
      </c>
      <c r="O2" s="3"/>
      <c r="P2" s="1252" t="s">
        <v>686</v>
      </c>
      <c r="Q2" s="1254"/>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72850.430000000008</v>
      </c>
      <c r="C4" s="590">
        <f t="shared" ref="C4:C9" si="0">D4/B4</f>
        <v>0.30179382606252292</v>
      </c>
      <c r="D4" s="565">
        <f>+Print_Mois!L295</f>
        <v>21985.810000000005</v>
      </c>
      <c r="E4" s="3"/>
      <c r="F4" s="565">
        <f>+Print_Mois!G295</f>
        <v>0</v>
      </c>
      <c r="G4" s="590" t="e">
        <f t="shared" ref="G4:G9" si="1">H4/F4</f>
        <v>#DIV/0!</v>
      </c>
      <c r="H4" s="565">
        <f>+Print_Mois!I295</f>
        <v>0</v>
      </c>
      <c r="I4" s="3"/>
      <c r="J4" s="566">
        <f t="shared" ref="J4:J11" si="2">+D4-H4</f>
        <v>21985.810000000005</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7516.38</v>
      </c>
      <c r="C5" s="590">
        <f t="shared" si="0"/>
        <v>0.2620862702524353</v>
      </c>
      <c r="D5" s="565">
        <f>+Print_Mois!L296</f>
        <v>1969.9399999999998</v>
      </c>
      <c r="E5" s="3"/>
      <c r="F5" s="565">
        <f>+Print_Mois!G296</f>
        <v>0</v>
      </c>
      <c r="G5" s="590" t="e">
        <f t="shared" si="1"/>
        <v>#DIV/0!</v>
      </c>
      <c r="H5" s="565">
        <f>+Print_Mois!I296</f>
        <v>0</v>
      </c>
      <c r="I5" s="3"/>
      <c r="J5" s="566">
        <f t="shared" si="2"/>
        <v>1969.9399999999998</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50223.29</v>
      </c>
      <c r="C6" s="590">
        <f t="shared" si="0"/>
        <v>0.2356876660210831</v>
      </c>
      <c r="D6" s="565">
        <f>+Print_Mois!L297</f>
        <v>11837.010000000002</v>
      </c>
      <c r="E6" s="3"/>
      <c r="F6" s="565">
        <f>+Print_Mois!G297</f>
        <v>0</v>
      </c>
      <c r="G6" s="590" t="e">
        <f t="shared" si="1"/>
        <v>#DIV/0!</v>
      </c>
      <c r="H6" s="565">
        <f>+Print_Mois!I297</f>
        <v>0</v>
      </c>
      <c r="I6" s="3"/>
      <c r="J6" s="566">
        <f t="shared" si="2"/>
        <v>11837.010000000002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52437.25</v>
      </c>
      <c r="C7" s="590">
        <f t="shared" si="0"/>
        <v>0.274711965253708</v>
      </c>
      <c r="D7" s="565">
        <f>+Print_Mois!L298</f>
        <v>14405.14</v>
      </c>
      <c r="E7" s="3"/>
      <c r="F7" s="565">
        <f>+Print_Mois!G298</f>
        <v>0</v>
      </c>
      <c r="G7" s="590" t="e">
        <f t="shared" si="1"/>
        <v>#DIV/0!</v>
      </c>
      <c r="H7" s="565">
        <f>+Print_Mois!I298</f>
        <v>0</v>
      </c>
      <c r="I7" s="3"/>
      <c r="J7" s="566">
        <f t="shared" si="2"/>
        <v>14405.14</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16991.91</v>
      </c>
      <c r="C8" s="590">
        <f t="shared" si="0"/>
        <v>0.26246607944604222</v>
      </c>
      <c r="D8" s="565">
        <f>+Print_Mois!L299</f>
        <v>4459.7999999999993</v>
      </c>
      <c r="E8" s="3"/>
      <c r="F8" s="565">
        <f>+Print_Mois!G299</f>
        <v>0</v>
      </c>
      <c r="G8" s="590" t="e">
        <f t="shared" si="1"/>
        <v>#DIV/0!</v>
      </c>
      <c r="H8" s="565">
        <f>+Print_Mois!I299</f>
        <v>0</v>
      </c>
      <c r="I8" s="3"/>
      <c r="J8" s="566">
        <f t="shared" si="2"/>
        <v>4459.7999999999993</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169183.24</v>
      </c>
      <c r="C9" s="590">
        <f t="shared" si="0"/>
        <v>0.11761141351826578</v>
      </c>
      <c r="D9" s="565">
        <f>+Print_Mois!L300</f>
        <v>19897.88</v>
      </c>
      <c r="E9" s="3"/>
      <c r="F9" s="565">
        <f>+Print_Mois!G300</f>
        <v>0</v>
      </c>
      <c r="G9" s="590" t="e">
        <f t="shared" si="1"/>
        <v>#DIV/0!</v>
      </c>
      <c r="H9" s="565">
        <f>+Print_Mois!I300</f>
        <v>0</v>
      </c>
      <c r="I9" s="3"/>
      <c r="J9" s="566">
        <f t="shared" si="2"/>
        <v>19897.88</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11210.039999999999</v>
      </c>
      <c r="E10" s="3"/>
      <c r="F10" s="565"/>
      <c r="G10" s="590"/>
      <c r="H10" s="565">
        <f>+Print_Mois!I302</f>
        <v>0</v>
      </c>
      <c r="I10" s="3"/>
      <c r="J10" s="566">
        <f t="shared" si="2"/>
        <v>11210.039999999999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369202.5</v>
      </c>
      <c r="C12" s="592">
        <f>+D12/B12</f>
        <v>0.23229967294370979</v>
      </c>
      <c r="D12" s="591">
        <f>SUM(D4:D11)</f>
        <v>85765.62000000001</v>
      </c>
      <c r="E12" s="3"/>
      <c r="F12" s="591">
        <f>SUM(F4:F11)</f>
        <v>0</v>
      </c>
      <c r="G12" s="592" t="e">
        <f>+H12/F12</f>
        <v>#DIV/0!</v>
      </c>
      <c r="H12" s="591">
        <f>SUM(H4:H11)</f>
        <v>0</v>
      </c>
      <c r="I12" s="3"/>
      <c r="J12" s="591">
        <f>SUM(J4:J11)</f>
        <v>85765.62000000001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57268.47</v>
      </c>
      <c r="C14" s="590">
        <f t="shared" ref="C14:C15" si="8">D14/B14</f>
        <v>0.1903179882403005</v>
      </c>
      <c r="D14" s="565">
        <f>+Print_Mois!L307</f>
        <v>10899.220000000001</v>
      </c>
      <c r="E14" s="3"/>
      <c r="F14" s="565">
        <f>+Print_Mois!G307</f>
        <v>0</v>
      </c>
      <c r="G14" s="590" t="e">
        <f t="shared" ref="G14:G15" si="9">H14/F14</f>
        <v>#DIV/0!</v>
      </c>
      <c r="H14" s="565">
        <f>+Print_Mois!I307</f>
        <v>0</v>
      </c>
      <c r="I14" s="3"/>
      <c r="J14" s="566">
        <f t="shared" ref="J14:J15" si="10">+D14-H14</f>
        <v>10899.220000000001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18305.580000000002</v>
      </c>
      <c r="C15" s="590">
        <f t="shared" si="8"/>
        <v>0.26086963647150224</v>
      </c>
      <c r="D15" s="565">
        <f>+Print_Mois!L308</f>
        <v>4775.3700000000026</v>
      </c>
      <c r="E15" s="3"/>
      <c r="F15" s="565">
        <f>+Print_Mois!G308</f>
        <v>0</v>
      </c>
      <c r="G15" s="590" t="e">
        <f t="shared" si="9"/>
        <v>#DIV/0!</v>
      </c>
      <c r="H15" s="565">
        <f>+Print_Mois!I308</f>
        <v>0</v>
      </c>
      <c r="I15" s="3"/>
      <c r="J15" s="566">
        <f t="shared" si="10"/>
        <v>4775.3700000000026</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75574.05</v>
      </c>
      <c r="C16" s="594">
        <f>+D16/B16</f>
        <v>0.20740703985031902</v>
      </c>
      <c r="D16" s="593">
        <f>SUM(D14:D15)</f>
        <v>15674.590000000004</v>
      </c>
      <c r="E16" s="3"/>
      <c r="F16" s="593">
        <f>SUM(F14:F15)</f>
        <v>0</v>
      </c>
      <c r="G16" s="594" t="e">
        <f>+H16/F16</f>
        <v>#DIV/0!</v>
      </c>
      <c r="H16" s="593">
        <f>SUM(H14:H15)</f>
        <v>0</v>
      </c>
      <c r="I16" s="3"/>
      <c r="J16" s="593">
        <f>SUM(J14:J15)</f>
        <v>15674.590000000004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444776.55</v>
      </c>
      <c r="C18" s="596">
        <f>+D18/B18</f>
        <v>0.22807005000600869</v>
      </c>
      <c r="D18" s="595">
        <f>+D12+D16</f>
        <v>101440.21000000002</v>
      </c>
      <c r="E18" s="3"/>
      <c r="F18" s="595">
        <f>+F12+F16</f>
        <v>0</v>
      </c>
      <c r="G18" s="596" t="e">
        <f>+H18/F18</f>
        <v>#DIV/0!</v>
      </c>
      <c r="H18" s="595">
        <f>+H12+H16</f>
        <v>0</v>
      </c>
      <c r="I18" s="3"/>
      <c r="J18" s="595">
        <f>+J12+J16</f>
        <v>101440.21000000002</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444776.55</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9" t="s">
        <v>700</v>
      </c>
      <c r="C1" s="1250"/>
      <c r="D1" s="1250"/>
      <c r="E1" s="1250"/>
      <c r="F1" s="1250"/>
      <c r="G1" s="1250"/>
      <c r="H1" s="1250"/>
      <c r="I1" s="1250"/>
      <c r="J1" s="1250"/>
      <c r="K1" s="1250"/>
      <c r="L1" s="1250"/>
      <c r="M1" s="1250"/>
      <c r="N1" s="1250"/>
      <c r="O1" s="1250"/>
      <c r="P1" s="1250"/>
      <c r="Q1" s="1250"/>
      <c r="R1" s="1250"/>
      <c r="S1" s="1250"/>
      <c r="T1" s="1251"/>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733</v>
      </c>
      <c r="D5" s="560">
        <f>Print_AAD!L27/Print_AAD!J27</f>
        <v>3207.8310777626202</v>
      </c>
      <c r="E5" s="561">
        <f t="shared" ref="E5:E6" si="0">+C5*D5</f>
        <v>2351340.1800000006</v>
      </c>
      <c r="F5" s="3"/>
      <c r="G5" s="231" t="s">
        <v>656</v>
      </c>
      <c r="H5" s="559">
        <f>Print_AAD!J108</f>
        <v>731</v>
      </c>
      <c r="I5" s="560">
        <f>Print_AAD!L108/Print_AAD!J108</f>
        <v>1154.9712311901508</v>
      </c>
      <c r="J5" s="561">
        <f t="shared" ref="J5:J6" si="1">+H5*I5</f>
        <v>844283.9700000002</v>
      </c>
      <c r="K5" s="3"/>
      <c r="L5" s="231" t="s">
        <v>656</v>
      </c>
      <c r="M5" s="560">
        <f>Print_AAD!K194</f>
        <v>3601621.5499999993</v>
      </c>
      <c r="N5" s="562">
        <f t="shared" ref="N5:N6" si="2">O5/M5</f>
        <v>0.72482967567761269</v>
      </c>
      <c r="O5" s="560">
        <f>Print_AAD!L194</f>
        <v>2610562.1800000002</v>
      </c>
      <c r="P5" s="3"/>
      <c r="Q5" s="231" t="s">
        <v>656</v>
      </c>
      <c r="R5" s="563">
        <f>Print_AAD!J185</f>
        <v>10034</v>
      </c>
      <c r="S5" s="560">
        <f>Print_AAD!K185/Print_AAD!J185</f>
        <v>329.41422662945979</v>
      </c>
      <c r="T5" s="561">
        <f t="shared" ref="T5:T6" si="3">+R5*S5</f>
        <v>3305342.3499999996</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733</v>
      </c>
      <c r="D7" s="570" t="e">
        <f t="shared" si="4"/>
        <v>#DIV/0!</v>
      </c>
      <c r="E7" s="571" t="e">
        <f t="shared" si="4"/>
        <v>#DIV/0!</v>
      </c>
      <c r="F7" s="3"/>
      <c r="G7" s="133" t="s">
        <v>655</v>
      </c>
      <c r="H7" s="569">
        <f t="shared" ref="H7:J7" si="5">+H5-H6</f>
        <v>731</v>
      </c>
      <c r="I7" s="570" t="e">
        <f t="shared" si="5"/>
        <v>#DIV/0!</v>
      </c>
      <c r="J7" s="571" t="e">
        <f t="shared" si="5"/>
        <v>#DIV/0!</v>
      </c>
      <c r="K7" s="3"/>
      <c r="L7" s="133" t="s">
        <v>655</v>
      </c>
      <c r="M7" s="570">
        <f t="shared" ref="M7:O7" si="6">+M5-M6</f>
        <v>3601621.5499999993</v>
      </c>
      <c r="N7" s="572" t="e">
        <f t="shared" si="6"/>
        <v>#DIV/0!</v>
      </c>
      <c r="O7" s="571">
        <f t="shared" si="6"/>
        <v>2610562.1800000002</v>
      </c>
      <c r="P7" s="3"/>
      <c r="Q7" s="133" t="s">
        <v>655</v>
      </c>
      <c r="R7" s="573">
        <f t="shared" ref="R7:T7" si="7">+R5-R6</f>
        <v>10034</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733</v>
      </c>
      <c r="D10" s="561">
        <f t="shared" si="12"/>
        <v>3207.8310777626202</v>
      </c>
      <c r="E10" s="566">
        <f>+C10*D10</f>
        <v>2351340.1800000006</v>
      </c>
      <c r="F10" s="3"/>
      <c r="G10" s="133" t="s">
        <v>702</v>
      </c>
      <c r="H10" s="577">
        <f t="shared" ref="H10:I10" si="13">+H5</f>
        <v>731</v>
      </c>
      <c r="I10" s="561">
        <f t="shared" si="13"/>
        <v>1154.9712311901508</v>
      </c>
      <c r="J10" s="566">
        <f>+H10*I10</f>
        <v>844283.9700000002</v>
      </c>
      <c r="K10" s="3"/>
      <c r="L10" s="133" t="s">
        <v>703</v>
      </c>
      <c r="M10" s="561">
        <f t="shared" ref="M10:N10" si="14">+M5</f>
        <v>3601621.5499999993</v>
      </c>
      <c r="N10" s="562">
        <f t="shared" si="14"/>
        <v>0.72482967567761269</v>
      </c>
      <c r="O10" s="566">
        <f>+M10*N10</f>
        <v>2610562.1800000002</v>
      </c>
      <c r="P10" s="3"/>
      <c r="Q10" s="133" t="s">
        <v>704</v>
      </c>
      <c r="R10" s="578">
        <f t="shared" ref="R10:S10" si="15">+R5</f>
        <v>10034</v>
      </c>
      <c r="S10" s="561">
        <f t="shared" si="15"/>
        <v>329.41422662945979</v>
      </c>
      <c r="T10" s="566">
        <f>+R10*S10</f>
        <v>3305342.3499999996</v>
      </c>
      <c r="U10" s="3"/>
      <c r="V10" s="3"/>
      <c r="W10" s="3"/>
      <c r="X10" s="3"/>
      <c r="Y10" s="3"/>
      <c r="Z10" s="3"/>
    </row>
    <row r="11" spans="1:26">
      <c r="A11" s="3"/>
      <c r="B11" s="133" t="s">
        <v>663</v>
      </c>
      <c r="C11" s="577">
        <f>+C5</f>
        <v>733</v>
      </c>
      <c r="D11" s="566" t="e">
        <f>+D6</f>
        <v>#DIV/0!</v>
      </c>
      <c r="E11" s="566" t="e">
        <f>C11*D11</f>
        <v>#DIV/0!</v>
      </c>
      <c r="F11" s="3"/>
      <c r="G11" s="133" t="s">
        <v>663</v>
      </c>
      <c r="H11" s="577">
        <f>+H5</f>
        <v>731</v>
      </c>
      <c r="I11" s="566" t="e">
        <f>+I6</f>
        <v>#DIV/0!</v>
      </c>
      <c r="J11" s="566" t="e">
        <f>H11*I11</f>
        <v>#DIV/0!</v>
      </c>
      <c r="K11" s="3"/>
      <c r="L11" s="133" t="s">
        <v>663</v>
      </c>
      <c r="M11" s="561">
        <f>+M5</f>
        <v>3601621.5499999993</v>
      </c>
      <c r="N11" s="567" t="e">
        <f>+N6</f>
        <v>#DIV/0!</v>
      </c>
      <c r="O11" s="566" t="e">
        <f>M11*N11</f>
        <v>#DIV/0!</v>
      </c>
      <c r="P11" s="3"/>
      <c r="Q11" s="133" t="s">
        <v>664</v>
      </c>
      <c r="R11" s="578">
        <f>+R5</f>
        <v>10034</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733</v>
      </c>
      <c r="D15" s="566" t="e">
        <f>+D6</f>
        <v>#DIV/0!</v>
      </c>
      <c r="E15" s="566" t="e">
        <f>+C15*D15</f>
        <v>#DIV/0!</v>
      </c>
      <c r="F15" s="3"/>
      <c r="G15" s="133" t="s">
        <v>706</v>
      </c>
      <c r="H15" s="577">
        <f t="shared" ref="H15:H16" si="21">+H5</f>
        <v>731</v>
      </c>
      <c r="I15" s="566" t="e">
        <f>+I6</f>
        <v>#DIV/0!</v>
      </c>
      <c r="J15" s="566" t="e">
        <f>+H15*I15</f>
        <v>#DIV/0!</v>
      </c>
      <c r="K15" s="3"/>
      <c r="L15" s="133" t="s">
        <v>707</v>
      </c>
      <c r="M15" s="561">
        <f t="shared" ref="M15:M16" si="22">+M5</f>
        <v>3601621.5499999993</v>
      </c>
      <c r="N15" s="567" t="e">
        <f>+N6</f>
        <v>#DIV/0!</v>
      </c>
      <c r="O15" s="566" t="e">
        <f>+M15*N15</f>
        <v>#DIV/0!</v>
      </c>
      <c r="P15" s="3"/>
      <c r="Q15" s="133" t="s">
        <v>708</v>
      </c>
      <c r="R15" s="578">
        <f t="shared" ref="R15:R16" si="23">+R5</f>
        <v>10034</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733</v>
      </c>
      <c r="D17" s="570" t="e">
        <f t="shared" si="24"/>
        <v>#DIV/0!</v>
      </c>
      <c r="E17" s="571" t="e">
        <f t="shared" si="24"/>
        <v>#DIV/0!</v>
      </c>
      <c r="F17" s="3"/>
      <c r="G17" s="133" t="s">
        <v>665</v>
      </c>
      <c r="H17" s="569">
        <f t="shared" ref="H17:J17" si="25">+H15-H16</f>
        <v>731</v>
      </c>
      <c r="I17" s="570" t="e">
        <f t="shared" si="25"/>
        <v>#DIV/0!</v>
      </c>
      <c r="J17" s="571" t="e">
        <f t="shared" si="25"/>
        <v>#DIV/0!</v>
      </c>
      <c r="K17" s="3"/>
      <c r="L17" s="133" t="s">
        <v>665</v>
      </c>
      <c r="M17" s="570">
        <f t="shared" ref="M17:O17" si="26">+M15-M16</f>
        <v>3601621.5499999993</v>
      </c>
      <c r="N17" s="572" t="e">
        <f t="shared" si="26"/>
        <v>#DIV/0!</v>
      </c>
      <c r="O17" s="571" t="e">
        <f t="shared" si="26"/>
        <v>#DIV/0!</v>
      </c>
      <c r="P17" s="3"/>
      <c r="Q17" s="133" t="s">
        <v>665</v>
      </c>
      <c r="R17" s="573">
        <f t="shared" ref="R17:T17" si="27">+R15-R16</f>
        <v>10034</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733</v>
      </c>
      <c r="D20" s="566" t="e">
        <f t="shared" si="28"/>
        <v>#DIV/0!</v>
      </c>
      <c r="E20" s="566" t="e">
        <f>+C20*D20</f>
        <v>#DIV/0!</v>
      </c>
      <c r="F20" s="3"/>
      <c r="G20" s="133" t="s">
        <v>672</v>
      </c>
      <c r="H20" s="579">
        <f t="shared" ref="H20:I20" si="29">MAX(H5:H6)</f>
        <v>731</v>
      </c>
      <c r="I20" s="566" t="e">
        <f t="shared" si="29"/>
        <v>#DIV/0!</v>
      </c>
      <c r="J20" s="566" t="e">
        <f>+H20*I20</f>
        <v>#DIV/0!</v>
      </c>
      <c r="K20" s="3"/>
      <c r="L20" s="133" t="s">
        <v>672</v>
      </c>
      <c r="M20" s="566">
        <f t="shared" ref="M20:N20" si="30">MAX(M5:M6)</f>
        <v>3601621.5499999993</v>
      </c>
      <c r="N20" s="567" t="e">
        <f t="shared" si="30"/>
        <v>#DIV/0!</v>
      </c>
      <c r="O20" s="566" t="e">
        <f>+M20*N20</f>
        <v>#DIV/0!</v>
      </c>
      <c r="P20" s="3"/>
      <c r="Q20" s="133" t="s">
        <v>672</v>
      </c>
      <c r="R20" s="580">
        <f t="shared" ref="R20:S20" si="31">MAX(R5:R6)</f>
        <v>10034</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733</v>
      </c>
      <c r="D23" s="570" t="e">
        <f t="shared" si="36"/>
        <v>#DIV/0!</v>
      </c>
      <c r="E23" s="570" t="e">
        <f t="shared" si="36"/>
        <v>#DIV/0!</v>
      </c>
      <c r="F23" s="3"/>
      <c r="G23" s="133" t="s">
        <v>674</v>
      </c>
      <c r="H23" s="569">
        <f t="shared" ref="H23:J23" si="37">+H20-H22</f>
        <v>731</v>
      </c>
      <c r="I23" s="570" t="e">
        <f t="shared" si="37"/>
        <v>#DIV/0!</v>
      </c>
      <c r="J23" s="570" t="e">
        <f t="shared" si="37"/>
        <v>#DIV/0!</v>
      </c>
      <c r="K23" s="3"/>
      <c r="L23" s="133" t="s">
        <v>674</v>
      </c>
      <c r="M23" s="570">
        <f t="shared" ref="M23:O23" si="38">+M20-M22</f>
        <v>3601621.5499999993</v>
      </c>
      <c r="N23" s="572" t="e">
        <f t="shared" si="38"/>
        <v>#DIV/0!</v>
      </c>
      <c r="O23" s="570" t="e">
        <f t="shared" si="38"/>
        <v>#DIV/0!</v>
      </c>
      <c r="P23" s="3"/>
      <c r="Q23" s="133" t="s">
        <v>674</v>
      </c>
      <c r="R23" s="573">
        <f t="shared" ref="R23:T23" si="39">+R20-R22</f>
        <v>10034</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733</v>
      </c>
      <c r="D32" s="566">
        <f t="shared" ref="D32:D33" si="40">+E32/C32</f>
        <v>57.856666785594498</v>
      </c>
      <c r="E32" s="566">
        <f>+Print_AAD!N78</f>
        <v>42408.936753840768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733</v>
      </c>
      <c r="D33" s="566">
        <f t="shared" si="40"/>
        <v>20.766194065484441</v>
      </c>
      <c r="E33" s="566">
        <f>+Print_AAD!N82</f>
        <v>15221.620250000095</v>
      </c>
      <c r="F33" s="3"/>
      <c r="G33" s="133" t="s">
        <v>681</v>
      </c>
      <c r="H33" s="588">
        <f>+H17</f>
        <v>731</v>
      </c>
      <c r="I33" s="566">
        <f>+J33/H33</f>
        <v>-98.462521032831759</v>
      </c>
      <c r="J33" s="566">
        <f>+Print_AAD!N159</f>
        <v>-71976.102875000011</v>
      </c>
      <c r="K33" s="3"/>
      <c r="L33" s="3"/>
      <c r="M33" s="3"/>
      <c r="N33" s="3"/>
      <c r="O33" s="3"/>
      <c r="P33" s="3"/>
      <c r="Q33" s="3"/>
      <c r="R33" s="3"/>
      <c r="S33" s="3"/>
      <c r="T33" s="3"/>
      <c r="U33" s="3"/>
      <c r="V33" s="3"/>
      <c r="W33" s="3"/>
      <c r="X33" s="3"/>
      <c r="Y33" s="3"/>
      <c r="Z33" s="3"/>
    </row>
    <row r="34" spans="1:26" ht="15.75" customHeight="1">
      <c r="A34" s="3"/>
      <c r="B34" s="3"/>
      <c r="C34" s="3"/>
      <c r="D34" s="3"/>
      <c r="E34" s="570">
        <f>SUM(E32:E33)</f>
        <v>57630.557003840862</v>
      </c>
      <c r="F34" s="3"/>
      <c r="G34" s="3"/>
      <c r="H34" s="3"/>
      <c r="I34" s="3"/>
      <c r="J34" s="570">
        <f>SUM(J32:J33)</f>
        <v>-71976.102875000011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2" t="s">
        <v>682</v>
      </c>
      <c r="C2" s="1253"/>
      <c r="D2" s="1254"/>
      <c r="E2" s="3"/>
      <c r="F2" s="1252" t="s">
        <v>683</v>
      </c>
      <c r="G2" s="1253"/>
      <c r="H2" s="1254"/>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1118224.1299999999</v>
      </c>
      <c r="C4" s="590">
        <f t="shared" ref="C4:C9" si="0">D4/B4</f>
        <v>0.34679176526086947</v>
      </c>
      <c r="D4" s="565">
        <f>+Print_AAD!L295</f>
        <v>387790.91999999993</v>
      </c>
      <c r="E4" s="3"/>
      <c r="F4" s="565">
        <f>+Print_AAD!G295</f>
        <v>0</v>
      </c>
      <c r="G4" s="590" t="e">
        <f t="shared" ref="G4:G9" si="1">H4/F4</f>
        <v>#DIV/0!</v>
      </c>
      <c r="H4" s="565">
        <f>+Print_AAD!I295</f>
        <v>0</v>
      </c>
      <c r="I4" s="3"/>
      <c r="J4" s="566">
        <f t="shared" ref="J4:J11" si="2">+D4-H4</f>
        <v>387790.91999999993</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193233.9</v>
      </c>
      <c r="C5" s="590">
        <f t="shared" si="0"/>
        <v>0.2484264924529288</v>
      </c>
      <c r="D5" s="565">
        <f>+Print_AAD!L296</f>
        <v>48004.42</v>
      </c>
      <c r="E5" s="3"/>
      <c r="F5" s="565">
        <f>+Print_AAD!G296</f>
        <v>0</v>
      </c>
      <c r="G5" s="590" t="e">
        <f t="shared" si="1"/>
        <v>#DIV/0!</v>
      </c>
      <c r="H5" s="565">
        <f>+Print_AAD!I296</f>
        <v>0</v>
      </c>
      <c r="I5" s="3"/>
      <c r="J5" s="566">
        <f t="shared" si="2"/>
        <v>48004.42</v>
      </c>
      <c r="K5" s="3"/>
      <c r="L5" s="566" t="e">
        <f t="shared" si="3"/>
        <v>#DIV/0!</v>
      </c>
      <c r="M5" s="3"/>
      <c r="N5" s="566" t="e">
        <f t="shared" si="4"/>
        <v>#DIV/0!</v>
      </c>
      <c r="O5" s="3"/>
      <c r="P5" s="3"/>
      <c r="Q5" s="3"/>
      <c r="R5" s="3"/>
      <c r="S5" s="3"/>
      <c r="T5" s="3"/>
      <c r="U5" s="3"/>
      <c r="V5" s="3"/>
      <c r="W5" s="3"/>
      <c r="X5" s="3"/>
      <c r="Y5" s="3"/>
      <c r="Z5" s="3"/>
    </row>
    <row r="6" spans="1:26">
      <c r="A6" s="3" t="s">
        <v>184</v>
      </c>
      <c r="B6" s="565">
        <f>+Print_AAD!J297</f>
        <v>512439.39</v>
      </c>
      <c r="C6" s="590">
        <f t="shared" si="0"/>
        <v>0.23286545165858541</v>
      </c>
      <c r="D6" s="565">
        <f>+Print_AAD!L297</f>
        <v>119329.43</v>
      </c>
      <c r="E6" s="3"/>
      <c r="F6" s="565">
        <f>+Print_AAD!G297</f>
        <v>0</v>
      </c>
      <c r="G6" s="590" t="e">
        <f t="shared" si="1"/>
        <v>#DIV/0!</v>
      </c>
      <c r="H6" s="565">
        <f>+Print_AAD!I297</f>
        <v>0</v>
      </c>
      <c r="I6" s="3"/>
      <c r="J6" s="566">
        <f t="shared" si="2"/>
        <v>119329.43</v>
      </c>
      <c r="K6" s="3"/>
      <c r="L6" s="566" t="e">
        <f t="shared" si="3"/>
        <v>#DIV/0!</v>
      </c>
      <c r="M6" s="3"/>
      <c r="N6" s="566" t="e">
        <f t="shared" si="4"/>
        <v>#DIV/0!</v>
      </c>
      <c r="O6" s="3"/>
      <c r="P6" s="3"/>
      <c r="Q6" s="3"/>
      <c r="R6" s="3"/>
      <c r="S6" s="3"/>
      <c r="T6" s="3"/>
      <c r="U6" s="3"/>
      <c r="V6" s="3"/>
      <c r="W6" s="3"/>
      <c r="X6" s="3"/>
      <c r="Y6" s="3"/>
      <c r="Z6" s="3"/>
    </row>
    <row r="7" spans="1:26">
      <c r="A7" s="3" t="s">
        <v>185</v>
      </c>
      <c r="B7" s="565">
        <f>+Print_AAD!J298</f>
        <v>671684.24</v>
      </c>
      <c r="C7" s="590">
        <f t="shared" si="0"/>
        <v>0.28570134383382284</v>
      </c>
      <c r="D7" s="565">
        <f>+Print_AAD!L298</f>
        <v>191901.08999999997</v>
      </c>
      <c r="E7" s="3"/>
      <c r="F7" s="565">
        <f>+Print_AAD!G298</f>
        <v>0</v>
      </c>
      <c r="G7" s="590" t="e">
        <f t="shared" si="1"/>
        <v>#DIV/0!</v>
      </c>
      <c r="H7" s="565">
        <f>+Print_AAD!I298</f>
        <v>0</v>
      </c>
      <c r="I7" s="3"/>
      <c r="J7" s="566">
        <f t="shared" si="2"/>
        <v>191901.08999999997</v>
      </c>
      <c r="K7" s="3"/>
      <c r="L7" s="566" t="e">
        <f t="shared" si="3"/>
        <v>#DIV/0!</v>
      </c>
      <c r="M7" s="3"/>
      <c r="N7" s="566" t="e">
        <f t="shared" si="4"/>
        <v>#DIV/0!</v>
      </c>
      <c r="O7" s="3"/>
      <c r="P7" s="3"/>
      <c r="Q7" s="3"/>
      <c r="R7" s="3"/>
      <c r="S7" s="3"/>
      <c r="T7" s="3"/>
      <c r="U7" s="3"/>
      <c r="V7" s="3"/>
      <c r="W7" s="3"/>
      <c r="X7" s="3"/>
      <c r="Y7" s="3"/>
      <c r="Z7" s="3"/>
    </row>
    <row r="8" spans="1:26">
      <c r="A8" s="3" t="s">
        <v>186</v>
      </c>
      <c r="B8" s="565">
        <f>+Print_AAD!J299</f>
        <v>232112.65</v>
      </c>
      <c r="C8" s="590">
        <f t="shared" si="0"/>
        <v>0.2656592391668442</v>
      </c>
      <c r="D8" s="565">
        <f>+Print_AAD!L299</f>
        <v>61662.869999999995</v>
      </c>
      <c r="E8" s="3"/>
      <c r="F8" s="565">
        <f>+Print_AAD!G299</f>
        <v>0</v>
      </c>
      <c r="G8" s="590" t="e">
        <f t="shared" si="1"/>
        <v>#DIV/0!</v>
      </c>
      <c r="H8" s="565">
        <f>+Print_AAD!I299</f>
        <v>0</v>
      </c>
      <c r="I8" s="3"/>
      <c r="J8" s="566">
        <f t="shared" si="2"/>
        <v>61662.869999999995</v>
      </c>
      <c r="K8" s="3"/>
      <c r="L8" s="566" t="e">
        <f t="shared" si="3"/>
        <v>#DIV/0!</v>
      </c>
      <c r="M8" s="3"/>
      <c r="N8" s="566" t="e">
        <f t="shared" si="4"/>
        <v>#DIV/0!</v>
      </c>
      <c r="O8" s="3"/>
      <c r="P8" s="3"/>
      <c r="Q8" s="3"/>
      <c r="R8" s="3"/>
      <c r="S8" s="3"/>
      <c r="T8" s="3"/>
      <c r="U8" s="3"/>
      <c r="V8" s="3"/>
      <c r="W8" s="3"/>
      <c r="X8" s="3"/>
      <c r="Y8" s="3"/>
      <c r="Z8" s="3"/>
    </row>
    <row r="9" spans="1:26">
      <c r="A9" s="3" t="s">
        <v>187</v>
      </c>
      <c r="B9" s="565">
        <f>+Print_AAD!J300</f>
        <v>1871696.81</v>
      </c>
      <c r="C9" s="590">
        <f t="shared" si="0"/>
        <v>0.13797422671249837</v>
      </c>
      <c r="D9" s="565">
        <f>+Print_AAD!L300</f>
        <v>258245.91999999998</v>
      </c>
      <c r="E9" s="3"/>
      <c r="F9" s="565">
        <f>+Print_AAD!G300</f>
        <v>0</v>
      </c>
      <c r="G9" s="590" t="e">
        <f t="shared" si="1"/>
        <v>#DIV/0!</v>
      </c>
      <c r="H9" s="565">
        <f>+Print_AAD!I300</f>
        <v>0</v>
      </c>
      <c r="I9" s="3"/>
      <c r="J9" s="566">
        <f t="shared" si="2"/>
        <v>258245.91999999998</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128387.13</v>
      </c>
      <c r="E10" s="3"/>
      <c r="F10" s="565"/>
      <c r="G10" s="590"/>
      <c r="H10" s="565">
        <f>+Print_AAD!I302</f>
        <v>0</v>
      </c>
      <c r="I10" s="3"/>
      <c r="J10" s="566">
        <f t="shared" si="2"/>
        <v>128387.13</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4599391.12</v>
      </c>
      <c r="C12" s="592">
        <f>+D12/B12</f>
        <v>0.25988696086363705</v>
      </c>
      <c r="D12" s="591">
        <f>SUM(D4:D11)</f>
        <v>1195321.7799999998</v>
      </c>
      <c r="E12" s="3"/>
      <c r="F12" s="591">
        <f>SUM(F4:F11)</f>
        <v>0</v>
      </c>
      <c r="G12" s="592" t="e">
        <f>+H12/F12</f>
        <v>#DIV/0!</v>
      </c>
      <c r="H12" s="591">
        <f>SUM(H4:H11)</f>
        <v>0</v>
      </c>
      <c r="I12" s="3"/>
      <c r="J12" s="591">
        <f>SUM(J4:J11)</f>
        <v>1195321.7799999998</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531144.48</v>
      </c>
      <c r="C14" s="590">
        <f t="shared" ref="C14:C15" si="6">D14/B14</f>
        <v>0.16668760258978871</v>
      </c>
      <c r="D14" s="565">
        <f>+Print_AAD!L307</f>
        <v>88535.199999999968</v>
      </c>
      <c r="E14" s="3"/>
      <c r="F14" s="565">
        <f>+Print_AAD!G307</f>
        <v>0</v>
      </c>
      <c r="G14" s="590" t="e">
        <f t="shared" ref="G14:G15" si="7">H14/F14</f>
        <v>#DIV/0!</v>
      </c>
      <c r="H14" s="565">
        <f>+Print_AAD!I307</f>
        <v>0</v>
      </c>
      <c r="I14" s="3"/>
      <c r="J14" s="566">
        <f t="shared" ref="J14:J15" si="8">+D14-H14</f>
        <v>88535.199999999968</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284600.24</v>
      </c>
      <c r="C15" s="590">
        <f t="shared" si="6"/>
        <v>0.25616341714961305</v>
      </c>
      <c r="D15" s="565">
        <f>+Print_AAD!L308</f>
        <v>72904.169999999984</v>
      </c>
      <c r="E15" s="3"/>
      <c r="F15" s="565">
        <f>+Print_AAD!G308</f>
        <v>0</v>
      </c>
      <c r="G15" s="590" t="e">
        <f t="shared" si="7"/>
        <v>#DIV/0!</v>
      </c>
      <c r="H15" s="565">
        <f>+Print_AAD!I308</f>
        <v>0</v>
      </c>
      <c r="I15" s="3"/>
      <c r="J15" s="566">
        <f t="shared" si="8"/>
        <v>72904.169999999984</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815744.72</v>
      </c>
      <c r="C16" s="594">
        <f>+D16/B16</f>
        <v>0.1979042781913439</v>
      </c>
      <c r="D16" s="593">
        <f>SUM(D14:D15)</f>
        <v>161439.36999999994</v>
      </c>
      <c r="E16" s="3"/>
      <c r="F16" s="593">
        <f>SUM(F14:F15)</f>
        <v>0</v>
      </c>
      <c r="G16" s="594" t="e">
        <f>+H16/F16</f>
        <v>#DIV/0!</v>
      </c>
      <c r="H16" s="593">
        <f>SUM(H14:H15)</f>
        <v>0</v>
      </c>
      <c r="I16" s="3"/>
      <c r="J16" s="593">
        <f>SUM(J14:J15)</f>
        <v>161439.36999999994</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5415135.8399999999</v>
      </c>
      <c r="C18" s="596">
        <f>+D18/B18</f>
        <v>0.25054979045548742</v>
      </c>
      <c r="D18" s="595">
        <f>+D12+D16</f>
        <v>1356761.1499999997</v>
      </c>
      <c r="E18" s="3"/>
      <c r="F18" s="595">
        <f>+F12+F16</f>
        <v>0</v>
      </c>
      <c r="G18" s="596" t="e">
        <f>+H18/F18</f>
        <v>#DIV/0!</v>
      </c>
      <c r="H18" s="595">
        <f>+H12+H16</f>
        <v>0</v>
      </c>
      <c r="I18" s="3"/>
      <c r="J18" s="595">
        <f>+J12+J16</f>
        <v>1356761.1499999997</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5415135.8399999999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731"/>
  <sheetViews>
    <sheetView topLeftCell="J1" zoomScale="80" zoomScaleNormal="80" workbookViewId="0">
      <selection activeCell="O149" sqref="O149"/>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1" t="s">
        <v>251</v>
      </c>
      <c r="B1" s="1211" t="s">
        <v>709</v>
      </c>
      <c r="C1" s="1212" t="s">
        <v>713</v>
      </c>
      <c r="D1" s="1212" t="s">
        <v>714</v>
      </c>
      <c r="E1" s="1212" t="s">
        <v>715</v>
      </c>
      <c r="F1" s="1211" t="s">
        <v>710</v>
      </c>
      <c r="G1" s="1211" t="s">
        <v>711</v>
      </c>
      <c r="H1" s="1211" t="s">
        <v>712</v>
      </c>
      <c r="I1" s="1212" t="s">
        <v>3413</v>
      </c>
      <c r="J1" s="1212" t="s">
        <v>3414</v>
      </c>
      <c r="K1" s="1212"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hidden="1" customHeight="1">
      <c r="A2" s="1213" t="s">
        <v>720</v>
      </c>
      <c r="B2" s="1213" t="s">
        <v>1438</v>
      </c>
      <c r="C2" s="1214"/>
      <c r="D2" s="1214"/>
      <c r="E2" s="1214"/>
      <c r="F2" s="1213" t="s">
        <v>2</v>
      </c>
      <c r="G2" s="1213" t="s">
        <v>3323</v>
      </c>
      <c r="H2" s="1214"/>
      <c r="I2" s="1215">
        <v>-57642</v>
      </c>
      <c r="J2" s="1215">
        <v>0</v>
      </c>
      <c r="K2" s="1215">
        <v>-57642</v>
      </c>
      <c r="L2" s="653" t="str">
        <f>TEXT(B2,0)</f>
        <v>10</v>
      </c>
      <c r="M2" s="654" t="str">
        <f t="shared" ref="M2:M179" si="0">+A2</f>
        <v>PROFIT/PERTES JANVIER</v>
      </c>
      <c r="N2" s="655">
        <f>+IF(OR($Q2=Parametres!$G$2,$Q2=Parametres!$G$3),I2,C2)</f>
        <v>-57642</v>
      </c>
      <c r="O2" s="655">
        <f>+IF(OR($Q2=Parametres!$G$2,$Q2=Parametres!$G$3),J2,D2)</f>
        <v>0</v>
      </c>
      <c r="P2" s="655">
        <f>+IF(OR($Q2=Parametres!$G$2,$Q2=Parametres!$G$3),K2,E2)</f>
        <v>-57642</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hidden="1" customHeight="1">
      <c r="A3" s="1213" t="s">
        <v>721</v>
      </c>
      <c r="B3" s="1213" t="s">
        <v>1638</v>
      </c>
      <c r="C3" s="1214"/>
      <c r="D3" s="1214"/>
      <c r="E3" s="1214"/>
      <c r="F3" s="1213" t="s">
        <v>2</v>
      </c>
      <c r="G3" s="1213" t="s">
        <v>3323</v>
      </c>
      <c r="H3" s="1214"/>
      <c r="I3" s="1215">
        <v>25227</v>
      </c>
      <c r="J3" s="1215">
        <v>0</v>
      </c>
      <c r="K3" s="1215">
        <v>25227</v>
      </c>
      <c r="L3" s="653" t="str">
        <f t="shared" ref="L3:L66" si="2">TEXT(B3,0)</f>
        <v>20</v>
      </c>
      <c r="M3" s="654" t="str">
        <f t="shared" si="0"/>
        <v>PROFIT/PERTES FEVRIER</v>
      </c>
      <c r="N3" s="655">
        <f>+IF(OR($Q3=Parametres!$G$2,$Q3=Parametres!$G$3),I3,C3)</f>
        <v>25227</v>
      </c>
      <c r="O3" s="655">
        <f>+IF(OR($Q3=Parametres!$G$2,$Q3=Parametres!$G$3),J3,D3)</f>
        <v>0</v>
      </c>
      <c r="P3" s="655">
        <f>+IF(OR($Q3=Parametres!$G$2,$Q3=Parametres!$G$3),K3,E3)</f>
        <v>25227</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hidden="1" customHeight="1">
      <c r="A4" s="1213" t="s">
        <v>722</v>
      </c>
      <c r="B4" s="1213" t="s">
        <v>748</v>
      </c>
      <c r="C4" s="1214"/>
      <c r="D4" s="1214"/>
      <c r="E4" s="1214"/>
      <c r="F4" s="1213" t="s">
        <v>2</v>
      </c>
      <c r="G4" s="1213" t="s">
        <v>3323</v>
      </c>
      <c r="H4" s="1214"/>
      <c r="I4" s="1215">
        <v>128813</v>
      </c>
      <c r="J4" s="1215">
        <v>0</v>
      </c>
      <c r="K4" s="1215">
        <v>128813</v>
      </c>
      <c r="L4" s="653" t="str">
        <f t="shared" si="2"/>
        <v>30</v>
      </c>
      <c r="M4" s="654" t="str">
        <f t="shared" si="0"/>
        <v>PROFIT/PERTES MARS</v>
      </c>
      <c r="N4" s="655">
        <f>+IF(OR($Q4=Parametres!$G$2,$Q4=Parametres!$G$3),I4,C4)</f>
        <v>128813</v>
      </c>
      <c r="O4" s="655">
        <f>+IF(OR($Q4=Parametres!$G$2,$Q4=Parametres!$G$3),J4,D4)</f>
        <v>0</v>
      </c>
      <c r="P4" s="655">
        <f>+IF(OR($Q4=Parametres!$G$2,$Q4=Parametres!$G$3),K4,E4)</f>
        <v>128813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hidden="1" customHeight="1">
      <c r="A5" s="1213" t="s">
        <v>723</v>
      </c>
      <c r="B5" s="1213" t="s">
        <v>761</v>
      </c>
      <c r="C5" s="1214"/>
      <c r="D5" s="1214"/>
      <c r="E5" s="1214"/>
      <c r="F5" s="1213" t="s">
        <v>2</v>
      </c>
      <c r="G5" s="1213" t="s">
        <v>3323</v>
      </c>
      <c r="H5" s="1214"/>
      <c r="I5" s="1215">
        <v>236020</v>
      </c>
      <c r="J5" s="1215">
        <v>0</v>
      </c>
      <c r="K5" s="1215">
        <v>236020</v>
      </c>
      <c r="L5" s="653" t="str">
        <f t="shared" si="2"/>
        <v>40</v>
      </c>
      <c r="M5" s="654" t="str">
        <f t="shared" si="0"/>
        <v>PROFIT/PERTES AVRIL</v>
      </c>
      <c r="N5" s="655">
        <f>+IF(OR($Q5=Parametres!$G$2,$Q5=Parametres!$G$3),I5,C5)</f>
        <v>236020</v>
      </c>
      <c r="O5" s="655">
        <f>+IF(OR($Q5=Parametres!$G$2,$Q5=Parametres!$G$3),J5,D5)</f>
        <v>0</v>
      </c>
      <c r="P5" s="655">
        <f>+IF(OR($Q5=Parametres!$G$2,$Q5=Parametres!$G$3),K5,E5)</f>
        <v>236020</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hidden="1" customHeight="1">
      <c r="A6" s="1213" t="s">
        <v>724</v>
      </c>
      <c r="B6" s="1213" t="s">
        <v>785</v>
      </c>
      <c r="C6" s="1214"/>
      <c r="D6" s="1214"/>
      <c r="E6" s="1214"/>
      <c r="F6" s="1213" t="s">
        <v>2</v>
      </c>
      <c r="G6" s="1213" t="s">
        <v>3323</v>
      </c>
      <c r="H6" s="1214"/>
      <c r="I6" s="1215">
        <v>111325</v>
      </c>
      <c r="J6" s="1215">
        <v>0</v>
      </c>
      <c r="K6" s="1215">
        <v>111325</v>
      </c>
      <c r="L6" s="653" t="str">
        <f t="shared" si="2"/>
        <v>50</v>
      </c>
      <c r="M6" s="654" t="str">
        <f t="shared" si="0"/>
        <v>PROFIT/PERTES MAI</v>
      </c>
      <c r="N6" s="655">
        <f>+IF(OR($Q6=Parametres!$G$2,$Q6=Parametres!$G$3),I6,C6)</f>
        <v>111325</v>
      </c>
      <c r="O6" s="655">
        <f>+IF(OR($Q6=Parametres!$G$2,$Q6=Parametres!$G$3),J6,D6)</f>
        <v>0</v>
      </c>
      <c r="P6" s="655">
        <f>+IF(OR($Q6=Parametres!$G$2,$Q6=Parametres!$G$3),K6,E6)</f>
        <v>111325</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hidden="1" customHeight="1">
      <c r="A7" s="1213" t="s">
        <v>725</v>
      </c>
      <c r="B7" s="1213" t="s">
        <v>2240</v>
      </c>
      <c r="C7" s="1214"/>
      <c r="D7" s="1214"/>
      <c r="E7" s="1214"/>
      <c r="F7" s="1213" t="s">
        <v>2</v>
      </c>
      <c r="G7" s="1213" t="s">
        <v>3323</v>
      </c>
      <c r="H7" s="1214"/>
      <c r="I7" s="1215">
        <v>13850.36</v>
      </c>
      <c r="J7" s="1215">
        <v>0</v>
      </c>
      <c r="K7" s="1215">
        <v>13850.36</v>
      </c>
      <c r="L7" s="653" t="str">
        <f t="shared" si="2"/>
        <v>60</v>
      </c>
      <c r="M7" s="654" t="str">
        <f t="shared" si="0"/>
        <v>PROFIT/PERTES JUIN</v>
      </c>
      <c r="N7" s="655">
        <f>+IF(OR($Q7=Parametres!$G$2,$Q7=Parametres!$G$3),I7,C7)</f>
        <v>13850.36</v>
      </c>
      <c r="O7" s="655">
        <f>+IF(OR($Q7=Parametres!$G$2,$Q7=Parametres!$G$3),J7,D7)</f>
        <v>0</v>
      </c>
      <c r="P7" s="655">
        <f>+IF(OR($Q7=Parametres!$G$2,$Q7=Parametres!$G$3),K7,E7)</f>
        <v>13850.36</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6" ht="15" hidden="1" customHeight="1">
      <c r="A8" s="1213" t="s">
        <v>726</v>
      </c>
      <c r="B8" s="1213" t="s">
        <v>2742</v>
      </c>
      <c r="C8" s="1214"/>
      <c r="D8" s="1214"/>
      <c r="E8" s="1214"/>
      <c r="F8" s="1213" t="s">
        <v>2</v>
      </c>
      <c r="G8" s="1213" t="s">
        <v>3323</v>
      </c>
      <c r="H8" s="1214"/>
      <c r="I8" s="1215">
        <v>13850.36</v>
      </c>
      <c r="J8" s="1215">
        <v>0</v>
      </c>
      <c r="K8" s="1215">
        <v>13850.36</v>
      </c>
      <c r="L8" s="653" t="str">
        <f t="shared" si="2"/>
        <v>70</v>
      </c>
      <c r="M8" s="654" t="str">
        <f t="shared" si="0"/>
        <v>PROFIT/PERTES JUILLET</v>
      </c>
      <c r="N8" s="655">
        <f>+IF(OR($Q8=Parametres!$G$2,$Q8=Parametres!$G$3),I8,C8)</f>
        <v>13850.36</v>
      </c>
      <c r="O8" s="655">
        <f>+IF(OR($Q8=Parametres!$G$2,$Q8=Parametres!$G$3),J8,D8)</f>
        <v>0</v>
      </c>
      <c r="P8" s="655">
        <f>+IF(OR($Q8=Parametres!$G$2,$Q8=Parametres!$G$3),K8,E8)</f>
        <v>13850.36</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6" ht="15" hidden="1" customHeight="1">
      <c r="A9" s="1213" t="s">
        <v>727</v>
      </c>
      <c r="B9" s="1213" t="s">
        <v>2745</v>
      </c>
      <c r="C9" s="1214"/>
      <c r="D9" s="1214"/>
      <c r="E9" s="1214"/>
      <c r="F9" s="1213" t="s">
        <v>2</v>
      </c>
      <c r="G9" s="1213" t="s">
        <v>3323</v>
      </c>
      <c r="H9" s="1214"/>
      <c r="I9" s="1215">
        <v>100956</v>
      </c>
      <c r="J9" s="1215">
        <v>0</v>
      </c>
      <c r="K9" s="1215">
        <v>100956</v>
      </c>
      <c r="L9" s="653" t="str">
        <f t="shared" si="2"/>
        <v>80</v>
      </c>
      <c r="M9" s="654" t="str">
        <f t="shared" si="0"/>
        <v>PROFIT/PERTES AOUT</v>
      </c>
      <c r="N9" s="655">
        <f>+IF(OR($Q9=Parametres!$G$2,$Q9=Parametres!$G$3),I9,C9)</f>
        <v>100956</v>
      </c>
      <c r="O9" s="659">
        <f>+IF(OR($Q9=Parametres!$G$2,$Q9=Parametres!$G$3),J9,D9)</f>
        <v>0</v>
      </c>
      <c r="P9" s="655">
        <f>+IF(OR($Q9=Parametres!$G$2,$Q9=Parametres!$G$3),K9,E9)</f>
        <v>100956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6" ht="15" hidden="1" customHeight="1">
      <c r="A10" s="1213" t="s">
        <v>728</v>
      </c>
      <c r="B10" s="1213" t="s">
        <v>2748</v>
      </c>
      <c r="C10" s="1214"/>
      <c r="D10" s="1214"/>
      <c r="E10" s="1214"/>
      <c r="F10" s="1213" t="s">
        <v>2</v>
      </c>
      <c r="G10" s="1213" t="s">
        <v>3323</v>
      </c>
      <c r="H10" s="1214"/>
      <c r="I10" s="1215">
        <v>31247</v>
      </c>
      <c r="J10" s="1215">
        <v>0</v>
      </c>
      <c r="K10" s="1215">
        <v>31247</v>
      </c>
      <c r="L10" s="653" t="str">
        <f t="shared" si="2"/>
        <v>90</v>
      </c>
      <c r="M10" s="654" t="str">
        <f t="shared" si="0"/>
        <v>PROFIT/PERTES SEPTEMBRE</v>
      </c>
      <c r="N10" s="655">
        <f>+IF(OR($Q10=Parametres!$G$2,$Q10=Parametres!$G$3),I10,C10)</f>
        <v>31247</v>
      </c>
      <c r="O10" s="659">
        <f>+IF(OR($Q10=Parametres!$G$2,$Q10=Parametres!$G$3),J10,D10)</f>
        <v>0</v>
      </c>
      <c r="P10" s="655">
        <f>+IF(OR($Q10=Parametres!$G$2,$Q10=Parametres!$G$3),K10,E10)</f>
        <v>31247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hidden="1" customHeight="1">
      <c r="A11" s="1213" t="s">
        <v>729</v>
      </c>
      <c r="B11" s="1213" t="s">
        <v>1441</v>
      </c>
      <c r="C11" s="1214"/>
      <c r="D11" s="1214"/>
      <c r="E11" s="1214"/>
      <c r="F11" s="1213" t="s">
        <v>2</v>
      </c>
      <c r="G11" s="1213" t="s">
        <v>3323</v>
      </c>
      <c r="H11" s="1214"/>
      <c r="I11" s="1215">
        <v>116690.56</v>
      </c>
      <c r="J11" s="1215">
        <v>0</v>
      </c>
      <c r="K11" s="1215">
        <v>116690.56</v>
      </c>
      <c r="L11" s="653" t="str">
        <f t="shared" si="2"/>
        <v>100</v>
      </c>
      <c r="M11" s="654" t="str">
        <f t="shared" si="0"/>
        <v>PROFIT/PERTES OCTOBRE</v>
      </c>
      <c r="N11" s="655">
        <f>+IF(OR($Q11=Parametres!$G$2,$Q11=Parametres!$G$3),I11,C11)</f>
        <v>116690.56</v>
      </c>
      <c r="O11" s="659">
        <f>+IF(OR($Q11=Parametres!$G$2,$Q11=Parametres!$G$3),J11,D11)</f>
        <v>0</v>
      </c>
      <c r="P11" s="655">
        <f>+IF(OR($Q11=Parametres!$G$2,$Q11=Parametres!$G$3),K11,E11)</f>
        <v>116690.56</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hidden="1" customHeight="1">
      <c r="A12" s="1213" t="s">
        <v>730</v>
      </c>
      <c r="B12" s="1213" t="s">
        <v>1444</v>
      </c>
      <c r="C12" s="1214"/>
      <c r="D12" s="1214"/>
      <c r="E12" s="1214"/>
      <c r="F12" s="1213" t="s">
        <v>2</v>
      </c>
      <c r="G12" s="1213" t="s">
        <v>3323</v>
      </c>
      <c r="H12" s="1214"/>
      <c r="I12" s="1215">
        <v>171108.62</v>
      </c>
      <c r="J12" s="1215">
        <v>0</v>
      </c>
      <c r="K12" s="1215">
        <v>171108.62</v>
      </c>
      <c r="L12" s="653" t="str">
        <f t="shared" si="2"/>
        <v>110</v>
      </c>
      <c r="M12" s="654" t="str">
        <f t="shared" si="0"/>
        <v>PROFIT/PERTES NOVEMBRE</v>
      </c>
      <c r="N12" s="655">
        <f>+IF(OR($Q12=Parametres!$G$2,$Q12=Parametres!$G$3),I12,C12)</f>
        <v>171108.62</v>
      </c>
      <c r="O12" s="655">
        <f>+IF(OR($Q12=Parametres!$G$2,$Q12=Parametres!$G$3),J12,D12)</f>
        <v>0</v>
      </c>
      <c r="P12" s="655">
        <f>+IF(OR($Q12=Parametres!$G$2,$Q12=Parametres!$G$3),K12,E12)</f>
        <v>171108.62</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6" ht="15" hidden="1" customHeight="1">
      <c r="A13" s="1213" t="s">
        <v>732</v>
      </c>
      <c r="B13" s="1213" t="s">
        <v>1674</v>
      </c>
      <c r="C13" s="1214"/>
      <c r="D13" s="1214"/>
      <c r="E13" s="1214"/>
      <c r="F13" s="1213" t="s">
        <v>2</v>
      </c>
      <c r="G13" s="1213" t="s">
        <v>3324</v>
      </c>
      <c r="H13" s="1214"/>
      <c r="I13" s="1215">
        <v>1.49</v>
      </c>
      <c r="J13" s="1215">
        <v>0</v>
      </c>
      <c r="K13" s="1215">
        <v>1.49</v>
      </c>
      <c r="L13" s="653" t="str">
        <f t="shared" si="2"/>
        <v>229</v>
      </c>
      <c r="M13" s="654" t="str">
        <f t="shared" si="0"/>
        <v>CUMUL. VIS. CARR. VW</v>
      </c>
      <c r="N13" s="655">
        <f>+IF(OR($Q13=Parametres!$G$2,$Q13=Parametres!$G$3),I13,C13)</f>
        <v>1.49</v>
      </c>
      <c r="O13" s="655">
        <f>+IF(OR($Q13=Parametres!$G$2,$Q13=Parametres!$G$3),J13,D13)</f>
        <v>0</v>
      </c>
      <c r="P13" s="655">
        <f>+IF(OR($Q13=Parametres!$G$2,$Q13=Parametres!$G$3),K13,E13)</f>
        <v>1.49</v>
      </c>
      <c r="Q13" s="654" t="str">
        <f t="shared" ref="Q13:S13" si="13">+F13</f>
        <v>1-Mémo</v>
      </c>
      <c r="R13" s="653" t="str">
        <f t="shared" si="13"/>
        <v>23</v>
      </c>
      <c r="S13" s="654">
        <f t="shared" si="13"/>
        <v>0</v>
      </c>
      <c r="T13" s="656" t="str">
        <f>+VLOOKUP($L13,Data_Validation!$A:$D,1,0)</f>
        <v>229</v>
      </c>
      <c r="U13" s="656">
        <f>+VLOOKUP($L13,Data_Validation!$A:$D,3,0)</f>
        <v>0</v>
      </c>
      <c r="V13" s="656">
        <f>+VLOOKUP($L13,Data_Validation!$A:$D,4,0)</f>
        <v>0</v>
      </c>
      <c r="W13" s="656">
        <f>+VLOOKUP($L13,Data_Validation!$A:$E,5,0)</f>
        <v>0</v>
      </c>
      <c r="X13" s="656">
        <f>+VLOOKUP($L13,Data_Validation!$A:$F,6,0)</f>
        <v>0</v>
      </c>
    </row>
    <row r="14" spans="1:26" ht="15" hidden="1" customHeight="1">
      <c r="A14" s="1213" t="s">
        <v>733</v>
      </c>
      <c r="B14" s="1213" t="s">
        <v>1690</v>
      </c>
      <c r="C14" s="1214"/>
      <c r="D14" s="1214"/>
      <c r="E14" s="1214"/>
      <c r="F14" s="1213" t="s">
        <v>2</v>
      </c>
      <c r="G14" s="1213" t="s">
        <v>3324</v>
      </c>
      <c r="H14" s="1214"/>
      <c r="I14" s="1215">
        <v>89.39</v>
      </c>
      <c r="J14" s="1215">
        <v>0</v>
      </c>
      <c r="K14" s="1215">
        <v>89.39</v>
      </c>
      <c r="L14" s="653" t="str">
        <f t="shared" si="2"/>
        <v>230</v>
      </c>
      <c r="M14" s="654" t="str">
        <f t="shared" si="0"/>
        <v>CUMUL. VIS. VEH. SERV. VW</v>
      </c>
      <c r="N14" s="655">
        <f>+IF(OR($Q14=Parametres!$G$2,$Q14=Parametres!$G$3),I14,C14)</f>
        <v>89.39</v>
      </c>
      <c r="O14" s="655">
        <f>+IF(OR($Q14=Parametres!$G$2,$Q14=Parametres!$G$3),J14,D14)</f>
        <v>0</v>
      </c>
      <c r="P14" s="655">
        <f>+IF(OR($Q14=Parametres!$G$2,$Q14=Parametres!$G$3),K14,E14)</f>
        <v>89.39</v>
      </c>
      <c r="Q14" s="654" t="str">
        <f t="shared" ref="Q14:S14" si="14">+F14</f>
        <v>1-Mémo</v>
      </c>
      <c r="R14" s="653" t="str">
        <f t="shared" si="14"/>
        <v>23</v>
      </c>
      <c r="S14" s="654">
        <f t="shared" si="14"/>
        <v>0</v>
      </c>
      <c r="T14" s="656" t="str">
        <f>+VLOOKUP($L14,Data_Validation!$A:$D,1,0)</f>
        <v>230</v>
      </c>
      <c r="U14" s="656">
        <f>+VLOOKUP($L14,Data_Validation!$A:$D,3,0)</f>
        <v>0</v>
      </c>
      <c r="V14" s="656">
        <f>+VLOOKUP($L14,Data_Validation!$A:$D,4,0)</f>
        <v>0</v>
      </c>
      <c r="W14" s="656" t="str">
        <f>+VLOOKUP($L14,Data_Validation!$A:$E,5,0)</f>
        <v>$</v>
      </c>
      <c r="X14" s="656">
        <f>+VLOOKUP($L14,Data_Validation!$A:$F,6,0)</f>
        <v>0</v>
      </c>
    </row>
    <row r="15" spans="1:26" ht="15" hidden="1" customHeight="1">
      <c r="A15" s="1213" t="s">
        <v>734</v>
      </c>
      <c r="B15" s="1213" t="s">
        <v>1698</v>
      </c>
      <c r="C15" s="1214"/>
      <c r="D15" s="1214"/>
      <c r="E15" s="1214"/>
      <c r="F15" s="1213" t="s">
        <v>2</v>
      </c>
      <c r="G15" s="1213" t="s">
        <v>3324</v>
      </c>
      <c r="H15" s="1214"/>
      <c r="I15" s="1215">
        <v>224.7</v>
      </c>
      <c r="J15" s="1215">
        <v>0</v>
      </c>
      <c r="K15" s="1215">
        <v>224.7</v>
      </c>
      <c r="L15" s="653" t="str">
        <f t="shared" si="2"/>
        <v>234</v>
      </c>
      <c r="M15" s="654" t="str">
        <f t="shared" si="0"/>
        <v>TOTAL HRES PROD. SERVICE</v>
      </c>
      <c r="N15" s="655">
        <f>+IF(OR($Q15=Parametres!$G$2,$Q15=Parametres!$G$3),I15,C15)</f>
        <v>224.7</v>
      </c>
      <c r="O15" s="655">
        <f>+IF(OR($Q15=Parametres!$G$2,$Q15=Parametres!$G$3),J15,D15)</f>
        <v>0</v>
      </c>
      <c r="P15" s="655">
        <f>+IF(OR($Q15=Parametres!$G$2,$Q15=Parametres!$G$3),K15,E15)</f>
        <v>224.7</v>
      </c>
      <c r="Q15" s="654" t="str">
        <f t="shared" ref="Q15:S15" si="15">+F15</f>
        <v>1-Mémo</v>
      </c>
      <c r="R15" s="653" t="str">
        <f t="shared" si="15"/>
        <v>23</v>
      </c>
      <c r="S15" s="654">
        <f t="shared" si="15"/>
        <v>0</v>
      </c>
      <c r="T15" s="656" t="str">
        <f>+VLOOKUP($L15,Data_Validation!$A:$D,1,0)</f>
        <v>234</v>
      </c>
      <c r="U15" s="656">
        <f>+VLOOKUP($L15,Data_Validation!$A:$D,3,0)</f>
        <v>0</v>
      </c>
      <c r="V15" s="656">
        <f>+VLOOKUP($L15,Data_Validation!$A:$D,4,0)</f>
        <v>0</v>
      </c>
      <c r="W15" s="656">
        <f>+VLOOKUP($L15,Data_Validation!$A:$E,5,0)</f>
        <v>0</v>
      </c>
      <c r="X15" s="656">
        <f>+VLOOKUP($L15,Data_Validation!$A:$F,6,0)</f>
        <v>0</v>
      </c>
    </row>
    <row r="16" spans="1:26" ht="15" hidden="1" customHeight="1">
      <c r="A16" s="1213" t="s">
        <v>735</v>
      </c>
      <c r="B16" s="1213" t="s">
        <v>1710</v>
      </c>
      <c r="C16" s="1214"/>
      <c r="D16" s="1214"/>
      <c r="E16" s="1214"/>
      <c r="F16" s="1213" t="s">
        <v>2</v>
      </c>
      <c r="G16" s="1213" t="s">
        <v>3324</v>
      </c>
      <c r="H16" s="1214"/>
      <c r="I16" s="1215">
        <v>226.92</v>
      </c>
      <c r="J16" s="1215">
        <v>0</v>
      </c>
      <c r="K16" s="1215">
        <v>226.92</v>
      </c>
      <c r="L16" s="653" t="str">
        <f t="shared" si="2"/>
        <v>236</v>
      </c>
      <c r="M16" s="654" t="str">
        <f t="shared" si="0"/>
        <v>HEURES VENDU VW - SERVICE</v>
      </c>
      <c r="N16" s="655">
        <f>+IF(OR($Q16=Parametres!$G$2,$Q16=Parametres!$G$3),I16,C16)</f>
        <v>226.92</v>
      </c>
      <c r="O16" s="655">
        <f>+IF(OR($Q16=Parametres!$G$2,$Q16=Parametres!$G$3),J16,D16)</f>
        <v>0</v>
      </c>
      <c r="P16" s="655">
        <f>+IF(OR($Q16=Parametres!$G$2,$Q16=Parametres!$G$3),K16,E16)</f>
        <v>226.92</v>
      </c>
      <c r="Q16" s="654" t="str">
        <f t="shared" ref="Q16:S16" si="16">+F16</f>
        <v>1-Mémo</v>
      </c>
      <c r="R16" s="653" t="str">
        <f t="shared" si="16"/>
        <v>23</v>
      </c>
      <c r="S16" s="654">
        <f t="shared" si="16"/>
        <v>0</v>
      </c>
      <c r="T16" s="656" t="str">
        <f>+VLOOKUP($L16,Data_Validation!$A:$D,1,0)</f>
        <v>236</v>
      </c>
      <c r="U16" s="656">
        <f>+VLOOKUP($L16,Data_Validation!$A:$D,3,0)</f>
        <v>0</v>
      </c>
      <c r="V16" s="656">
        <f>+VLOOKUP($L16,Data_Validation!$A:$D,4,0)</f>
        <v>0</v>
      </c>
      <c r="W16" s="656">
        <f>+VLOOKUP($L16,Data_Validation!$A:$E,5,0)</f>
        <v>0</v>
      </c>
      <c r="X16" s="656">
        <f>+VLOOKUP($L16,Data_Validation!$A:$F,6,0)</f>
        <v>0</v>
      </c>
    </row>
    <row r="17" spans="1:24" ht="15" hidden="1" customHeight="1">
      <c r="A17" s="1213" t="s">
        <v>736</v>
      </c>
      <c r="B17" s="1213" t="s">
        <v>1713</v>
      </c>
      <c r="C17" s="1214"/>
      <c r="D17" s="1214"/>
      <c r="E17" s="1214"/>
      <c r="F17" s="1213" t="s">
        <v>2</v>
      </c>
      <c r="G17" s="1213" t="s">
        <v>3324</v>
      </c>
      <c r="H17" s="1214"/>
      <c r="I17" s="1215">
        <v>255.12</v>
      </c>
      <c r="J17" s="1215">
        <v>0</v>
      </c>
      <c r="K17" s="1215">
        <v>255.12</v>
      </c>
      <c r="L17" s="653" t="str">
        <f t="shared" si="2"/>
        <v>238</v>
      </c>
      <c r="M17" s="654" t="str">
        <f t="shared" si="0"/>
        <v>TOT. HEURES DISP. SERVICE</v>
      </c>
      <c r="N17" s="655">
        <f>+IF(OR($Q17=Parametres!$G$2,$Q17=Parametres!$G$3),I17,C17)</f>
        <v>255.12</v>
      </c>
      <c r="O17" s="655">
        <f>+IF(OR($Q17=Parametres!$G$2,$Q17=Parametres!$G$3),J17,D17)</f>
        <v>0</v>
      </c>
      <c r="P17" s="655">
        <f>+IF(OR($Q17=Parametres!$G$2,$Q17=Parametres!$G$3),K17,E17)</f>
        <v>255.12</v>
      </c>
      <c r="Q17" s="654" t="str">
        <f t="shared" ref="Q17:S17" si="17">+F17</f>
        <v>1-Mémo</v>
      </c>
      <c r="R17" s="653" t="str">
        <f t="shared" si="17"/>
        <v>23</v>
      </c>
      <c r="S17" s="654">
        <f t="shared" si="17"/>
        <v>0</v>
      </c>
      <c r="T17" s="656" t="str">
        <f>+VLOOKUP($L17,Data_Validation!$A:$D,1,0)</f>
        <v>238</v>
      </c>
      <c r="U17" s="656">
        <f>+VLOOKUP($L17,Data_Validation!$A:$D,3,0)</f>
        <v>0</v>
      </c>
      <c r="V17" s="656">
        <f>+VLOOKUP($L17,Data_Validation!$A:$D,4,0)</f>
        <v>0</v>
      </c>
      <c r="W17" s="656">
        <f>+VLOOKUP($L17,Data_Validation!$A:$E,5,0)</f>
        <v>0</v>
      </c>
      <c r="X17" s="656">
        <f>+VLOOKUP($L17,Data_Validation!$A:$F,6,0)</f>
        <v>0</v>
      </c>
    </row>
    <row r="18" spans="1:24" ht="15" hidden="1" customHeight="1">
      <c r="A18" s="1213" t="s">
        <v>3659</v>
      </c>
      <c r="B18" s="1213" t="s">
        <v>1718</v>
      </c>
      <c r="C18" s="1214"/>
      <c r="D18" s="1214"/>
      <c r="E18" s="1214"/>
      <c r="F18" s="1213" t="s">
        <v>2</v>
      </c>
      <c r="G18" s="1213" t="s">
        <v>3325</v>
      </c>
      <c r="H18" s="1214"/>
      <c r="I18" s="1215">
        <v>151.94999999999999</v>
      </c>
      <c r="J18" s="1215">
        <v>0</v>
      </c>
      <c r="K18" s="1215">
        <v>151.94999999999999</v>
      </c>
      <c r="L18" s="653" t="str">
        <f t="shared" si="2"/>
        <v>243</v>
      </c>
      <c r="M18" s="654" t="str">
        <f t="shared" si="0"/>
        <v>TAUX MAIN D'OEUVRE - VW - MCI - CLIENT</v>
      </c>
      <c r="N18" s="655">
        <f>+IF(OR($Q18=Parametres!$G$2,$Q18=Parametres!$G$3),I18,C18)</f>
        <v>151.94999999999999</v>
      </c>
      <c r="O18" s="655">
        <f>+IF(OR($Q18=Parametres!$G$2,$Q18=Parametres!$G$3),J18,D18)</f>
        <v>0</v>
      </c>
      <c r="P18" s="655">
        <f>+IF(OR($Q18=Parametres!$G$2,$Q18=Parametres!$G$3),K18,E18)</f>
        <v>151.94999999999999</v>
      </c>
      <c r="Q18" s="654" t="str">
        <f t="shared" ref="Q18:S18" si="18">+F18</f>
        <v>1-Mémo</v>
      </c>
      <c r="R18" s="653" t="str">
        <f t="shared" si="18"/>
        <v>24</v>
      </c>
      <c r="S18" s="654">
        <f t="shared" si="18"/>
        <v>0</v>
      </c>
      <c r="T18" s="656" t="str">
        <f>+VLOOKUP($L18,Data_Validation!$A:$D,1,0)</f>
        <v>243</v>
      </c>
      <c r="U18" s="656">
        <f>+VLOOKUP($L18,Data_Validation!$A:$D,3,0)</f>
        <v>0</v>
      </c>
      <c r="V18" s="656">
        <f>+VLOOKUP($L18,Data_Validation!$A:$D,4,0)</f>
        <v>0</v>
      </c>
      <c r="W18" s="656">
        <f>+VLOOKUP($L18,Data_Validation!$A:$E,5,0)</f>
        <v>0</v>
      </c>
      <c r="X18" s="656">
        <f>+VLOOKUP($L18,Data_Validation!$A:$F,6,0)</f>
        <v>0</v>
      </c>
    </row>
    <row r="19" spans="1:24" ht="15" hidden="1" customHeight="1">
      <c r="A19" s="1213" t="s">
        <v>3660</v>
      </c>
      <c r="B19" s="1213" t="s">
        <v>1721</v>
      </c>
      <c r="C19" s="1214"/>
      <c r="D19" s="1214"/>
      <c r="E19" s="1214"/>
      <c r="F19" s="1213" t="s">
        <v>2</v>
      </c>
      <c r="G19" s="1213" t="s">
        <v>3325</v>
      </c>
      <c r="H19" s="1214"/>
      <c r="I19" s="1215">
        <v>138.4</v>
      </c>
      <c r="J19" s="1215">
        <v>0</v>
      </c>
      <c r="K19" s="1215">
        <v>138.4</v>
      </c>
      <c r="L19" s="653" t="str">
        <f t="shared" si="2"/>
        <v>244</v>
      </c>
      <c r="M19" s="654" t="str">
        <f t="shared" si="0"/>
        <v>TAUX MAIN D'OEUVRE - VW - MCI - GARANTIE</v>
      </c>
      <c r="N19" s="655">
        <f>+IF(OR($Q19=Parametres!$G$2,$Q19=Parametres!$G$3),I19,C19)</f>
        <v>138.4</v>
      </c>
      <c r="O19" s="659">
        <f>+IF(OR($Q19=Parametres!$G$2,$Q19=Parametres!$G$3),J19,D19)</f>
        <v>0</v>
      </c>
      <c r="P19" s="655">
        <f>+IF(OR($Q19=Parametres!$G$2,$Q19=Parametres!$G$3),K19,E19)</f>
        <v>138.4</v>
      </c>
      <c r="Q19" s="654" t="str">
        <f t="shared" ref="Q19:S19" si="19">+F19</f>
        <v>1-Mémo</v>
      </c>
      <c r="R19" s="653" t="str">
        <f t="shared" si="19"/>
        <v>24</v>
      </c>
      <c r="S19" s="654">
        <f t="shared" si="19"/>
        <v>0</v>
      </c>
      <c r="T19" s="656" t="str">
        <f>+VLOOKUP($L19,Data_Validation!$A:$D,1,0)</f>
        <v>244</v>
      </c>
      <c r="U19" s="656">
        <f>+VLOOKUP($L19,Data_Validation!$A:$D,3,0)</f>
        <v>0</v>
      </c>
      <c r="V19" s="656">
        <f>+VLOOKUP($L19,Data_Validation!$A:$D,4,0)</f>
        <v>0</v>
      </c>
      <c r="W19" s="656">
        <f>+VLOOKUP($L19,Data_Validation!$A:$E,5,0)</f>
        <v>0</v>
      </c>
      <c r="X19" s="656">
        <f>+VLOOKUP($L19,Data_Validation!$A:$F,6,0)</f>
        <v>0</v>
      </c>
    </row>
    <row r="20" spans="1:24" ht="15" hidden="1" customHeight="1">
      <c r="A20" s="1213" t="s">
        <v>3661</v>
      </c>
      <c r="B20" s="1213" t="s">
        <v>1724</v>
      </c>
      <c r="C20" s="1214"/>
      <c r="D20" s="1214"/>
      <c r="E20" s="1214"/>
      <c r="F20" s="1213" t="s">
        <v>2</v>
      </c>
      <c r="G20" s="1213" t="s">
        <v>3325</v>
      </c>
      <c r="H20" s="1214"/>
      <c r="I20" s="1215">
        <v>151.94999999999999</v>
      </c>
      <c r="J20" s="1215">
        <v>0</v>
      </c>
      <c r="K20" s="1215">
        <v>151.94999999999999</v>
      </c>
      <c r="L20" s="653" t="str">
        <f t="shared" si="2"/>
        <v>245</v>
      </c>
      <c r="M20" s="654" t="str">
        <f t="shared" si="0"/>
        <v>TAUX MAIN D'OEUVRE - VW - MCI - INTERNE</v>
      </c>
      <c r="N20" s="655">
        <f>+IF(OR($Q20=Parametres!$G$2,$Q20=Parametres!$G$3),I20,C20)</f>
        <v>151.94999999999999</v>
      </c>
      <c r="O20" s="655">
        <f>+IF(OR($Q20=Parametres!$G$2,$Q20=Parametres!$G$3),J20,D20)</f>
        <v>0</v>
      </c>
      <c r="P20" s="655">
        <f>+IF(OR($Q20=Parametres!$G$2,$Q20=Parametres!$G$3),K20,E20)</f>
        <v>151.94999999999999</v>
      </c>
      <c r="Q20" s="654" t="str">
        <f t="shared" ref="Q20:S20" si="20">+F20</f>
        <v>1-Mémo</v>
      </c>
      <c r="R20" s="653" t="str">
        <f t="shared" si="20"/>
        <v>24</v>
      </c>
      <c r="S20" s="654">
        <f t="shared" si="20"/>
        <v>0</v>
      </c>
      <c r="T20" s="656" t="str">
        <f>+VLOOKUP($L20,Data_Validation!$A:$D,1,0)</f>
        <v>245</v>
      </c>
      <c r="U20" s="656">
        <f>+VLOOKUP($L20,Data_Validation!$A:$D,3,0)</f>
        <v>0</v>
      </c>
      <c r="V20" s="656">
        <f>+VLOOKUP($L20,Data_Validation!$A:$D,4,0)</f>
        <v>0</v>
      </c>
      <c r="W20" s="656">
        <f>+VLOOKUP($L20,Data_Validation!$A:$E,5,0)</f>
        <v>0</v>
      </c>
      <c r="X20" s="656">
        <f>+VLOOKUP($L20,Data_Validation!$A:$F,6,0)</f>
        <v>0</v>
      </c>
    </row>
    <row r="21" spans="1:24" ht="15" hidden="1" customHeight="1">
      <c r="A21" s="1213" t="s">
        <v>3662</v>
      </c>
      <c r="B21" s="1213" t="s">
        <v>1727</v>
      </c>
      <c r="C21" s="1214"/>
      <c r="D21" s="1214"/>
      <c r="E21" s="1214"/>
      <c r="F21" s="1213" t="s">
        <v>2</v>
      </c>
      <c r="G21" s="1213" t="s">
        <v>3325</v>
      </c>
      <c r="H21" s="1214"/>
      <c r="I21" s="1215">
        <v>68</v>
      </c>
      <c r="J21" s="1215">
        <v>0</v>
      </c>
      <c r="K21" s="1215">
        <v>68</v>
      </c>
      <c r="L21" s="653" t="str">
        <f t="shared" si="2"/>
        <v>246</v>
      </c>
      <c r="M21" s="654" t="str">
        <f t="shared" si="0"/>
        <v>TAUX MAIN D'OEUVRE - VW - MCI - CARROSSERIE</v>
      </c>
      <c r="N21" s="655">
        <f>+IF(OR($Q21=Parametres!$G$2,$Q21=Parametres!$G$3),I21,C21)</f>
        <v>68</v>
      </c>
      <c r="O21" s="655">
        <f>+IF(OR($Q21=Parametres!$G$2,$Q21=Parametres!$G$3),J21,D21)</f>
        <v>0</v>
      </c>
      <c r="P21" s="655">
        <f>+IF(OR($Q21=Parametres!$G$2,$Q21=Parametres!$G$3),K21,E21)</f>
        <v>68</v>
      </c>
      <c r="Q21" s="654" t="str">
        <f t="shared" ref="Q21:S21" si="21">+F21</f>
        <v>1-Mémo</v>
      </c>
      <c r="R21" s="653" t="str">
        <f t="shared" si="21"/>
        <v>24</v>
      </c>
      <c r="S21" s="654">
        <f t="shared" si="21"/>
        <v>0</v>
      </c>
      <c r="T21" s="656" t="str">
        <f>+VLOOKUP($L21,Data_Validation!$A:$D,1,0)</f>
        <v>246</v>
      </c>
      <c r="U21" s="656">
        <f>+VLOOKUP($L21,Data_Validation!$A:$D,3,0)</f>
        <v>0</v>
      </c>
      <c r="V21" s="656">
        <f>+VLOOKUP($L21,Data_Validation!$A:$D,4,0)</f>
        <v>0</v>
      </c>
      <c r="W21" s="656">
        <f>+VLOOKUP($L21,Data_Validation!$A:$E,5,0)</f>
        <v>0</v>
      </c>
      <c r="X21" s="656">
        <f>+VLOOKUP($L21,Data_Validation!$A:$F,6,0)</f>
        <v>0</v>
      </c>
    </row>
    <row r="22" spans="1:24" ht="15" hidden="1" customHeight="1">
      <c r="A22" s="1213" t="s">
        <v>741</v>
      </c>
      <c r="B22" s="1213" t="s">
        <v>742</v>
      </c>
      <c r="C22" s="1214"/>
      <c r="D22" s="1214"/>
      <c r="E22" s="1214"/>
      <c r="F22" s="1213" t="s">
        <v>2</v>
      </c>
      <c r="G22" s="1213" t="s">
        <v>742</v>
      </c>
      <c r="H22" s="1214"/>
      <c r="I22" s="1215">
        <v>0.08</v>
      </c>
      <c r="J22" s="1215">
        <v>0</v>
      </c>
      <c r="K22" s="1215">
        <v>0.08</v>
      </c>
      <c r="L22" s="653" t="str">
        <f t="shared" si="2"/>
        <v>255</v>
      </c>
      <c r="M22" s="654" t="str">
        <f t="shared" si="0"/>
        <v>BAIES TRAVAIL PRODUCTIVES - SERVICE VW</v>
      </c>
      <c r="N22" s="655">
        <f>+IF(OR($Q22=Parametres!$G$2,$Q22=Parametres!$G$3),I22,C22)</f>
        <v>0.08</v>
      </c>
      <c r="O22" s="655">
        <f>+IF(OR($Q22=Parametres!$G$2,$Q22=Parametres!$G$3),J22,D22)</f>
        <v>0</v>
      </c>
      <c r="P22" s="655">
        <f>+IF(OR($Q22=Parametres!$G$2,$Q22=Parametres!$G$3),K22,E22)</f>
        <v>0.08</v>
      </c>
      <c r="Q22" s="654" t="str">
        <f t="shared" ref="Q22:S22" si="22">+F22</f>
        <v>1-Mémo</v>
      </c>
      <c r="R22" s="653" t="str">
        <f t="shared" si="22"/>
        <v>255</v>
      </c>
      <c r="S22" s="654">
        <f t="shared" si="22"/>
        <v>0</v>
      </c>
      <c r="T22" s="656" t="str">
        <f>+VLOOKUP($L22,Data_Validation!$A:$D,1,0)</f>
        <v>255</v>
      </c>
      <c r="U22" s="656">
        <f>+VLOOKUP($L22,Data_Validation!$A:$D,3,0)</f>
        <v>0</v>
      </c>
      <c r="V22" s="656">
        <f>+VLOOKUP($L22,Data_Validation!$A:$D,4,0)</f>
        <v>0</v>
      </c>
      <c r="W22" s="656">
        <f>+VLOOKUP($L22,Data_Validation!$A:$E,5,0)</f>
        <v>0</v>
      </c>
      <c r="X22" s="656">
        <f>+VLOOKUP($L22,Data_Validation!$A:$F,6,0)</f>
        <v>0</v>
      </c>
    </row>
    <row r="23" spans="1:24" ht="15" hidden="1" customHeight="1">
      <c r="A23" s="1213" t="s">
        <v>3663</v>
      </c>
      <c r="B23" s="1213" t="s">
        <v>744</v>
      </c>
      <c r="C23" s="1214"/>
      <c r="D23" s="1214"/>
      <c r="E23" s="1214"/>
      <c r="F23" s="1213" t="s">
        <v>2</v>
      </c>
      <c r="G23" s="1213" t="s">
        <v>744</v>
      </c>
      <c r="H23" s="1214"/>
      <c r="I23" s="1215">
        <v>12620.11</v>
      </c>
      <c r="J23" s="1215">
        <v>0</v>
      </c>
      <c r="K23" s="1215">
        <v>12620.11</v>
      </c>
      <c r="L23" s="653" t="str">
        <f t="shared" si="2"/>
        <v>257</v>
      </c>
      <c r="M23" s="654" t="str">
        <f t="shared" si="0"/>
        <v>HEURES VENDUES - SVC - VW - MCI - CLIENT</v>
      </c>
      <c r="N23" s="655">
        <f>+IF(OR($Q23=Parametres!$G$2,$Q23=Parametres!$G$3),I23,C23)</f>
        <v>12620.11</v>
      </c>
      <c r="O23" s="655">
        <f>+IF(OR($Q23=Parametres!$G$2,$Q23=Parametres!$G$3),J23,D23)</f>
        <v>0</v>
      </c>
      <c r="P23" s="655">
        <f>+IF(OR($Q23=Parametres!$G$2,$Q23=Parametres!$G$3),K23,E23)</f>
        <v>12620.11</v>
      </c>
      <c r="Q23" s="654" t="str">
        <f t="shared" ref="Q23:S23" si="23">+F23</f>
        <v>1-Mémo</v>
      </c>
      <c r="R23" s="653" t="str">
        <f t="shared" si="23"/>
        <v>257</v>
      </c>
      <c r="S23" s="654">
        <f t="shared" si="23"/>
        <v>0</v>
      </c>
      <c r="T23" s="656" t="str">
        <f>+VLOOKUP($L23,Data_Validation!$A:$D,1,0)</f>
        <v>257</v>
      </c>
      <c r="U23" s="656">
        <f>+VLOOKUP($L23,Data_Validation!$A:$D,3,0)</f>
        <v>0</v>
      </c>
      <c r="V23" s="656">
        <f>+VLOOKUP($L23,Data_Validation!$A:$D,4,0)</f>
        <v>0</v>
      </c>
      <c r="W23" s="656">
        <f>+VLOOKUP($L23,Data_Validation!$A:$E,5,0)</f>
        <v>0</v>
      </c>
      <c r="X23" s="656">
        <f>+VLOOKUP($L23,Data_Validation!$A:$F,6,0)</f>
        <v>0</v>
      </c>
    </row>
    <row r="24" spans="1:24" ht="15" hidden="1" customHeight="1">
      <c r="A24" s="1213" t="s">
        <v>3664</v>
      </c>
      <c r="B24" s="1213" t="s">
        <v>1750</v>
      </c>
      <c r="C24" s="1214"/>
      <c r="D24" s="1214"/>
      <c r="E24" s="1214"/>
      <c r="F24" s="1213" t="s">
        <v>2</v>
      </c>
      <c r="G24" s="1213" t="s">
        <v>744</v>
      </c>
      <c r="H24" s="1214"/>
      <c r="I24" s="1215">
        <v>3791.69</v>
      </c>
      <c r="J24" s="1215">
        <v>0</v>
      </c>
      <c r="K24" s="1215">
        <v>3791.69</v>
      </c>
      <c r="L24" s="653" t="str">
        <f t="shared" si="2"/>
        <v>258</v>
      </c>
      <c r="M24" s="654" t="str">
        <f t="shared" si="0"/>
        <v>HEURES VENDUES - SVC - VW - MCI - GARANTIE</v>
      </c>
      <c r="N24" s="655">
        <f>+IF(OR($Q24=Parametres!$G$2,$Q24=Parametres!$G$3),I24,C24)</f>
        <v>3791.69</v>
      </c>
      <c r="O24" s="655">
        <f>+IF(OR($Q24=Parametres!$G$2,$Q24=Parametres!$G$3),J24,D24)</f>
        <v>0</v>
      </c>
      <c r="P24" s="655">
        <f>+IF(OR($Q24=Parametres!$G$2,$Q24=Parametres!$G$3),K24,E24)</f>
        <v>3791.69</v>
      </c>
      <c r="Q24" s="654" t="str">
        <f t="shared" ref="Q24:S24" si="24">+F24</f>
        <v>1-Mémo</v>
      </c>
      <c r="R24" s="653" t="str">
        <f t="shared" si="24"/>
        <v>257</v>
      </c>
      <c r="S24" s="654">
        <f t="shared" si="24"/>
        <v>0</v>
      </c>
      <c r="T24" s="656" t="str">
        <f>+VLOOKUP($L24,Data_Validation!$A:$D,1,0)</f>
        <v>258</v>
      </c>
      <c r="U24" s="656">
        <f>+VLOOKUP($L24,Data_Validation!$A:$D,3,0)</f>
        <v>0</v>
      </c>
      <c r="V24" s="656">
        <f>+VLOOKUP($L24,Data_Validation!$A:$D,4,0)</f>
        <v>0</v>
      </c>
      <c r="W24" s="656">
        <f>+VLOOKUP($L24,Data_Validation!$A:$E,5,0)</f>
        <v>0</v>
      </c>
      <c r="X24" s="656">
        <f>+VLOOKUP($L24,Data_Validation!$A:$F,6,0)</f>
        <v>0</v>
      </c>
    </row>
    <row r="25" spans="1:24" ht="15" hidden="1" customHeight="1">
      <c r="A25" s="1213" t="s">
        <v>3665</v>
      </c>
      <c r="B25" s="1213" t="s">
        <v>1753</v>
      </c>
      <c r="C25" s="1214"/>
      <c r="D25" s="1214"/>
      <c r="E25" s="1214"/>
      <c r="F25" s="1213" t="s">
        <v>2</v>
      </c>
      <c r="G25" s="1213" t="s">
        <v>744</v>
      </c>
      <c r="H25" s="1214"/>
      <c r="I25" s="1215">
        <v>6279.02</v>
      </c>
      <c r="J25" s="1215">
        <v>0</v>
      </c>
      <c r="K25" s="1215">
        <v>6279.02</v>
      </c>
      <c r="L25" s="653" t="str">
        <f t="shared" si="2"/>
        <v>259</v>
      </c>
      <c r="M25" s="654" t="str">
        <f t="shared" si="0"/>
        <v>HEURES VENDUES - SVC - VW - MCI - INTERNE</v>
      </c>
      <c r="N25" s="655">
        <f>+IF(OR($Q25=Parametres!$G$2,$Q25=Parametres!$G$3),I25,C25)</f>
        <v>6279.02</v>
      </c>
      <c r="O25" s="655">
        <f>+IF(OR($Q25=Parametres!$G$2,$Q25=Parametres!$G$3),J25,D25)</f>
        <v>0</v>
      </c>
      <c r="P25" s="655">
        <f>+IF(OR($Q25=Parametres!$G$2,$Q25=Parametres!$G$3),K25,E25)</f>
        <v>6279.02</v>
      </c>
      <c r="Q25" s="654" t="str">
        <f t="shared" ref="Q25:S25" si="25">+F25</f>
        <v>1-Mémo</v>
      </c>
      <c r="R25" s="653" t="str">
        <f t="shared" si="25"/>
        <v>257</v>
      </c>
      <c r="S25" s="654">
        <f t="shared" si="25"/>
        <v>0</v>
      </c>
      <c r="T25" s="656" t="str">
        <f>+VLOOKUP($L25,Data_Validation!$A:$D,1,0)</f>
        <v>259</v>
      </c>
      <c r="U25" s="656">
        <f>+VLOOKUP($L25,Data_Validation!$A:$D,3,0)</f>
        <v>0</v>
      </c>
      <c r="V25" s="656">
        <f>+VLOOKUP($L25,Data_Validation!$A:$D,4,0)</f>
        <v>0</v>
      </c>
      <c r="W25" s="656">
        <f>+VLOOKUP($L25,Data_Validation!$A:$E,5,0)</f>
        <v>0</v>
      </c>
      <c r="X25" s="656">
        <f>+VLOOKUP($L25,Data_Validation!$A:$F,6,0)</f>
        <v>0</v>
      </c>
    </row>
    <row r="26" spans="1:24" ht="15.75" hidden="1" customHeight="1">
      <c r="A26" s="1213" t="s">
        <v>3902</v>
      </c>
      <c r="B26" s="1213" t="s">
        <v>3903</v>
      </c>
      <c r="C26" s="1214"/>
      <c r="D26" s="1214"/>
      <c r="E26" s="1214"/>
      <c r="F26" s="1213" t="s">
        <v>2</v>
      </c>
      <c r="G26" s="1213" t="s">
        <v>3904</v>
      </c>
      <c r="H26" s="1214"/>
      <c r="I26" s="1215">
        <v>151.94999999999999</v>
      </c>
      <c r="J26" s="1215">
        <v>0</v>
      </c>
      <c r="K26" s="1215">
        <v>151.94999999999999</v>
      </c>
      <c r="L26" s="653" t="str">
        <f t="shared" si="2"/>
        <v>266</v>
      </c>
      <c r="M26" s="654" t="str">
        <f t="shared" si="0"/>
        <v>TAUX MAIN D'OEUVRE - CLIENT - VW - VEB</v>
      </c>
      <c r="N26" s="655">
        <f>+IF(OR($Q26=Parametres!$G$2,$Q26=Parametres!$G$3),I26,C26)</f>
        <v>151.94999999999999</v>
      </c>
      <c r="O26" s="655">
        <f>+IF(OR($Q26=Parametres!$G$2,$Q26=Parametres!$G$3),J26,D26)</f>
        <v>0</v>
      </c>
      <c r="P26" s="655">
        <f>+IF(OR($Q26=Parametres!$G$2,$Q26=Parametres!$G$3),K26,E26)</f>
        <v>151.94999999999999</v>
      </c>
      <c r="Q26" s="654" t="str">
        <f t="shared" ref="Q26:S26" si="26">+F26</f>
        <v>1-Mémo</v>
      </c>
      <c r="R26" s="653" t="str">
        <f t="shared" si="26"/>
        <v>26</v>
      </c>
      <c r="S26" s="654">
        <f t="shared" si="26"/>
        <v>0</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hidden="1" customHeight="1">
      <c r="A27" s="1213" t="s">
        <v>3905</v>
      </c>
      <c r="B27" s="1213" t="s">
        <v>3906</v>
      </c>
      <c r="C27" s="1214"/>
      <c r="D27" s="1214"/>
      <c r="E27" s="1214"/>
      <c r="F27" s="1213" t="s">
        <v>2</v>
      </c>
      <c r="G27" s="1213" t="s">
        <v>3904</v>
      </c>
      <c r="H27" s="1214"/>
      <c r="I27" s="1215">
        <v>138.4</v>
      </c>
      <c r="J27" s="1215">
        <v>0</v>
      </c>
      <c r="K27" s="1215">
        <v>138.4</v>
      </c>
      <c r="L27" s="653" t="str">
        <f t="shared" si="2"/>
        <v>267</v>
      </c>
      <c r="M27" s="654" t="str">
        <f t="shared" si="0"/>
        <v>TAUX MAIN D'OEUVRE - GARANTIE - VW - VEB</v>
      </c>
      <c r="N27" s="655">
        <f>+IF(OR($Q27=Parametres!$G$2,$Q27=Parametres!$G$3),I27,C27)</f>
        <v>138.4</v>
      </c>
      <c r="O27" s="655">
        <f>+IF(OR($Q27=Parametres!$G$2,$Q27=Parametres!$G$3),J27,D27)</f>
        <v>0</v>
      </c>
      <c r="P27" s="655">
        <f>+IF(OR($Q27=Parametres!$G$2,$Q27=Parametres!$G$3),K27,E27)</f>
        <v>138.4</v>
      </c>
      <c r="Q27" s="654" t="str">
        <f t="shared" ref="Q27:S27" si="27">+F27</f>
        <v>1-Mémo</v>
      </c>
      <c r="R27" s="653" t="str">
        <f t="shared" si="27"/>
        <v>26</v>
      </c>
      <c r="S27" s="654">
        <f t="shared" si="27"/>
        <v>0</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hidden="1" customHeight="1">
      <c r="A28" s="1213" t="s">
        <v>3907</v>
      </c>
      <c r="B28" s="1213" t="s">
        <v>3908</v>
      </c>
      <c r="C28" s="1214"/>
      <c r="D28" s="1214"/>
      <c r="E28" s="1214"/>
      <c r="F28" s="1213" t="s">
        <v>2</v>
      </c>
      <c r="G28" s="1213" t="s">
        <v>3904</v>
      </c>
      <c r="H28" s="1214"/>
      <c r="I28" s="1215">
        <v>151.94999999999999</v>
      </c>
      <c r="J28" s="1215">
        <v>0</v>
      </c>
      <c r="K28" s="1215">
        <v>151.94999999999999</v>
      </c>
      <c r="L28" s="653" t="str">
        <f t="shared" si="2"/>
        <v>268</v>
      </c>
      <c r="M28" s="654" t="str">
        <f t="shared" si="0"/>
        <v>TAUX MAIN D'OEUVRE - INTERNE - VW - VEB</v>
      </c>
      <c r="N28" s="655">
        <f>+IF(OR($Q28=Parametres!$G$2,$Q28=Parametres!$G$3),I28,C28)</f>
        <v>151.94999999999999</v>
      </c>
      <c r="O28" s="655">
        <f>+IF(OR($Q28=Parametres!$G$2,$Q28=Parametres!$G$3),J28,D28)</f>
        <v>0</v>
      </c>
      <c r="P28" s="655">
        <f>+IF(OR($Q28=Parametres!$G$2,$Q28=Parametres!$G$3),K28,E28)</f>
        <v>151.94999999999999</v>
      </c>
      <c r="Q28" s="654" t="str">
        <f t="shared" ref="Q28:S28" si="28">+F28</f>
        <v>1-Mémo</v>
      </c>
      <c r="R28" s="653" t="str">
        <f t="shared" si="28"/>
        <v>26</v>
      </c>
      <c r="S28" s="654">
        <f t="shared" si="28"/>
        <v>0</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hidden="1" customHeight="1">
      <c r="A29" s="1213" t="s">
        <v>3909</v>
      </c>
      <c r="B29" s="1213" t="s">
        <v>3910</v>
      </c>
      <c r="C29" s="1214"/>
      <c r="D29" s="1214"/>
      <c r="E29" s="1214"/>
      <c r="F29" s="1213" t="s">
        <v>2</v>
      </c>
      <c r="G29" s="1213" t="s">
        <v>3904</v>
      </c>
      <c r="H29" s="1214"/>
      <c r="I29" s="1215">
        <v>68</v>
      </c>
      <c r="J29" s="1215">
        <v>0</v>
      </c>
      <c r="K29" s="1215">
        <v>68</v>
      </c>
      <c r="L29" s="653" t="str">
        <f t="shared" si="2"/>
        <v>269</v>
      </c>
      <c r="M29" s="654" t="str">
        <f t="shared" si="0"/>
        <v>TAUX MAIN D'OEUVRE - BODY - VW - VEB</v>
      </c>
      <c r="N29" s="655">
        <f>+IF(OR($Q29=Parametres!$G$2,$Q29=Parametres!$G$3),I29,C29)</f>
        <v>68</v>
      </c>
      <c r="O29" s="655">
        <f>+IF(OR($Q29=Parametres!$G$2,$Q29=Parametres!$G$3),J29,D29)</f>
        <v>0</v>
      </c>
      <c r="P29" s="655">
        <f>+IF(OR($Q29=Parametres!$G$2,$Q29=Parametres!$G$3),K29,E29)</f>
        <v>68</v>
      </c>
      <c r="Q29" s="654" t="str">
        <f t="shared" ref="Q29:S29" si="29">+F29</f>
        <v>1-Mémo</v>
      </c>
      <c r="R29" s="653" t="str">
        <f t="shared" si="29"/>
        <v>26</v>
      </c>
      <c r="S29" s="654">
        <f t="shared" si="29"/>
        <v>0</v>
      </c>
      <c r="T29" s="656" t="e">
        <f>+VLOOKUP($L29,Data_Validation!$A:$D,1,0)</f>
        <v>#N/A</v>
      </c>
      <c r="U29" s="656" t="e">
        <f>+VLOOKUP($L29,Data_Validation!$A:$D,3,0)</f>
        <v>#N/A</v>
      </c>
      <c r="V29" s="656" t="e">
        <f>+VLOOKUP($L29,Data_Validation!$A:$D,4,0)</f>
        <v>#N/A</v>
      </c>
      <c r="W29" s="656" t="e">
        <f>+VLOOKUP($L29,Data_Validation!$A:$E,5,0)</f>
        <v>#N/A</v>
      </c>
      <c r="X29" s="656" t="e">
        <f>+VLOOKUP($L29,Data_Validation!$A:$F,6,0)</f>
        <v>#N/A</v>
      </c>
    </row>
    <row r="30" spans="1:24" ht="15" hidden="1" customHeight="1">
      <c r="A30" s="1213" t="s">
        <v>747</v>
      </c>
      <c r="B30" s="1213" t="s">
        <v>1763</v>
      </c>
      <c r="C30" s="1214"/>
      <c r="D30" s="1214"/>
      <c r="E30" s="1214"/>
      <c r="F30" s="1213" t="s">
        <v>2</v>
      </c>
      <c r="G30" s="1213" t="s">
        <v>748</v>
      </c>
      <c r="H30" s="1214"/>
      <c r="I30" s="1215">
        <v>1668261.12</v>
      </c>
      <c r="J30" s="1215">
        <v>0</v>
      </c>
      <c r="K30" s="1215">
        <v>1668261.12</v>
      </c>
      <c r="L30" s="653" t="str">
        <f t="shared" si="2"/>
        <v>300</v>
      </c>
      <c r="M30" s="654" t="str">
        <f t="shared" si="0"/>
        <v>REC VEH PASSE DU 30-60</v>
      </c>
      <c r="N30" s="655">
        <f>+IF(OR($Q30=Parametres!$G$2,$Q30=Parametres!$G$3),I30,C30)</f>
        <v>1668261.12</v>
      </c>
      <c r="O30" s="659">
        <f>+IF(OR($Q30=Parametres!$G$2,$Q30=Parametres!$G$3),J30,D30)</f>
        <v>0</v>
      </c>
      <c r="P30" s="655">
        <f>+IF(OR($Q30=Parametres!$G$2,$Q30=Parametres!$G$3),K30,E30)</f>
        <v>1668261.12</v>
      </c>
      <c r="Q30" s="654" t="str">
        <f t="shared" ref="Q30:S30" si="30">+F30</f>
        <v>1-Mémo</v>
      </c>
      <c r="R30" s="653" t="str">
        <f t="shared" si="30"/>
        <v>30</v>
      </c>
      <c r="S30" s="654">
        <f t="shared" si="30"/>
        <v>0</v>
      </c>
      <c r="T30" s="656" t="str">
        <f>+VLOOKUP($L30,Data_Validation!$A:$D,1,0)</f>
        <v>300</v>
      </c>
      <c r="U30" s="656">
        <f>+VLOOKUP($L30,Data_Validation!$A:$D,3,0)</f>
        <v>0</v>
      </c>
      <c r="V30" s="656">
        <f>+VLOOKUP($L30,Data_Validation!$A:$D,4,0)</f>
        <v>0</v>
      </c>
      <c r="W30" s="656">
        <f>+VLOOKUP($L30,Data_Validation!$A:$E,5,0)</f>
        <v>0</v>
      </c>
      <c r="X30" s="656">
        <f>+VLOOKUP($L30,Data_Validation!$A:$F,6,0)</f>
        <v>0</v>
      </c>
    </row>
    <row r="31" spans="1:24" ht="15" hidden="1" customHeight="1">
      <c r="A31" s="1213" t="s">
        <v>749</v>
      </c>
      <c r="B31" s="1213" t="s">
        <v>1774</v>
      </c>
      <c r="C31" s="1214"/>
      <c r="D31" s="1214"/>
      <c r="E31" s="1214"/>
      <c r="F31" s="1213" t="s">
        <v>2</v>
      </c>
      <c r="G31" s="1213" t="s">
        <v>748</v>
      </c>
      <c r="H31" s="1214"/>
      <c r="I31" s="1215">
        <v>430404</v>
      </c>
      <c r="J31" s="1215">
        <v>0</v>
      </c>
      <c r="K31" s="1215">
        <v>430404</v>
      </c>
      <c r="L31" s="653" t="str">
        <f t="shared" si="2"/>
        <v>301</v>
      </c>
      <c r="M31" s="654" t="str">
        <f t="shared" si="0"/>
        <v>CLIENT S P ET A PASSE DU 30-60</v>
      </c>
      <c r="N31" s="655">
        <f>+IF(OR($Q31=Parametres!$G$2,$Q31=Parametres!$G$3),I31,C31)</f>
        <v>430404</v>
      </c>
      <c r="O31" s="655">
        <f>+IF(OR($Q31=Parametres!$G$2,$Q31=Parametres!$G$3),J31,D31)</f>
        <v>0</v>
      </c>
      <c r="P31" s="655">
        <f>+IF(OR($Q31=Parametres!$G$2,$Q31=Parametres!$G$3),K31,E31)</f>
        <v>430404</v>
      </c>
      <c r="Q31" s="654" t="str">
        <f t="shared" ref="Q31:S31" si="31">+F31</f>
        <v>1-Mémo</v>
      </c>
      <c r="R31" s="653" t="str">
        <f t="shared" si="31"/>
        <v>30</v>
      </c>
      <c r="S31" s="654">
        <f t="shared" si="31"/>
        <v>0</v>
      </c>
      <c r="T31" s="656" t="str">
        <f>+VLOOKUP($L31,Data_Validation!$A:$D,1,0)</f>
        <v>301</v>
      </c>
      <c r="U31" s="656">
        <f>+VLOOKUP($L31,Data_Validation!$A:$D,3,0)</f>
        <v>0</v>
      </c>
      <c r="V31" s="656">
        <f>+VLOOKUP($L31,Data_Validation!$A:$D,4,0)</f>
        <v>0</v>
      </c>
      <c r="W31" s="656">
        <f>+VLOOKUP($L31,Data_Validation!$A:$E,5,0)</f>
        <v>0</v>
      </c>
      <c r="X31" s="656">
        <f>+VLOOKUP($L31,Data_Validation!$A:$F,6,0)</f>
        <v>0</v>
      </c>
    </row>
    <row r="32" spans="1:24" ht="15" hidden="1" customHeight="1">
      <c r="A32" s="1213" t="s">
        <v>750</v>
      </c>
      <c r="B32" s="1213" t="s">
        <v>1777</v>
      </c>
      <c r="C32" s="1214"/>
      <c r="D32" s="1214"/>
      <c r="E32" s="1214"/>
      <c r="F32" s="1213" t="s">
        <v>2</v>
      </c>
      <c r="G32" s="1213" t="s">
        <v>748</v>
      </c>
      <c r="H32" s="1214"/>
      <c r="I32" s="1215">
        <v>36338.19</v>
      </c>
      <c r="J32" s="1215">
        <v>0</v>
      </c>
      <c r="K32" s="1215">
        <v>36338.19</v>
      </c>
      <c r="L32" s="653" t="str">
        <f t="shared" si="2"/>
        <v>302</v>
      </c>
      <c r="M32" s="654" t="str">
        <f t="shared" si="0"/>
        <v>RECLAM GARANTIE VW PASSE DU 30-60</v>
      </c>
      <c r="N32" s="655">
        <f>+IF(OR($Q32=Parametres!$G$2,$Q32=Parametres!$G$3),I32,C32)</f>
        <v>36338.19</v>
      </c>
      <c r="O32" s="659">
        <f>+IF(OR($Q32=Parametres!$G$2,$Q32=Parametres!$G$3),J32,D32)</f>
        <v>0</v>
      </c>
      <c r="P32" s="655">
        <f>+IF(OR($Q32=Parametres!$G$2,$Q32=Parametres!$G$3),K32,E32)</f>
        <v>36338.19</v>
      </c>
      <c r="Q32" s="654" t="str">
        <f t="shared" ref="Q32:S32" si="32">+F32</f>
        <v>1-Mémo</v>
      </c>
      <c r="R32" s="653" t="str">
        <f t="shared" si="32"/>
        <v>30</v>
      </c>
      <c r="S32" s="654">
        <f t="shared" si="32"/>
        <v>0</v>
      </c>
      <c r="T32" s="656" t="str">
        <f>+VLOOKUP($L32,Data_Validation!$A:$D,1,0)</f>
        <v>302</v>
      </c>
      <c r="U32" s="656">
        <f>+VLOOKUP($L32,Data_Validation!$A:$D,3,0)</f>
        <v>0</v>
      </c>
      <c r="V32" s="656">
        <f>+VLOOKUP($L32,Data_Validation!$A:$D,4,0)</f>
        <v>0</v>
      </c>
      <c r="W32" s="656">
        <f>+VLOOKUP($L32,Data_Validation!$A:$E,5,0)</f>
        <v>0</v>
      </c>
      <c r="X32" s="656">
        <f>+VLOOKUP($L32,Data_Validation!$A:$F,6,0)</f>
        <v>0</v>
      </c>
    </row>
    <row r="33" spans="1:24" ht="15" hidden="1" customHeight="1">
      <c r="A33" s="1213" t="s">
        <v>751</v>
      </c>
      <c r="B33" s="1213" t="s">
        <v>1780</v>
      </c>
      <c r="C33" s="1214"/>
      <c r="D33" s="1214"/>
      <c r="E33" s="1214"/>
      <c r="F33" s="1213" t="s">
        <v>2</v>
      </c>
      <c r="G33" s="1213" t="s">
        <v>748</v>
      </c>
      <c r="H33" s="1214"/>
      <c r="I33" s="1215">
        <v>1762962.52</v>
      </c>
      <c r="J33" s="1215">
        <v>0</v>
      </c>
      <c r="K33" s="1215">
        <v>1762962.52</v>
      </c>
      <c r="L33" s="653" t="str">
        <f t="shared" si="2"/>
        <v>307</v>
      </c>
      <c r="M33" s="654" t="str">
        <f t="shared" si="0"/>
        <v>AUTRE REC MANUFACTURIER VW PASSE DU 30-60</v>
      </c>
      <c r="N33" s="655">
        <f>+IF(OR($Q33=Parametres!$G$2,$Q33=Parametres!$G$3),I33,C33)</f>
        <v>1762962.52</v>
      </c>
      <c r="O33" s="655">
        <f>+IF(OR($Q33=Parametres!$G$2,$Q33=Parametres!$G$3),J33,D33)</f>
        <v>0</v>
      </c>
      <c r="P33" s="655">
        <f>+IF(OR($Q33=Parametres!$G$2,$Q33=Parametres!$G$3),K33,E33)</f>
        <v>1762962.52</v>
      </c>
      <c r="Q33" s="654" t="str">
        <f t="shared" ref="Q33:S33" si="33">+F33</f>
        <v>1-Mémo</v>
      </c>
      <c r="R33" s="653" t="str">
        <f t="shared" si="33"/>
        <v>30</v>
      </c>
      <c r="S33" s="654">
        <f t="shared" si="33"/>
        <v>0</v>
      </c>
      <c r="T33" s="656" t="str">
        <f>+VLOOKUP($L33,Data_Validation!$A:$D,1,0)</f>
        <v>307</v>
      </c>
      <c r="U33" s="656">
        <f>+VLOOKUP($L33,Data_Validation!$A:$D,3,0)</f>
        <v>0</v>
      </c>
      <c r="V33" s="656">
        <f>+VLOOKUP($L33,Data_Validation!$A:$D,4,0)</f>
        <v>0</v>
      </c>
      <c r="W33" s="656">
        <f>+VLOOKUP($L33,Data_Validation!$A:$E,5,0)</f>
        <v>0</v>
      </c>
      <c r="X33" s="656">
        <f>+VLOOKUP($L33,Data_Validation!$A:$F,6,0)</f>
        <v>0</v>
      </c>
    </row>
    <row r="34" spans="1:24" ht="15.75" hidden="1" customHeight="1">
      <c r="A34" s="1213" t="s">
        <v>752</v>
      </c>
      <c r="B34" s="1213" t="s">
        <v>1783</v>
      </c>
      <c r="C34" s="1214"/>
      <c r="D34" s="1214"/>
      <c r="E34" s="1214"/>
      <c r="F34" s="1213" t="s">
        <v>2</v>
      </c>
      <c r="G34" s="1213" t="s">
        <v>3326</v>
      </c>
      <c r="H34" s="1214"/>
      <c r="I34" s="1215">
        <v>612927.97</v>
      </c>
      <c r="J34" s="1215">
        <v>0</v>
      </c>
      <c r="K34" s="1215">
        <v>612927.97</v>
      </c>
      <c r="L34" s="653" t="str">
        <f t="shared" si="2"/>
        <v>311</v>
      </c>
      <c r="M34" s="654" t="str">
        <f t="shared" si="0"/>
        <v>CLIENT VEH PLUS DE 60</v>
      </c>
      <c r="N34" s="655">
        <f>+IF(OR($Q34=Parametres!$G$2,$Q34=Parametres!$G$3),I34,C34)</f>
        <v>612927.97</v>
      </c>
      <c r="O34" s="655">
        <f>+IF(OR($Q34=Parametres!$G$2,$Q34=Parametres!$G$3),J34,D34)</f>
        <v>0</v>
      </c>
      <c r="P34" s="655">
        <f>+IF(OR($Q34=Parametres!$G$2,$Q34=Parametres!$G$3),K34,E34)</f>
        <v>612927.97</v>
      </c>
      <c r="Q34" s="654" t="str">
        <f t="shared" ref="Q34:S34" si="34">+F34</f>
        <v>1-Mémo</v>
      </c>
      <c r="R34" s="653" t="str">
        <f t="shared" si="34"/>
        <v>31</v>
      </c>
      <c r="S34" s="654">
        <f t="shared" si="34"/>
        <v>0</v>
      </c>
      <c r="T34" s="656" t="str">
        <f>+VLOOKUP($L34,Data_Validation!$A:$D,1,0)</f>
        <v>311</v>
      </c>
      <c r="U34" s="656">
        <f>+VLOOKUP($L34,Data_Validation!$A:$D,3,0)</f>
        <v>0</v>
      </c>
      <c r="V34" s="656">
        <f>+VLOOKUP($L34,Data_Validation!$A:$D,4,0)</f>
        <v>0</v>
      </c>
      <c r="W34" s="656">
        <f>+VLOOKUP($L34,Data_Validation!$A:$E,5,0)</f>
        <v>0</v>
      </c>
      <c r="X34" s="656">
        <f>+VLOOKUP($L34,Data_Validation!$A:$F,6,0)</f>
        <v>0</v>
      </c>
    </row>
    <row r="35" spans="1:24" ht="15" hidden="1" customHeight="1">
      <c r="A35" s="1213" t="s">
        <v>753</v>
      </c>
      <c r="B35" s="1213" t="s">
        <v>1786</v>
      </c>
      <c r="C35" s="1214"/>
      <c r="D35" s="1214"/>
      <c r="E35" s="1214"/>
      <c r="F35" s="1213" t="s">
        <v>2</v>
      </c>
      <c r="G35" s="1213" t="s">
        <v>3326</v>
      </c>
      <c r="H35" s="1214"/>
      <c r="I35" s="1215">
        <v>219621.25</v>
      </c>
      <c r="J35" s="1215">
        <v>0</v>
      </c>
      <c r="K35" s="1215">
        <v>219621.25</v>
      </c>
      <c r="L35" s="653" t="str">
        <f t="shared" si="2"/>
        <v>312</v>
      </c>
      <c r="M35" s="654" t="str">
        <f t="shared" si="0"/>
        <v>CLIENT S P ET A PLUS DE 60</v>
      </c>
      <c r="N35" s="655">
        <f>+IF(OR($Q35=Parametres!$G$2,$Q35=Parametres!$G$3),I35,C35)</f>
        <v>219621.25</v>
      </c>
      <c r="O35" s="655">
        <f>+IF(OR($Q35=Parametres!$G$2,$Q35=Parametres!$G$3),J35,D35)</f>
        <v>0</v>
      </c>
      <c r="P35" s="655">
        <f>+IF(OR($Q35=Parametres!$G$2,$Q35=Parametres!$G$3),K35,E35)</f>
        <v>219621.25</v>
      </c>
      <c r="Q35" s="654" t="str">
        <f t="shared" ref="Q35:S35" si="35">+F35</f>
        <v>1-Mémo</v>
      </c>
      <c r="R35" s="653" t="str">
        <f t="shared" si="35"/>
        <v>31</v>
      </c>
      <c r="S35" s="654">
        <f t="shared" si="35"/>
        <v>0</v>
      </c>
      <c r="T35" s="656" t="str">
        <f>+VLOOKUP($L35,Data_Validation!$A:$D,1,0)</f>
        <v>312</v>
      </c>
      <c r="U35" s="656">
        <f>+VLOOKUP($L35,Data_Validation!$A:$D,3,0)</f>
        <v>0</v>
      </c>
      <c r="V35" s="656">
        <f>+VLOOKUP($L35,Data_Validation!$A:$D,4,0)</f>
        <v>0</v>
      </c>
      <c r="W35" s="656">
        <f>+VLOOKUP($L35,Data_Validation!$A:$E,5,0)</f>
        <v>0</v>
      </c>
      <c r="X35" s="656">
        <f>+VLOOKUP($L35,Data_Validation!$A:$F,6,0)</f>
        <v>0</v>
      </c>
    </row>
    <row r="36" spans="1:24" ht="15" hidden="1" customHeight="1">
      <c r="A36" s="1213" t="s">
        <v>754</v>
      </c>
      <c r="B36" s="1213" t="s">
        <v>1789</v>
      </c>
      <c r="C36" s="1214"/>
      <c r="D36" s="1214"/>
      <c r="E36" s="1214"/>
      <c r="F36" s="1213" t="s">
        <v>2</v>
      </c>
      <c r="G36" s="1213" t="s">
        <v>3326</v>
      </c>
      <c r="H36" s="1214"/>
      <c r="I36" s="1215">
        <v>24748.46</v>
      </c>
      <c r="J36" s="1215">
        <v>0</v>
      </c>
      <c r="K36" s="1215">
        <v>24748.46</v>
      </c>
      <c r="L36" s="653" t="str">
        <f t="shared" si="2"/>
        <v>313</v>
      </c>
      <c r="M36" s="654" t="str">
        <f t="shared" si="0"/>
        <v>RECLAMATIONS DE GARATIE VW PLUS DE 60</v>
      </c>
      <c r="N36" s="655">
        <f>+IF(OR($Q36=Parametres!$G$2,$Q36=Parametres!$G$3),I36,C36)</f>
        <v>24748.46</v>
      </c>
      <c r="O36" s="655">
        <f>+IF(OR($Q36=Parametres!$G$2,$Q36=Parametres!$G$3),J36,D36)</f>
        <v>0</v>
      </c>
      <c r="P36" s="655">
        <f>+IF(OR($Q36=Parametres!$G$2,$Q36=Parametres!$G$3),K36,E36)</f>
        <v>24748.46</v>
      </c>
      <c r="Q36" s="654" t="str">
        <f t="shared" ref="Q36:S36" si="36">+F36</f>
        <v>1-Mémo</v>
      </c>
      <c r="R36" s="653" t="str">
        <f t="shared" si="36"/>
        <v>31</v>
      </c>
      <c r="S36" s="654">
        <f t="shared" si="36"/>
        <v>0</v>
      </c>
      <c r="T36" s="656" t="str">
        <f>+VLOOKUP($L36,Data_Validation!$A:$D,1,0)</f>
        <v>313</v>
      </c>
      <c r="U36" s="656">
        <f>+VLOOKUP($L36,Data_Validation!$A:$D,3,0)</f>
        <v>0</v>
      </c>
      <c r="V36" s="656">
        <f>+VLOOKUP($L36,Data_Validation!$A:$D,4,0)</f>
        <v>0</v>
      </c>
      <c r="W36" s="656">
        <f>+VLOOKUP($L36,Data_Validation!$A:$E,5,0)</f>
        <v>0</v>
      </c>
      <c r="X36" s="656">
        <f>+VLOOKUP($L36,Data_Validation!$A:$F,6,0)</f>
        <v>0</v>
      </c>
    </row>
    <row r="37" spans="1:24" ht="15" hidden="1" customHeight="1">
      <c r="A37" s="1213" t="s">
        <v>755</v>
      </c>
      <c r="B37" s="1213" t="s">
        <v>1792</v>
      </c>
      <c r="C37" s="1214"/>
      <c r="D37" s="1214"/>
      <c r="E37" s="1214"/>
      <c r="F37" s="1213" t="s">
        <v>2</v>
      </c>
      <c r="G37" s="1213" t="s">
        <v>3326</v>
      </c>
      <c r="H37" s="1214"/>
      <c r="I37" s="1215">
        <v>1593173.23</v>
      </c>
      <c r="J37" s="1215">
        <v>0</v>
      </c>
      <c r="K37" s="1215">
        <v>1593173.23</v>
      </c>
      <c r="L37" s="653" t="str">
        <f t="shared" si="2"/>
        <v>316</v>
      </c>
      <c r="M37" s="654" t="str">
        <f t="shared" si="0"/>
        <v>AUTRE REC MANUFACTURIER VW PLUS DE 60</v>
      </c>
      <c r="N37" s="655">
        <f>+IF(OR($Q37=Parametres!$G$2,$Q37=Parametres!$G$3),I37,C37)</f>
        <v>1593173.23</v>
      </c>
      <c r="O37" s="655">
        <f>+IF(OR($Q37=Parametres!$G$2,$Q37=Parametres!$G$3),J37,D37)</f>
        <v>0</v>
      </c>
      <c r="P37" s="655">
        <f>+IF(OR($Q37=Parametres!$G$2,$Q37=Parametres!$G$3),K37,E37)</f>
        <v>1593173.23</v>
      </c>
      <c r="Q37" s="654" t="str">
        <f t="shared" ref="Q37:S37" si="37">+F37</f>
        <v>1-Mémo</v>
      </c>
      <c r="R37" s="653" t="str">
        <f t="shared" si="37"/>
        <v>31</v>
      </c>
      <c r="S37" s="654">
        <f t="shared" si="37"/>
        <v>0</v>
      </c>
      <c r="T37" s="656" t="str">
        <f>+VLOOKUP($L37,Data_Validation!$A:$D,1,0)</f>
        <v>316</v>
      </c>
      <c r="U37" s="656">
        <f>+VLOOKUP($L37,Data_Validation!$A:$D,3,0)</f>
        <v>0</v>
      </c>
      <c r="V37" s="656">
        <f>+VLOOKUP($L37,Data_Validation!$A:$D,4,0)</f>
        <v>0</v>
      </c>
      <c r="W37" s="656">
        <f>+VLOOKUP($L37,Data_Validation!$A:$E,5,0)</f>
        <v>0</v>
      </c>
      <c r="X37" s="656">
        <f>+VLOOKUP($L37,Data_Validation!$A:$F,6,0)</f>
        <v>0</v>
      </c>
    </row>
    <row r="38" spans="1:24" ht="15" hidden="1" customHeight="1">
      <c r="A38" s="1213" t="s">
        <v>756</v>
      </c>
      <c r="B38" s="1213" t="s">
        <v>1798</v>
      </c>
      <c r="C38" s="1214"/>
      <c r="D38" s="1214"/>
      <c r="E38" s="1214"/>
      <c r="F38" s="1213" t="s">
        <v>2</v>
      </c>
      <c r="G38" s="1213" t="s">
        <v>3327</v>
      </c>
      <c r="H38" s="1214"/>
      <c r="I38" s="1215">
        <v>2.14</v>
      </c>
      <c r="J38" s="1215">
        <v>0</v>
      </c>
      <c r="K38" s="1215">
        <v>2.14</v>
      </c>
      <c r="L38" s="653" t="str">
        <f t="shared" si="2"/>
        <v>350</v>
      </c>
      <c r="M38" s="654" t="str">
        <f t="shared" si="0"/>
        <v>UNITES USAGES +30JRS</v>
      </c>
      <c r="N38" s="655">
        <f>+IF(OR($Q38=Parametres!$G$2,$Q38=Parametres!$G$3),I38,C38)</f>
        <v>2.14</v>
      </c>
      <c r="O38" s="655">
        <f>+IF(OR($Q38=Parametres!$G$2,$Q38=Parametres!$G$3),J38,D38)</f>
        <v>0</v>
      </c>
      <c r="P38" s="655">
        <f>+IF(OR($Q38=Parametres!$G$2,$Q38=Parametres!$G$3),K38,E38)</f>
        <v>2.14</v>
      </c>
      <c r="Q38" s="654" t="str">
        <f t="shared" ref="Q38:S38" si="38">+F38</f>
        <v>1-Mémo</v>
      </c>
      <c r="R38" s="653" t="str">
        <f t="shared" si="38"/>
        <v>35</v>
      </c>
      <c r="S38" s="654">
        <f t="shared" si="38"/>
        <v>0</v>
      </c>
      <c r="T38" s="656" t="str">
        <f>+VLOOKUP($L38,Data_Validation!$A:$D,1,0)</f>
        <v>350</v>
      </c>
      <c r="U38" s="656">
        <f>+VLOOKUP($L38,Data_Validation!$A:$D,3,0)</f>
        <v>0</v>
      </c>
      <c r="V38" s="656">
        <f>+VLOOKUP($L38,Data_Validation!$A:$D,4,0)</f>
        <v>0</v>
      </c>
      <c r="W38" s="656">
        <f>+VLOOKUP($L38,Data_Validation!$A:$E,5,0)</f>
        <v>0</v>
      </c>
      <c r="X38" s="656">
        <f>+VLOOKUP($L38,Data_Validation!$A:$F,6,0)</f>
        <v>0</v>
      </c>
    </row>
    <row r="39" spans="1:24" ht="15" hidden="1" customHeight="1">
      <c r="A39" s="1213" t="s">
        <v>757</v>
      </c>
      <c r="B39" s="1213" t="s">
        <v>1801</v>
      </c>
      <c r="C39" s="1214"/>
      <c r="D39" s="1214"/>
      <c r="E39" s="1214"/>
      <c r="F39" s="1213" t="s">
        <v>2</v>
      </c>
      <c r="G39" s="1213" t="s">
        <v>3328</v>
      </c>
      <c r="H39" s="1214"/>
      <c r="I39" s="1215">
        <v>5299229.7</v>
      </c>
      <c r="J39" s="1215">
        <v>0</v>
      </c>
      <c r="K39" s="1215">
        <v>5299229.7</v>
      </c>
      <c r="L39" s="653" t="str">
        <f t="shared" si="2"/>
        <v>360</v>
      </c>
      <c r="M39" s="654" t="str">
        <f t="shared" si="0"/>
        <v>OCCASION VW + 60 JRS</v>
      </c>
      <c r="N39" s="655">
        <f>+IF(OR($Q39=Parametres!$G$2,$Q39=Parametres!$G$3),I39,C39)</f>
        <v>5299229.7</v>
      </c>
      <c r="O39" s="659">
        <f>+IF(OR($Q39=Parametres!$G$2,$Q39=Parametres!$G$3),J39,D39)</f>
        <v>0</v>
      </c>
      <c r="P39" s="655">
        <f>+IF(OR($Q39=Parametres!$G$2,$Q39=Parametres!$G$3),K39,E39)</f>
        <v>5299229.7</v>
      </c>
      <c r="Q39" s="654" t="str">
        <f t="shared" ref="Q39:S39" si="39">+F39</f>
        <v>1-Mémo</v>
      </c>
      <c r="R39" s="653" t="str">
        <f t="shared" si="39"/>
        <v>36</v>
      </c>
      <c r="S39" s="654">
        <f t="shared" si="39"/>
        <v>0</v>
      </c>
      <c r="T39" s="656" t="str">
        <f>+VLOOKUP($L39,Data_Validation!$A:$D,1,0)</f>
        <v>360</v>
      </c>
      <c r="U39" s="656">
        <f>+VLOOKUP($L39,Data_Validation!$A:$D,3,0)</f>
        <v>0</v>
      </c>
      <c r="V39" s="656">
        <f>+VLOOKUP($L39,Data_Validation!$A:$D,4,0)</f>
        <v>0</v>
      </c>
      <c r="W39" s="656">
        <f>+VLOOKUP($L39,Data_Validation!$A:$E,5,0)</f>
        <v>0</v>
      </c>
      <c r="X39" s="656">
        <f>+VLOOKUP($L39,Data_Validation!$A:$F,6,0)</f>
        <v>0</v>
      </c>
    </row>
    <row r="40" spans="1:24" ht="15.75" hidden="1" customHeight="1">
      <c r="A40" s="1213" t="s">
        <v>758</v>
      </c>
      <c r="B40" s="1213" t="s">
        <v>1804</v>
      </c>
      <c r="C40" s="1214"/>
      <c r="D40" s="1214"/>
      <c r="E40" s="1214"/>
      <c r="F40" s="1213" t="s">
        <v>2</v>
      </c>
      <c r="G40" s="1213" t="s">
        <v>3329</v>
      </c>
      <c r="H40" s="1214"/>
      <c r="I40" s="1215">
        <v>5293302</v>
      </c>
      <c r="J40" s="1215">
        <v>0</v>
      </c>
      <c r="K40" s="1215">
        <v>5293302</v>
      </c>
      <c r="L40" s="653" t="str">
        <f t="shared" si="2"/>
        <v>370</v>
      </c>
      <c r="M40" s="654" t="str">
        <f t="shared" si="0"/>
        <v>AVOIR DU PROP. MIM. REQUIS</v>
      </c>
      <c r="N40" s="655">
        <f>+IF(OR($Q40=Parametres!$G$2,$Q40=Parametres!$G$3),I40,C40)</f>
        <v>5293302</v>
      </c>
      <c r="O40" s="655">
        <f>+IF(OR($Q40=Parametres!$G$2,$Q40=Parametres!$G$3),J40,D40)</f>
        <v>0</v>
      </c>
      <c r="P40" s="655">
        <f>+IF(OR($Q40=Parametres!$G$2,$Q40=Parametres!$G$3),K40,E40)</f>
        <v>5293302</v>
      </c>
      <c r="Q40" s="654" t="str">
        <f t="shared" ref="Q40:S40" si="40">+F40</f>
        <v>1-Mémo</v>
      </c>
      <c r="R40" s="653" t="str">
        <f t="shared" si="40"/>
        <v>37</v>
      </c>
      <c r="S40" s="654">
        <f t="shared" si="40"/>
        <v>0</v>
      </c>
      <c r="T40" s="656" t="str">
        <f>+VLOOKUP($L40,Data_Validation!$A:$D,1,0)</f>
        <v>370</v>
      </c>
      <c r="U40" s="656">
        <f>+VLOOKUP($L40,Data_Validation!$A:$D,3,0)</f>
        <v>0</v>
      </c>
      <c r="V40" s="656">
        <f>+VLOOKUP($L40,Data_Validation!$A:$D,4,0)</f>
        <v>0</v>
      </c>
      <c r="W40" s="656">
        <f>+VLOOKUP($L40,Data_Validation!$A:$E,5,0)</f>
        <v>0</v>
      </c>
      <c r="X40" s="656">
        <f>+VLOOKUP($L40,Data_Validation!$A:$F,6,0)</f>
        <v>0</v>
      </c>
    </row>
    <row r="41" spans="1:24" ht="15" hidden="1" customHeight="1">
      <c r="A41" s="1213" t="s">
        <v>759</v>
      </c>
      <c r="B41" s="1213" t="s">
        <v>1807</v>
      </c>
      <c r="C41" s="1214"/>
      <c r="D41" s="1214"/>
      <c r="E41" s="1214"/>
      <c r="F41" s="1213" t="s">
        <v>2</v>
      </c>
      <c r="G41" s="1213" t="s">
        <v>3329</v>
      </c>
      <c r="H41" s="1214"/>
      <c r="I41" s="1215">
        <v>1834098</v>
      </c>
      <c r="J41" s="1215">
        <v>0</v>
      </c>
      <c r="K41" s="1215">
        <v>1834098</v>
      </c>
      <c r="L41" s="653" t="str">
        <f t="shared" si="2"/>
        <v>372</v>
      </c>
      <c r="M41" s="654" t="str">
        <f t="shared" si="0"/>
        <v>FONDS DE ROULEMENT/MIN. REQUIS</v>
      </c>
      <c r="N41" s="655">
        <f>+IF(OR($Q41=Parametres!$G$2,$Q41=Parametres!$G$3),I41,C41)</f>
        <v>1834098</v>
      </c>
      <c r="O41" s="659">
        <f>+IF(OR($Q41=Parametres!$G$2,$Q41=Parametres!$G$3),J41,D41)</f>
        <v>0</v>
      </c>
      <c r="P41" s="655">
        <f>+IF(OR($Q41=Parametres!$G$2,$Q41=Parametres!$G$3),K41,E41)</f>
        <v>1834098</v>
      </c>
      <c r="Q41" s="654" t="str">
        <f t="shared" ref="Q41:S41" si="41">+F41</f>
        <v>1-Mémo</v>
      </c>
      <c r="R41" s="653" t="str">
        <f t="shared" si="41"/>
        <v>37</v>
      </c>
      <c r="S41" s="654">
        <f t="shared" si="41"/>
        <v>0</v>
      </c>
      <c r="T41" s="656" t="str">
        <f>+VLOOKUP($L41,Data_Validation!$A:$D,1,0)</f>
        <v>372</v>
      </c>
      <c r="U41" s="656">
        <f>+VLOOKUP($L41,Data_Validation!$A:$D,3,0)</f>
        <v>0</v>
      </c>
      <c r="V41" s="656">
        <f>+VLOOKUP($L41,Data_Validation!$A:$D,4,0)</f>
        <v>0</v>
      </c>
      <c r="W41" s="656">
        <f>+VLOOKUP($L41,Data_Validation!$A:$E,5,0)</f>
        <v>0</v>
      </c>
      <c r="X41" s="656">
        <f>+VLOOKUP($L41,Data_Validation!$A:$F,6,0)</f>
        <v>0</v>
      </c>
    </row>
    <row r="42" spans="1:24" ht="15" hidden="1" customHeight="1">
      <c r="A42" s="1213" t="s">
        <v>760</v>
      </c>
      <c r="B42" s="1213" t="s">
        <v>1812</v>
      </c>
      <c r="C42" s="1214"/>
      <c r="D42" s="1214"/>
      <c r="E42" s="1214"/>
      <c r="F42" s="1213" t="s">
        <v>2</v>
      </c>
      <c r="G42" s="1213" t="s">
        <v>761</v>
      </c>
      <c r="H42" s="1214"/>
      <c r="I42" s="1215">
        <v>0.46</v>
      </c>
      <c r="J42" s="1215">
        <v>0</v>
      </c>
      <c r="K42" s="1215">
        <v>0.46</v>
      </c>
      <c r="L42" s="653" t="str">
        <f t="shared" si="2"/>
        <v>401</v>
      </c>
      <c r="M42" s="654" t="str">
        <f t="shared" si="0"/>
        <v>UNITES NEUVES VENDUES JANVIER</v>
      </c>
      <c r="N42" s="655">
        <f>+IF(OR($Q42=Parametres!$G$2,$Q42=Parametres!$G$3),I42,C42)</f>
        <v>0.46</v>
      </c>
      <c r="O42" s="655">
        <f>+IF(OR($Q42=Parametres!$G$2,$Q42=Parametres!$G$3),J42,D42)</f>
        <v>0</v>
      </c>
      <c r="P42" s="655">
        <f>+IF(OR($Q42=Parametres!$G$2,$Q42=Parametres!$G$3),K42,E42)</f>
        <v>0.46</v>
      </c>
      <c r="Q42" s="654" t="str">
        <f t="shared" ref="Q42:S42" si="42">+F42</f>
        <v>1-Mémo</v>
      </c>
      <c r="R42" s="653" t="str">
        <f t="shared" si="42"/>
        <v>40</v>
      </c>
      <c r="S42" s="654">
        <f t="shared" si="42"/>
        <v>0</v>
      </c>
      <c r="T42" s="656" t="str">
        <f>+VLOOKUP($L42,Data_Validation!$A:$D,1,0)</f>
        <v>401</v>
      </c>
      <c r="U42" s="656">
        <f>+VLOOKUP($L42,Data_Validation!$A:$D,3,0)</f>
        <v>0</v>
      </c>
      <c r="V42" s="656">
        <f>+VLOOKUP($L42,Data_Validation!$A:$D,4,0)</f>
        <v>0</v>
      </c>
      <c r="W42" s="656">
        <f>+VLOOKUP($L42,Data_Validation!$A:$E,5,0)</f>
        <v>0</v>
      </c>
      <c r="X42" s="656">
        <f>+VLOOKUP($L42,Data_Validation!$A:$F,6,0)</f>
        <v>0</v>
      </c>
    </row>
    <row r="43" spans="1:24" ht="15" hidden="1" customHeight="1">
      <c r="A43" s="1213" t="s">
        <v>762</v>
      </c>
      <c r="B43" s="1213" t="s">
        <v>1815</v>
      </c>
      <c r="C43" s="1214"/>
      <c r="D43" s="1214"/>
      <c r="E43" s="1214"/>
      <c r="F43" s="1213" t="s">
        <v>2</v>
      </c>
      <c r="G43" s="1213" t="s">
        <v>761</v>
      </c>
      <c r="H43" s="1214"/>
      <c r="I43" s="1215">
        <v>0.75</v>
      </c>
      <c r="J43" s="1215">
        <v>0</v>
      </c>
      <c r="K43" s="1215">
        <v>0.75</v>
      </c>
      <c r="L43" s="653" t="str">
        <f t="shared" si="2"/>
        <v>402</v>
      </c>
      <c r="M43" s="654" t="str">
        <f t="shared" si="0"/>
        <v>UNITES NEUVES VENDUES FEVRIER</v>
      </c>
      <c r="N43" s="655">
        <f>+IF(OR($Q43=Parametres!$G$2,$Q43=Parametres!$G$3),I43,C43)</f>
        <v>0.75</v>
      </c>
      <c r="O43" s="655">
        <f>+IF(OR($Q43=Parametres!$G$2,$Q43=Parametres!$G$3),J43,D43)</f>
        <v>0</v>
      </c>
      <c r="P43" s="655">
        <f>+IF(OR($Q43=Parametres!$G$2,$Q43=Parametres!$G$3),K43,E43)</f>
        <v>0.75</v>
      </c>
      <c r="Q43" s="654" t="str">
        <f t="shared" ref="Q43:S43" si="43">+F43</f>
        <v>1-Mémo</v>
      </c>
      <c r="R43" s="653" t="str">
        <f t="shared" si="43"/>
        <v>40</v>
      </c>
      <c r="S43" s="654">
        <f t="shared" si="43"/>
        <v>0</v>
      </c>
      <c r="T43" s="656" t="str">
        <f>+VLOOKUP($L43,Data_Validation!$A:$D,1,0)</f>
        <v>402</v>
      </c>
      <c r="U43" s="656">
        <f>+VLOOKUP($L43,Data_Validation!$A:$D,3,0)</f>
        <v>0</v>
      </c>
      <c r="V43" s="656">
        <f>+VLOOKUP($L43,Data_Validation!$A:$D,4,0)</f>
        <v>0</v>
      </c>
      <c r="W43" s="656">
        <f>+VLOOKUP($L43,Data_Validation!$A:$E,5,0)</f>
        <v>0</v>
      </c>
      <c r="X43" s="656">
        <f>+VLOOKUP($L43,Data_Validation!$A:$F,6,0)</f>
        <v>0</v>
      </c>
    </row>
    <row r="44" spans="1:24" ht="15.75" hidden="1" customHeight="1">
      <c r="A44" s="1213" t="s">
        <v>763</v>
      </c>
      <c r="B44" s="1213" t="s">
        <v>1818</v>
      </c>
      <c r="C44" s="1214"/>
      <c r="D44" s="1214"/>
      <c r="E44" s="1214"/>
      <c r="F44" s="1213" t="s">
        <v>2</v>
      </c>
      <c r="G44" s="1213" t="s">
        <v>761</v>
      </c>
      <c r="H44" s="1214"/>
      <c r="I44" s="1215">
        <v>0.7</v>
      </c>
      <c r="J44" s="1215">
        <v>0</v>
      </c>
      <c r="K44" s="1215">
        <v>0.7</v>
      </c>
      <c r="L44" s="653" t="str">
        <f t="shared" si="2"/>
        <v>403</v>
      </c>
      <c r="M44" s="654" t="str">
        <f t="shared" si="0"/>
        <v>UNITES NEUVES VENDUES MARS</v>
      </c>
      <c r="N44" s="655">
        <f>+IF(OR($Q44=Parametres!$G$2,$Q44=Parametres!$G$3),I44,C44)</f>
        <v>0.7</v>
      </c>
      <c r="O44" s="655">
        <f>+IF(OR($Q44=Parametres!$G$2,$Q44=Parametres!$G$3),J44,D44)</f>
        <v>0</v>
      </c>
      <c r="P44" s="655">
        <f>+IF(OR($Q44=Parametres!$G$2,$Q44=Parametres!$G$3),K44,E44)</f>
        <v>0.7</v>
      </c>
      <c r="Q44" s="654" t="str">
        <f t="shared" ref="Q44:S44" si="44">+F44</f>
        <v>1-Mémo</v>
      </c>
      <c r="R44" s="653" t="str">
        <f t="shared" si="44"/>
        <v>40</v>
      </c>
      <c r="S44" s="654">
        <f t="shared" si="44"/>
        <v>0</v>
      </c>
      <c r="T44" s="656" t="str">
        <f>+VLOOKUP($L44,Data_Validation!$A:$D,1,0)</f>
        <v>403</v>
      </c>
      <c r="U44" s="656">
        <f>+VLOOKUP($L44,Data_Validation!$A:$D,3,0)</f>
        <v>0</v>
      </c>
      <c r="V44" s="656">
        <f>+VLOOKUP($L44,Data_Validation!$A:$D,4,0)</f>
        <v>0</v>
      </c>
      <c r="W44" s="656">
        <f>+VLOOKUP($L44,Data_Validation!$A:$E,5,0)</f>
        <v>0</v>
      </c>
      <c r="X44" s="656">
        <f>+VLOOKUP($L44,Data_Validation!$A:$F,6,0)</f>
        <v>0</v>
      </c>
    </row>
    <row r="45" spans="1:24" ht="15" hidden="1" customHeight="1">
      <c r="A45" s="1213" t="s">
        <v>764</v>
      </c>
      <c r="B45" s="1213" t="s">
        <v>1821</v>
      </c>
      <c r="C45" s="1214"/>
      <c r="D45" s="1214"/>
      <c r="E45" s="1214"/>
      <c r="F45" s="1213" t="s">
        <v>2</v>
      </c>
      <c r="G45" s="1213" t="s">
        <v>761</v>
      </c>
      <c r="H45" s="1214"/>
      <c r="I45" s="1215">
        <v>0.69</v>
      </c>
      <c r="J45" s="1215">
        <v>0</v>
      </c>
      <c r="K45" s="1215">
        <v>0.69</v>
      </c>
      <c r="L45" s="653" t="str">
        <f t="shared" si="2"/>
        <v>404</v>
      </c>
      <c r="M45" s="654" t="str">
        <f t="shared" si="0"/>
        <v>UNITES NEUVES VENDUES AVRIL</v>
      </c>
      <c r="N45" s="655">
        <f>+IF(OR($Q45=Parametres!$G$2,$Q45=Parametres!$G$3),I45,C45)</f>
        <v>0.69</v>
      </c>
      <c r="O45" s="1157">
        <f>+IF(OR($Q45=Parametres!$G$2,$Q45=Parametres!$G$3),J45,D45)</f>
        <v>0</v>
      </c>
      <c r="P45" s="655">
        <f>+IF(OR($Q45=Parametres!$G$2,$Q45=Parametres!$G$3),K45,E45)</f>
        <v>0.69</v>
      </c>
      <c r="Q45" s="654" t="str">
        <f t="shared" ref="Q45:S45" si="45">+F45</f>
        <v>1-Mémo</v>
      </c>
      <c r="R45" s="653" t="str">
        <f t="shared" si="45"/>
        <v>40</v>
      </c>
      <c r="S45" s="654">
        <f t="shared" si="45"/>
        <v>0</v>
      </c>
      <c r="T45" s="656" t="str">
        <f>+VLOOKUP($L45,Data_Validation!$A:$D,1,0)</f>
        <v>404</v>
      </c>
      <c r="U45" s="656">
        <f>+VLOOKUP($L45,Data_Validation!$A:$D,3,0)</f>
        <v>0</v>
      </c>
      <c r="V45" s="656">
        <f>+VLOOKUP($L45,Data_Validation!$A:$D,4,0)</f>
        <v>0</v>
      </c>
      <c r="W45" s="656">
        <f>+VLOOKUP($L45,Data_Validation!$A:$E,5,0)</f>
        <v>0</v>
      </c>
      <c r="X45" s="656">
        <f>+VLOOKUP($L45,Data_Validation!$A:$F,6,0)</f>
        <v>0</v>
      </c>
    </row>
    <row r="46" spans="1:24" ht="15" hidden="1" customHeight="1">
      <c r="A46" s="1213" t="s">
        <v>765</v>
      </c>
      <c r="B46" s="1213" t="s">
        <v>1824</v>
      </c>
      <c r="C46" s="1214"/>
      <c r="D46" s="1214"/>
      <c r="E46" s="1214"/>
      <c r="F46" s="1213" t="s">
        <v>2</v>
      </c>
      <c r="G46" s="1213" t="s">
        <v>761</v>
      </c>
      <c r="H46" s="1214"/>
      <c r="I46" s="1215">
        <v>0.69</v>
      </c>
      <c r="J46" s="1215">
        <v>0</v>
      </c>
      <c r="K46" s="1215">
        <v>0.69</v>
      </c>
      <c r="L46" s="653" t="str">
        <f t="shared" si="2"/>
        <v>405</v>
      </c>
      <c r="M46" s="654" t="str">
        <f t="shared" si="0"/>
        <v>UNITES NEUVES VENDUES MAI</v>
      </c>
      <c r="N46" s="655">
        <f>+IF(OR($Q46=Parametres!$G$2,$Q46=Parametres!$G$3),I46,C46)</f>
        <v>0.69</v>
      </c>
      <c r="O46" s="1157">
        <f>+IF(OR($Q46=Parametres!$G$2,$Q46=Parametres!$G$3),J46,D46)</f>
        <v>0</v>
      </c>
      <c r="P46" s="655">
        <f>+IF(OR($Q46=Parametres!$G$2,$Q46=Parametres!$G$3),K46,E46)</f>
        <v>0.69</v>
      </c>
      <c r="Q46" s="654" t="str">
        <f t="shared" ref="Q46:S46" si="46">+F46</f>
        <v>1-Mémo</v>
      </c>
      <c r="R46" s="653" t="str">
        <f t="shared" si="46"/>
        <v>40</v>
      </c>
      <c r="S46" s="654">
        <f t="shared" si="46"/>
        <v>0</v>
      </c>
      <c r="T46" s="656" t="str">
        <f>+VLOOKUP($L46,Data_Validation!$A:$D,1,0)</f>
        <v>405</v>
      </c>
      <c r="U46" s="656">
        <f>+VLOOKUP($L46,Data_Validation!$A:$D,3,0)</f>
        <v>0</v>
      </c>
      <c r="V46" s="656">
        <f>+VLOOKUP($L46,Data_Validation!$A:$D,4,0)</f>
        <v>0</v>
      </c>
      <c r="W46" s="656">
        <f>+VLOOKUP($L46,Data_Validation!$A:$E,5,0)</f>
        <v>0</v>
      </c>
      <c r="X46" s="656">
        <f>+VLOOKUP($L46,Data_Validation!$A:$F,6,0)</f>
        <v>0</v>
      </c>
    </row>
    <row r="47" spans="1:24" ht="15" hidden="1" customHeight="1">
      <c r="A47" s="1213" t="s">
        <v>766</v>
      </c>
      <c r="B47" s="1213" t="s">
        <v>1827</v>
      </c>
      <c r="C47" s="1214"/>
      <c r="D47" s="1214"/>
      <c r="E47" s="1214"/>
      <c r="F47" s="1213" t="s">
        <v>2</v>
      </c>
      <c r="G47" s="1213" t="s">
        <v>761</v>
      </c>
      <c r="H47" s="1214"/>
      <c r="I47" s="1215">
        <v>0.4</v>
      </c>
      <c r="J47" s="1215">
        <v>0</v>
      </c>
      <c r="K47" s="1215">
        <v>0.4</v>
      </c>
      <c r="L47" s="653" t="str">
        <f t="shared" si="2"/>
        <v>406</v>
      </c>
      <c r="M47" s="654" t="str">
        <f t="shared" si="0"/>
        <v>UNITES NEUVES VENDUES JUIN</v>
      </c>
      <c r="N47" s="655">
        <f>+IF(OR($Q47=Parametres!$G$2,$Q47=Parametres!$G$3),I47,C47)</f>
        <v>0.4</v>
      </c>
      <c r="O47" s="655">
        <f>+IF(OR($Q47=Parametres!$G$2,$Q47=Parametres!$G$3),J47,D47)</f>
        <v>0</v>
      </c>
      <c r="P47" s="655">
        <f>+IF(OR($Q47=Parametres!$G$2,$Q47=Parametres!$G$3),K47,E47)</f>
        <v>0.4</v>
      </c>
      <c r="Q47" s="654" t="str">
        <f t="shared" ref="Q47:S47" si="47">+F47</f>
        <v>1-Mémo</v>
      </c>
      <c r="R47" s="653" t="str">
        <f t="shared" si="47"/>
        <v>40</v>
      </c>
      <c r="S47" s="654">
        <f t="shared" si="47"/>
        <v>0</v>
      </c>
      <c r="T47" s="656" t="str">
        <f>+VLOOKUP($L47,Data_Validation!$A:$D,1,0)</f>
        <v>406</v>
      </c>
      <c r="U47" s="656">
        <f>+VLOOKUP($L47,Data_Validation!$A:$D,3,0)</f>
        <v>0</v>
      </c>
      <c r="V47" s="656">
        <f>+VLOOKUP($L47,Data_Validation!$A:$D,4,0)</f>
        <v>0</v>
      </c>
      <c r="W47" s="656">
        <f>+VLOOKUP($L47,Data_Validation!$A:$E,5,0)</f>
        <v>0</v>
      </c>
      <c r="X47" s="656">
        <f>+VLOOKUP($L47,Data_Validation!$A:$F,6,0)</f>
        <v>0</v>
      </c>
    </row>
    <row r="48" spans="1:24" ht="15.75" hidden="1" customHeight="1">
      <c r="A48" s="1213" t="s">
        <v>767</v>
      </c>
      <c r="B48" s="1213" t="s">
        <v>1830</v>
      </c>
      <c r="C48" s="1214"/>
      <c r="D48" s="1214"/>
      <c r="E48" s="1214"/>
      <c r="F48" s="1213" t="s">
        <v>2</v>
      </c>
      <c r="G48" s="1213" t="s">
        <v>761</v>
      </c>
      <c r="H48" s="1214"/>
      <c r="I48" s="1215">
        <v>0.4</v>
      </c>
      <c r="J48" s="1215">
        <v>0</v>
      </c>
      <c r="K48" s="1215">
        <v>0.4</v>
      </c>
      <c r="L48" s="653" t="str">
        <f t="shared" si="2"/>
        <v>407</v>
      </c>
      <c r="M48" s="654" t="str">
        <f t="shared" si="0"/>
        <v>UNITES NEUVES VENDUES JUILLET</v>
      </c>
      <c r="N48" s="655">
        <f>+IF(OR($Q48=Parametres!$G$2,$Q48=Parametres!$G$3),I48,C48)</f>
        <v>0.4</v>
      </c>
      <c r="O48" s="655">
        <f>+IF(OR($Q48=Parametres!$G$2,$Q48=Parametres!$G$3),J48,D48)</f>
        <v>0</v>
      </c>
      <c r="P48" s="655">
        <f>+IF(OR($Q48=Parametres!$G$2,$Q48=Parametres!$G$3),K48,E48)</f>
        <v>0.4</v>
      </c>
      <c r="Q48" s="654" t="str">
        <f t="shared" ref="Q48:S48" si="48">+F48</f>
        <v>1-Mémo</v>
      </c>
      <c r="R48" s="653" t="str">
        <f t="shared" si="48"/>
        <v>40</v>
      </c>
      <c r="S48" s="654">
        <f t="shared" si="48"/>
        <v>0</v>
      </c>
      <c r="T48" s="656" t="str">
        <f>+VLOOKUP($L48,Data_Validation!$A:$D,1,0)</f>
        <v>407</v>
      </c>
      <c r="U48" s="656">
        <f>+VLOOKUP($L48,Data_Validation!$A:$D,3,0)</f>
        <v>0</v>
      </c>
      <c r="V48" s="656">
        <f>+VLOOKUP($L48,Data_Validation!$A:$D,4,0)</f>
        <v>0</v>
      </c>
      <c r="W48" s="656">
        <f>+VLOOKUP($L48,Data_Validation!$A:$E,5,0)</f>
        <v>0</v>
      </c>
      <c r="X48" s="656">
        <f>+VLOOKUP($L48,Data_Validation!$A:$F,6,0)</f>
        <v>0</v>
      </c>
    </row>
    <row r="49" spans="1:24" ht="15" hidden="1" customHeight="1">
      <c r="A49" s="1213" t="s">
        <v>768</v>
      </c>
      <c r="B49" s="1213" t="s">
        <v>1833</v>
      </c>
      <c r="C49" s="1214"/>
      <c r="D49" s="1214"/>
      <c r="E49" s="1214"/>
      <c r="F49" s="1213" t="s">
        <v>2</v>
      </c>
      <c r="G49" s="1213" t="s">
        <v>761</v>
      </c>
      <c r="H49" s="1214"/>
      <c r="I49" s="1215">
        <v>0.88</v>
      </c>
      <c r="J49" s="1215">
        <v>0</v>
      </c>
      <c r="K49" s="1215">
        <v>0.88</v>
      </c>
      <c r="L49" s="653" t="str">
        <f t="shared" si="2"/>
        <v>408</v>
      </c>
      <c r="M49" s="654" t="str">
        <f t="shared" si="0"/>
        <v>UNITES NEUVES VENDUES AOUT</v>
      </c>
      <c r="N49" s="655">
        <f>+IF(OR($Q49=Parametres!$G$2,$Q49=Parametres!$G$3),I49,C49)</f>
        <v>0.88</v>
      </c>
      <c r="O49" s="659">
        <f>+IF(OR($Q49=Parametres!$G$2,$Q49=Parametres!$G$3),J49,D49)</f>
        <v>0</v>
      </c>
      <c r="P49" s="655">
        <f>+IF(OR($Q49=Parametres!$G$2,$Q49=Parametres!$G$3),K49,E49)</f>
        <v>0.88</v>
      </c>
      <c r="Q49" s="654" t="str">
        <f t="shared" ref="Q49:S49" si="49">+F49</f>
        <v>1-Mémo</v>
      </c>
      <c r="R49" s="653" t="str">
        <f t="shared" si="49"/>
        <v>40</v>
      </c>
      <c r="S49" s="654">
        <f t="shared" si="49"/>
        <v>0</v>
      </c>
      <c r="T49" s="656" t="str">
        <f>+VLOOKUP($L49,Data_Validation!$A:$D,1,0)</f>
        <v>408</v>
      </c>
      <c r="U49" s="656">
        <f>+VLOOKUP($L49,Data_Validation!$A:$D,3,0)</f>
        <v>0</v>
      </c>
      <c r="V49" s="656">
        <f>+VLOOKUP($L49,Data_Validation!$A:$D,4,0)</f>
        <v>0</v>
      </c>
      <c r="W49" s="656">
        <f>+VLOOKUP($L49,Data_Validation!$A:$E,5,0)</f>
        <v>0</v>
      </c>
      <c r="X49" s="656">
        <f>+VLOOKUP($L49,Data_Validation!$A:$F,6,0)</f>
        <v>0</v>
      </c>
    </row>
    <row r="50" spans="1:24" ht="15" hidden="1" customHeight="1">
      <c r="A50" s="1213" t="s">
        <v>769</v>
      </c>
      <c r="B50" s="1213" t="s">
        <v>1836</v>
      </c>
      <c r="C50" s="1214"/>
      <c r="D50" s="1214"/>
      <c r="E50" s="1214"/>
      <c r="F50" s="1213" t="s">
        <v>2</v>
      </c>
      <c r="G50" s="1213" t="s">
        <v>761</v>
      </c>
      <c r="H50" s="1214"/>
      <c r="I50" s="1215">
        <v>0.42</v>
      </c>
      <c r="J50" s="1215">
        <v>0</v>
      </c>
      <c r="K50" s="1215">
        <v>0.42</v>
      </c>
      <c r="L50" s="653" t="str">
        <f t="shared" si="2"/>
        <v>409</v>
      </c>
      <c r="M50" s="654" t="str">
        <f t="shared" si="0"/>
        <v>UNITES NEUVES VENDUES SEPTEMBRE</v>
      </c>
      <c r="N50" s="655">
        <f>+IF(OR($Q50=Parametres!$G$2,$Q50=Parametres!$G$3),I50,C50)</f>
        <v>0.42</v>
      </c>
      <c r="O50" s="655">
        <f>+IF(OR($Q50=Parametres!$G$2,$Q50=Parametres!$G$3),J50,D50)</f>
        <v>0</v>
      </c>
      <c r="P50" s="655">
        <f>+IF(OR($Q50=Parametres!$G$2,$Q50=Parametres!$G$3),K50,E50)</f>
        <v>0.42</v>
      </c>
      <c r="Q50" s="654" t="str">
        <f t="shared" ref="Q50:S50" si="50">+F50</f>
        <v>1-Mémo</v>
      </c>
      <c r="R50" s="653" t="str">
        <f t="shared" si="50"/>
        <v>40</v>
      </c>
      <c r="S50" s="654">
        <f t="shared" si="50"/>
        <v>0</v>
      </c>
      <c r="T50" s="656" t="str">
        <f>+VLOOKUP($L50,Data_Validation!$A:$D,1,0)</f>
        <v>409</v>
      </c>
      <c r="U50" s="656">
        <f>+VLOOKUP($L50,Data_Validation!$A:$D,3,0)</f>
        <v>0</v>
      </c>
      <c r="V50" s="656">
        <f>+VLOOKUP($L50,Data_Validation!$A:$D,4,0)</f>
        <v>0</v>
      </c>
      <c r="W50" s="656">
        <f>+VLOOKUP($L50,Data_Validation!$A:$E,5,0)</f>
        <v>0</v>
      </c>
      <c r="X50" s="656">
        <f>+VLOOKUP($L50,Data_Validation!$A:$F,6,0)</f>
        <v>0</v>
      </c>
    </row>
    <row r="51" spans="1:24" ht="15" hidden="1" customHeight="1">
      <c r="A51" s="1213" t="s">
        <v>770</v>
      </c>
      <c r="B51" s="1213" t="s">
        <v>1839</v>
      </c>
      <c r="C51" s="1214"/>
      <c r="D51" s="1214"/>
      <c r="E51" s="1214"/>
      <c r="F51" s="1213" t="s">
        <v>2</v>
      </c>
      <c r="G51" s="1213" t="s">
        <v>761</v>
      </c>
      <c r="H51" s="1214"/>
      <c r="I51" s="1215">
        <v>0.52</v>
      </c>
      <c r="J51" s="1215">
        <v>0</v>
      </c>
      <c r="K51" s="1215">
        <v>0.52</v>
      </c>
      <c r="L51" s="653" t="str">
        <f t="shared" si="2"/>
        <v>410</v>
      </c>
      <c r="M51" s="654" t="str">
        <f t="shared" si="0"/>
        <v>UNITES NEUVES VENDUES OCTOBRE</v>
      </c>
      <c r="N51" s="655">
        <f>+IF(OR($Q51=Parametres!$G$2,$Q51=Parametres!$G$3),I51,C51)</f>
        <v>0.52</v>
      </c>
      <c r="O51" s="655">
        <f>+IF(OR($Q51=Parametres!$G$2,$Q51=Parametres!$G$3),J51,D51)</f>
        <v>0</v>
      </c>
      <c r="P51" s="655">
        <f>+IF(OR($Q51=Parametres!$G$2,$Q51=Parametres!$G$3),K51,E51)</f>
        <v>0.52</v>
      </c>
      <c r="Q51" s="654" t="str">
        <f t="shared" ref="Q51:S51" si="51">+F51</f>
        <v>1-Mémo</v>
      </c>
      <c r="R51" s="653" t="str">
        <f t="shared" si="51"/>
        <v>40</v>
      </c>
      <c r="S51" s="654">
        <f t="shared" si="51"/>
        <v>0</v>
      </c>
      <c r="T51" s="656" t="str">
        <f>+VLOOKUP($L51,Data_Validation!$A:$D,1,0)</f>
        <v>410</v>
      </c>
      <c r="U51" s="656">
        <f>+VLOOKUP($L51,Data_Validation!$A:$D,3,0)</f>
        <v>0</v>
      </c>
      <c r="V51" s="656">
        <f>+VLOOKUP($L51,Data_Validation!$A:$D,4,0)</f>
        <v>0</v>
      </c>
      <c r="W51" s="656">
        <f>+VLOOKUP($L51,Data_Validation!$A:$E,5,0)</f>
        <v>0</v>
      </c>
      <c r="X51" s="656">
        <f>+VLOOKUP($L51,Data_Validation!$A:$F,6,0)</f>
        <v>0</v>
      </c>
    </row>
    <row r="52" spans="1:24" ht="15.75" hidden="1" customHeight="1">
      <c r="A52" s="1213" t="s">
        <v>771</v>
      </c>
      <c r="B52" s="1213" t="s">
        <v>978</v>
      </c>
      <c r="C52" s="1214"/>
      <c r="D52" s="1214"/>
      <c r="E52" s="1214"/>
      <c r="F52" s="1213" t="s">
        <v>2</v>
      </c>
      <c r="G52" s="1213" t="s">
        <v>761</v>
      </c>
      <c r="H52" s="1214"/>
      <c r="I52" s="1215">
        <v>0.4</v>
      </c>
      <c r="J52" s="1215">
        <v>0</v>
      </c>
      <c r="K52" s="1215">
        <v>0.4</v>
      </c>
      <c r="L52" s="653" t="str">
        <f t="shared" si="2"/>
        <v>411</v>
      </c>
      <c r="M52" s="654" t="str">
        <f t="shared" si="0"/>
        <v>UNITES NEUVES VENDUES NOVEMBRE</v>
      </c>
      <c r="N52" s="655">
        <f>+IF(OR($Q52=Parametres!$G$2,$Q52=Parametres!$G$3),I52,C52)</f>
        <v>0.4</v>
      </c>
      <c r="O52" s="655">
        <f>+IF(OR($Q52=Parametres!$G$2,$Q52=Parametres!$G$3),J52,D52)</f>
        <v>0</v>
      </c>
      <c r="P52" s="655">
        <f>+IF(OR($Q52=Parametres!$G$2,$Q52=Parametres!$G$3),K52,E52)</f>
        <v>0.4</v>
      </c>
      <c r="Q52" s="654" t="str">
        <f t="shared" ref="Q52:S52" si="52">+F52</f>
        <v>1-Mémo</v>
      </c>
      <c r="R52" s="653" t="str">
        <f t="shared" si="52"/>
        <v>40</v>
      </c>
      <c r="S52" s="654">
        <f t="shared" si="52"/>
        <v>0</v>
      </c>
      <c r="T52" s="656" t="str">
        <f>+VLOOKUP($L52,Data_Validation!$A:$D,1,0)</f>
        <v>411</v>
      </c>
      <c r="U52" s="656">
        <f>+VLOOKUP($L52,Data_Validation!$A:$D,3,0)</f>
        <v>0</v>
      </c>
      <c r="V52" s="656">
        <f>+VLOOKUP($L52,Data_Validation!$A:$D,4,0)</f>
        <v>0</v>
      </c>
      <c r="W52" s="656">
        <f>+VLOOKUP($L52,Data_Validation!$A:$E,5,0)</f>
        <v>0</v>
      </c>
      <c r="X52" s="656">
        <f>+VLOOKUP($L52,Data_Validation!$A:$F,6,0)</f>
        <v>0</v>
      </c>
    </row>
    <row r="53" spans="1:24" ht="15" hidden="1" customHeight="1">
      <c r="A53" s="1213" t="s">
        <v>773</v>
      </c>
      <c r="B53" s="1213" t="s">
        <v>1905</v>
      </c>
      <c r="C53" s="1214"/>
      <c r="D53" s="1214"/>
      <c r="E53" s="1214"/>
      <c r="F53" s="1213" t="s">
        <v>2</v>
      </c>
      <c r="G53" s="1213" t="s">
        <v>3330</v>
      </c>
      <c r="H53" s="1214"/>
      <c r="I53" s="1215">
        <v>0.12</v>
      </c>
      <c r="J53" s="1215">
        <v>0</v>
      </c>
      <c r="K53" s="1215">
        <v>0.12</v>
      </c>
      <c r="L53" s="653" t="str">
        <f t="shared" si="2"/>
        <v>421</v>
      </c>
      <c r="M53" s="654" t="str">
        <f t="shared" si="0"/>
        <v>UNITES USAGES DET./ JANV.</v>
      </c>
      <c r="N53" s="655">
        <f>+IF(OR($Q53=Parametres!$G$2,$Q53=Parametres!$G$3),I53,C53)</f>
        <v>0.12</v>
      </c>
      <c r="O53" s="655">
        <f>+IF(OR($Q53=Parametres!$G$2,$Q53=Parametres!$G$3),J53,D53)</f>
        <v>0</v>
      </c>
      <c r="P53" s="655">
        <f>+IF(OR($Q53=Parametres!$G$2,$Q53=Parametres!$G$3),K53,E53)</f>
        <v>0.12</v>
      </c>
      <c r="Q53" s="654" t="str">
        <f t="shared" ref="Q53:S53" si="53">+F53</f>
        <v>1-Mémo</v>
      </c>
      <c r="R53" s="653" t="str">
        <f t="shared" si="53"/>
        <v>42</v>
      </c>
      <c r="S53" s="654">
        <f t="shared" si="53"/>
        <v>0</v>
      </c>
      <c r="T53" s="656" t="str">
        <f>+VLOOKUP($L53,Data_Validation!$A:$D,1,0)</f>
        <v>421</v>
      </c>
      <c r="U53" s="656">
        <f>+VLOOKUP($L53,Data_Validation!$A:$D,3,0)</f>
        <v>0</v>
      </c>
      <c r="V53" s="656">
        <f>+VLOOKUP($L53,Data_Validation!$A:$D,4,0)</f>
        <v>0</v>
      </c>
      <c r="W53" s="656">
        <f>+VLOOKUP($L53,Data_Validation!$A:$E,5,0)</f>
        <v>0</v>
      </c>
      <c r="X53" s="656">
        <f>+VLOOKUP($L53,Data_Validation!$A:$F,6,0)</f>
        <v>0</v>
      </c>
    </row>
    <row r="54" spans="1:24" ht="15" hidden="1" customHeight="1">
      <c r="A54" s="1213" t="s">
        <v>774</v>
      </c>
      <c r="B54" s="1213" t="s">
        <v>1912</v>
      </c>
      <c r="C54" s="1214"/>
      <c r="D54" s="1214"/>
      <c r="E54" s="1214"/>
      <c r="F54" s="1213" t="s">
        <v>2</v>
      </c>
      <c r="G54" s="1213" t="s">
        <v>3330</v>
      </c>
      <c r="H54" s="1214"/>
      <c r="I54" s="1215">
        <v>0.27</v>
      </c>
      <c r="J54" s="1215">
        <v>0</v>
      </c>
      <c r="K54" s="1215">
        <v>0.27</v>
      </c>
      <c r="L54" s="653" t="str">
        <f t="shared" si="2"/>
        <v>422</v>
      </c>
      <c r="M54" s="654" t="str">
        <f t="shared" si="0"/>
        <v>UNITES USAGES DET./ FEVR.</v>
      </c>
      <c r="N54" s="655">
        <f>+IF(OR($Q54=Parametres!$G$2,$Q54=Parametres!$G$3),I54,C54)</f>
        <v>0.27</v>
      </c>
      <c r="O54" s="655">
        <f>+IF(OR($Q54=Parametres!$G$2,$Q54=Parametres!$G$3),J54,D54)</f>
        <v>0</v>
      </c>
      <c r="P54" s="655">
        <f>+IF(OR($Q54=Parametres!$G$2,$Q54=Parametres!$G$3),K54,E54)</f>
        <v>0.27</v>
      </c>
      <c r="Q54" s="654" t="str">
        <f t="shared" ref="Q54:S54" si="54">+F54</f>
        <v>1-Mémo</v>
      </c>
      <c r="R54" s="653" t="str">
        <f t="shared" si="54"/>
        <v>42</v>
      </c>
      <c r="S54" s="654">
        <f t="shared" si="54"/>
        <v>0</v>
      </c>
      <c r="T54" s="656" t="str">
        <f>+VLOOKUP($L54,Data_Validation!$A:$D,1,0)</f>
        <v>422</v>
      </c>
      <c r="U54" s="656">
        <f>+VLOOKUP($L54,Data_Validation!$A:$D,3,0)</f>
        <v>0</v>
      </c>
      <c r="V54" s="656">
        <f>+VLOOKUP($L54,Data_Validation!$A:$D,4,0)</f>
        <v>0</v>
      </c>
      <c r="W54" s="656">
        <f>+VLOOKUP($L54,Data_Validation!$A:$E,5,0)</f>
        <v>0</v>
      </c>
      <c r="X54" s="656">
        <f>+VLOOKUP($L54,Data_Validation!$A:$F,6,0)</f>
        <v>0</v>
      </c>
    </row>
    <row r="55" spans="1:24" ht="15" hidden="1" customHeight="1">
      <c r="A55" s="1213" t="s">
        <v>775</v>
      </c>
      <c r="B55" s="1213" t="s">
        <v>1915</v>
      </c>
      <c r="C55" s="1214"/>
      <c r="D55" s="1214"/>
      <c r="E55" s="1214"/>
      <c r="F55" s="1213" t="s">
        <v>2</v>
      </c>
      <c r="G55" s="1213" t="s">
        <v>3330</v>
      </c>
      <c r="H55" s="1214"/>
      <c r="I55" s="1215">
        <v>0.22</v>
      </c>
      <c r="J55" s="1215">
        <v>0</v>
      </c>
      <c r="K55" s="1215">
        <v>0.22</v>
      </c>
      <c r="L55" s="653" t="str">
        <f t="shared" si="2"/>
        <v>423</v>
      </c>
      <c r="M55" s="654" t="str">
        <f t="shared" si="0"/>
        <v>UNITES USAGES DET./ MARS</v>
      </c>
      <c r="N55" s="655">
        <f>+IF(OR($Q55=Parametres!$G$2,$Q55=Parametres!$G$3),I55,C55)</f>
        <v>0.22</v>
      </c>
      <c r="O55" s="655">
        <f>+IF(OR($Q55=Parametres!$G$2,$Q55=Parametres!$G$3),J55,D55)</f>
        <v>0</v>
      </c>
      <c r="P55" s="655">
        <f>+IF(OR($Q55=Parametres!$G$2,$Q55=Parametres!$G$3),K55,E55)</f>
        <v>0.22</v>
      </c>
      <c r="Q55" s="654" t="str">
        <f t="shared" ref="Q55:S55" si="55">+F55</f>
        <v>1-Mémo</v>
      </c>
      <c r="R55" s="653" t="str">
        <f t="shared" si="55"/>
        <v>42</v>
      </c>
      <c r="S55" s="654">
        <f t="shared" si="55"/>
        <v>0</v>
      </c>
      <c r="T55" s="656" t="str">
        <f>+VLOOKUP($L55,Data_Validation!$A:$D,1,0)</f>
        <v>423</v>
      </c>
      <c r="U55" s="656">
        <f>+VLOOKUP($L55,Data_Validation!$A:$D,3,0)</f>
        <v>0</v>
      </c>
      <c r="V55" s="656">
        <f>+VLOOKUP($L55,Data_Validation!$A:$D,4,0)</f>
        <v>0</v>
      </c>
      <c r="W55" s="656">
        <f>+VLOOKUP($L55,Data_Validation!$A:$E,5,0)</f>
        <v>0</v>
      </c>
      <c r="X55" s="656">
        <f>+VLOOKUP($L55,Data_Validation!$A:$F,6,0)</f>
        <v>0</v>
      </c>
    </row>
    <row r="56" spans="1:24" ht="15.75" hidden="1" customHeight="1">
      <c r="A56" s="1213" t="s">
        <v>776</v>
      </c>
      <c r="B56" s="1213" t="s">
        <v>1918</v>
      </c>
      <c r="C56" s="1214"/>
      <c r="D56" s="1214"/>
      <c r="E56" s="1214"/>
      <c r="F56" s="1213" t="s">
        <v>2</v>
      </c>
      <c r="G56" s="1213" t="s">
        <v>3330</v>
      </c>
      <c r="H56" s="1214"/>
      <c r="I56" s="1215">
        <v>0.23</v>
      </c>
      <c r="J56" s="1215">
        <v>0</v>
      </c>
      <c r="K56" s="1215">
        <v>0.23</v>
      </c>
      <c r="L56" s="653" t="str">
        <f t="shared" si="2"/>
        <v>424</v>
      </c>
      <c r="M56" s="654" t="str">
        <f t="shared" si="0"/>
        <v>UNITES USAGES DET./ AVRIL</v>
      </c>
      <c r="N56" s="655">
        <f>+IF(OR($Q56=Parametres!$G$2,$Q56=Parametres!$G$3),I56,C56)</f>
        <v>0.23</v>
      </c>
      <c r="O56" s="655">
        <f>+IF(OR($Q56=Parametres!$G$2,$Q56=Parametres!$G$3),J56,D56)</f>
        <v>0</v>
      </c>
      <c r="P56" s="655">
        <f>+IF(OR($Q56=Parametres!$G$2,$Q56=Parametres!$G$3),K56,E56)</f>
        <v>0.23</v>
      </c>
      <c r="Q56" s="654" t="str">
        <f t="shared" ref="Q56:S56" si="56">+F56</f>
        <v>1-Mémo</v>
      </c>
      <c r="R56" s="653" t="str">
        <f t="shared" si="56"/>
        <v>42</v>
      </c>
      <c r="S56" s="654">
        <f t="shared" si="56"/>
        <v>0</v>
      </c>
      <c r="T56" s="656" t="str">
        <f>+VLOOKUP($L56,Data_Validation!$A:$D,1,0)</f>
        <v>424</v>
      </c>
      <c r="U56" s="656">
        <f>+VLOOKUP($L56,Data_Validation!$A:$D,3,0)</f>
        <v>0</v>
      </c>
      <c r="V56" s="656">
        <f>+VLOOKUP($L56,Data_Validation!$A:$D,4,0)</f>
        <v>0</v>
      </c>
      <c r="W56" s="656">
        <f>+VLOOKUP($L56,Data_Validation!$A:$E,5,0)</f>
        <v>0</v>
      </c>
      <c r="X56" s="656">
        <f>+VLOOKUP($L56,Data_Validation!$A:$F,6,0)</f>
        <v>0</v>
      </c>
    </row>
    <row r="57" spans="1:24" ht="15" hidden="1" customHeight="1">
      <c r="A57" s="1213" t="s">
        <v>777</v>
      </c>
      <c r="B57" s="1213" t="s">
        <v>1921</v>
      </c>
      <c r="C57" s="1214"/>
      <c r="D57" s="1214"/>
      <c r="E57" s="1214"/>
      <c r="F57" s="1213" t="s">
        <v>2</v>
      </c>
      <c r="G57" s="1213" t="s">
        <v>3330</v>
      </c>
      <c r="H57" s="1214"/>
      <c r="I57" s="1215">
        <v>0.4</v>
      </c>
      <c r="J57" s="1215">
        <v>0</v>
      </c>
      <c r="K57" s="1215">
        <v>0.4</v>
      </c>
      <c r="L57" s="653" t="str">
        <f t="shared" si="2"/>
        <v>425</v>
      </c>
      <c r="M57" s="654" t="str">
        <f t="shared" si="0"/>
        <v>UNITES USAGES DET./ MAI</v>
      </c>
      <c r="N57" s="655">
        <f>+IF(OR($Q57=Parametres!$G$2,$Q57=Parametres!$G$3),I57,C57)</f>
        <v>0.4</v>
      </c>
      <c r="O57" s="655">
        <f>+IF(OR($Q57=Parametres!$G$2,$Q57=Parametres!$G$3),J57,D57)</f>
        <v>0</v>
      </c>
      <c r="P57" s="655">
        <f>+IF(OR($Q57=Parametres!$G$2,$Q57=Parametres!$G$3),K57,E57)</f>
        <v>0.4</v>
      </c>
      <c r="Q57" s="654" t="str">
        <f t="shared" ref="Q57:S57" si="57">+F57</f>
        <v>1-Mémo</v>
      </c>
      <c r="R57" s="653" t="str">
        <f t="shared" si="57"/>
        <v>42</v>
      </c>
      <c r="S57" s="654">
        <f t="shared" si="57"/>
        <v>0</v>
      </c>
      <c r="T57" s="656" t="str">
        <f>+VLOOKUP($L57,Data_Validation!$A:$D,1,0)</f>
        <v>425</v>
      </c>
      <c r="U57" s="656">
        <f>+VLOOKUP($L57,Data_Validation!$A:$D,3,0)</f>
        <v>0</v>
      </c>
      <c r="V57" s="656">
        <f>+VLOOKUP($L57,Data_Validation!$A:$D,4,0)</f>
        <v>0</v>
      </c>
      <c r="W57" s="656">
        <f>+VLOOKUP($L57,Data_Validation!$A:$E,5,0)</f>
        <v>0</v>
      </c>
      <c r="X57" s="656">
        <f>+VLOOKUP($L57,Data_Validation!$A:$F,6,0)</f>
        <v>0</v>
      </c>
    </row>
    <row r="58" spans="1:24" ht="15" hidden="1" customHeight="1">
      <c r="A58" s="1213" t="s">
        <v>778</v>
      </c>
      <c r="B58" s="1213" t="s">
        <v>1924</v>
      </c>
      <c r="C58" s="1214"/>
      <c r="D58" s="1214"/>
      <c r="E58" s="1214"/>
      <c r="F58" s="1213" t="s">
        <v>2</v>
      </c>
      <c r="G58" s="1213" t="s">
        <v>3330</v>
      </c>
      <c r="H58" s="1214"/>
      <c r="I58" s="1215">
        <v>0.33</v>
      </c>
      <c r="J58" s="1215">
        <v>0</v>
      </c>
      <c r="K58" s="1215">
        <v>0.33</v>
      </c>
      <c r="L58" s="653" t="str">
        <f t="shared" si="2"/>
        <v>426</v>
      </c>
      <c r="M58" s="654" t="str">
        <f t="shared" si="0"/>
        <v>UNITES USAGES DET./ JUIN</v>
      </c>
      <c r="N58" s="655">
        <f>+IF(OR($Q58=Parametres!$G$2,$Q58=Parametres!$G$3),I58,C58)</f>
        <v>0.33</v>
      </c>
      <c r="O58" s="655">
        <f>+IF(OR($Q58=Parametres!$G$2,$Q58=Parametres!$G$3),J58,D58)</f>
        <v>0</v>
      </c>
      <c r="P58" s="655">
        <f>+IF(OR($Q58=Parametres!$G$2,$Q58=Parametres!$G$3),K58,E58)</f>
        <v>0.33</v>
      </c>
      <c r="Q58" s="654" t="str">
        <f t="shared" ref="Q58:S58" si="58">+F58</f>
        <v>1-Mémo</v>
      </c>
      <c r="R58" s="653" t="str">
        <f t="shared" si="58"/>
        <v>42</v>
      </c>
      <c r="S58" s="654">
        <f t="shared" si="58"/>
        <v>0</v>
      </c>
      <c r="T58" s="656" t="str">
        <f>+VLOOKUP($L58,Data_Validation!$A:$D,1,0)</f>
        <v>426</v>
      </c>
      <c r="U58" s="656">
        <f>+VLOOKUP($L58,Data_Validation!$A:$D,3,0)</f>
        <v>0</v>
      </c>
      <c r="V58" s="656">
        <f>+VLOOKUP($L58,Data_Validation!$A:$D,4,0)</f>
        <v>0</v>
      </c>
      <c r="W58" s="656">
        <f>+VLOOKUP($L58,Data_Validation!$A:$E,5,0)</f>
        <v>0</v>
      </c>
      <c r="X58" s="656">
        <f>+VLOOKUP($L58,Data_Validation!$A:$F,6,0)</f>
        <v>0</v>
      </c>
    </row>
    <row r="59" spans="1:24" ht="15" hidden="1" customHeight="1">
      <c r="A59" s="1213" t="s">
        <v>779</v>
      </c>
      <c r="B59" s="1213" t="s">
        <v>1927</v>
      </c>
      <c r="C59" s="1214"/>
      <c r="D59" s="1214"/>
      <c r="E59" s="1214"/>
      <c r="F59" s="1213" t="s">
        <v>2</v>
      </c>
      <c r="G59" s="1213" t="s">
        <v>3330</v>
      </c>
      <c r="H59" s="1214"/>
      <c r="I59" s="1215">
        <v>0.33</v>
      </c>
      <c r="J59" s="1215">
        <v>0</v>
      </c>
      <c r="K59" s="1215">
        <v>0.33</v>
      </c>
      <c r="L59" s="653" t="str">
        <f t="shared" si="2"/>
        <v>427</v>
      </c>
      <c r="M59" s="654" t="str">
        <f t="shared" si="0"/>
        <v>UNITES USAGES DET./ JUILLET</v>
      </c>
      <c r="N59" s="655">
        <f>+IF(OR($Q59=Parametres!$G$2,$Q59=Parametres!$G$3),I59,C59)</f>
        <v>0.33</v>
      </c>
      <c r="O59" s="659">
        <f>+IF(OR($Q59=Parametres!$G$2,$Q59=Parametres!$G$3),J59,D59)</f>
        <v>0</v>
      </c>
      <c r="P59" s="655">
        <f>+IF(OR($Q59=Parametres!$G$2,$Q59=Parametres!$G$3),K59,E59)</f>
        <v>0.33</v>
      </c>
      <c r="Q59" s="654" t="str">
        <f t="shared" ref="Q59:S59" si="59">+F59</f>
        <v>1-Mémo</v>
      </c>
      <c r="R59" s="653" t="str">
        <f t="shared" si="59"/>
        <v>42</v>
      </c>
      <c r="S59" s="654">
        <f t="shared" si="59"/>
        <v>0</v>
      </c>
      <c r="T59" s="656" t="str">
        <f>+VLOOKUP($L59,Data_Validation!$A:$D,1,0)</f>
        <v>427</v>
      </c>
      <c r="U59" s="656">
        <f>+VLOOKUP($L59,Data_Validation!$A:$D,3,0)</f>
        <v>0</v>
      </c>
      <c r="V59" s="656">
        <f>+VLOOKUP($L59,Data_Validation!$A:$D,4,0)</f>
        <v>0</v>
      </c>
      <c r="W59" s="656">
        <f>+VLOOKUP($L59,Data_Validation!$A:$E,5,0)</f>
        <v>0</v>
      </c>
      <c r="X59" s="656">
        <f>+VLOOKUP($L59,Data_Validation!$A:$F,6,0)</f>
        <v>0</v>
      </c>
    </row>
    <row r="60" spans="1:24" ht="15" hidden="1" customHeight="1">
      <c r="A60" s="1213" t="s">
        <v>780</v>
      </c>
      <c r="B60" s="1213" t="s">
        <v>1930</v>
      </c>
      <c r="C60" s="1214"/>
      <c r="D60" s="1214"/>
      <c r="E60" s="1214"/>
      <c r="F60" s="1213" t="s">
        <v>2</v>
      </c>
      <c r="G60" s="1213" t="s">
        <v>3330</v>
      </c>
      <c r="H60" s="1214"/>
      <c r="I60" s="1215">
        <v>0.25</v>
      </c>
      <c r="J60" s="1215">
        <v>0</v>
      </c>
      <c r="K60" s="1215">
        <v>0.25</v>
      </c>
      <c r="L60" s="653" t="str">
        <f t="shared" si="2"/>
        <v>428</v>
      </c>
      <c r="M60" s="654" t="str">
        <f t="shared" si="0"/>
        <v>UNITES USAGES DET./ AOUT</v>
      </c>
      <c r="N60" s="655">
        <f>+IF(OR($Q60=Parametres!$G$2,$Q60=Parametres!$G$3),I60,C60)</f>
        <v>0.25</v>
      </c>
      <c r="O60" s="655">
        <f>+IF(OR($Q60=Parametres!$G$2,$Q60=Parametres!$G$3),J60,D60)</f>
        <v>0</v>
      </c>
      <c r="P60" s="655">
        <f>+IF(OR($Q60=Parametres!$G$2,$Q60=Parametres!$G$3),K60,E60)</f>
        <v>0.25</v>
      </c>
      <c r="Q60" s="654" t="str">
        <f t="shared" ref="Q60:S60" si="60">+F60</f>
        <v>1-Mémo</v>
      </c>
      <c r="R60" s="653" t="str">
        <f t="shared" si="60"/>
        <v>42</v>
      </c>
      <c r="S60" s="654">
        <f t="shared" si="60"/>
        <v>0</v>
      </c>
      <c r="T60" s="656" t="str">
        <f>+VLOOKUP($L60,Data_Validation!$A:$D,1,0)</f>
        <v>428</v>
      </c>
      <c r="U60" s="656">
        <f>+VLOOKUP($L60,Data_Validation!$A:$D,3,0)</f>
        <v>0</v>
      </c>
      <c r="V60" s="656">
        <f>+VLOOKUP($L60,Data_Validation!$A:$D,4,0)</f>
        <v>0</v>
      </c>
      <c r="W60" s="656">
        <f>+VLOOKUP($L60,Data_Validation!$A:$E,5,0)</f>
        <v>0</v>
      </c>
      <c r="X60" s="656">
        <f>+VLOOKUP($L60,Data_Validation!$A:$F,6,0)</f>
        <v>0</v>
      </c>
    </row>
    <row r="61" spans="1:24" ht="15" hidden="1" customHeight="1">
      <c r="A61" s="1213" t="s">
        <v>781</v>
      </c>
      <c r="B61" s="1213" t="s">
        <v>1939</v>
      </c>
      <c r="C61" s="1214"/>
      <c r="D61" s="1214"/>
      <c r="E61" s="1214"/>
      <c r="F61" s="1213" t="s">
        <v>2</v>
      </c>
      <c r="G61" s="1213" t="s">
        <v>3330</v>
      </c>
      <c r="H61" s="1214"/>
      <c r="I61" s="1215">
        <v>0.28999999999999998</v>
      </c>
      <c r="J61" s="1215">
        <v>0</v>
      </c>
      <c r="K61" s="1215">
        <v>0.28999999999999998</v>
      </c>
      <c r="L61" s="653" t="str">
        <f t="shared" si="2"/>
        <v>429</v>
      </c>
      <c r="M61" s="654" t="str">
        <f t="shared" si="0"/>
        <v>UNITES USAGES DET./ SEPT.</v>
      </c>
      <c r="N61" s="655">
        <f>+IF(OR($Q61=Parametres!$G$2,$Q61=Parametres!$G$3),I61,C61)</f>
        <v>0.28999999999999998</v>
      </c>
      <c r="O61" s="655">
        <f>+IF(OR($Q61=Parametres!$G$2,$Q61=Parametres!$G$3),J61,D61)</f>
        <v>0</v>
      </c>
      <c r="P61" s="655">
        <f>+IF(OR($Q61=Parametres!$G$2,$Q61=Parametres!$G$3),K61,E61)</f>
        <v>0.28999999999999998</v>
      </c>
      <c r="Q61" s="654" t="str">
        <f t="shared" ref="Q61:S61" si="61">+F61</f>
        <v>1-Mémo</v>
      </c>
      <c r="R61" s="653" t="str">
        <f t="shared" si="61"/>
        <v>42</v>
      </c>
      <c r="S61" s="654">
        <f t="shared" si="61"/>
        <v>0</v>
      </c>
      <c r="T61" s="656" t="str">
        <f>+VLOOKUP($L61,Data_Validation!$A:$D,1,0)</f>
        <v>429</v>
      </c>
      <c r="U61" s="656">
        <f>+VLOOKUP($L61,Data_Validation!$A:$D,3,0)</f>
        <v>0</v>
      </c>
      <c r="V61" s="656">
        <f>+VLOOKUP($L61,Data_Validation!$A:$D,4,0)</f>
        <v>0</v>
      </c>
      <c r="W61" s="656">
        <f>+VLOOKUP($L61,Data_Validation!$A:$E,5,0)</f>
        <v>0</v>
      </c>
      <c r="X61" s="656">
        <f>+VLOOKUP($L61,Data_Validation!$A:$F,6,0)</f>
        <v>0</v>
      </c>
    </row>
    <row r="62" spans="1:24" ht="15" hidden="1" customHeight="1">
      <c r="A62" s="1213" t="s">
        <v>782</v>
      </c>
      <c r="B62" s="1213" t="s">
        <v>1947</v>
      </c>
      <c r="C62" s="1214"/>
      <c r="D62" s="1214"/>
      <c r="E62" s="1214"/>
      <c r="F62" s="1213" t="s">
        <v>2</v>
      </c>
      <c r="G62" s="1213" t="s">
        <v>3330</v>
      </c>
      <c r="H62" s="1214"/>
      <c r="I62" s="1215">
        <v>0.43</v>
      </c>
      <c r="J62" s="1215">
        <v>0</v>
      </c>
      <c r="K62" s="1215">
        <v>0.43</v>
      </c>
      <c r="L62" s="653" t="str">
        <f t="shared" si="2"/>
        <v>430</v>
      </c>
      <c r="M62" s="654" t="str">
        <f t="shared" si="0"/>
        <v>UNITES USAGES DET./ OCT.</v>
      </c>
      <c r="N62" s="655">
        <f>+IF(OR($Q62=Parametres!$G$2,$Q62=Parametres!$G$3),I62,C62)</f>
        <v>0.43</v>
      </c>
      <c r="O62" s="655">
        <f>+IF(OR($Q62=Parametres!$G$2,$Q62=Parametres!$G$3),J62,D62)</f>
        <v>0</v>
      </c>
      <c r="P62" s="655">
        <f>+IF(OR($Q62=Parametres!$G$2,$Q62=Parametres!$G$3),K62,E62)</f>
        <v>0.43</v>
      </c>
      <c r="Q62" s="654" t="str">
        <f t="shared" ref="Q62:S62" si="62">+F62</f>
        <v>1-Mémo</v>
      </c>
      <c r="R62" s="653" t="str">
        <f t="shared" si="62"/>
        <v>42</v>
      </c>
      <c r="S62" s="654">
        <f t="shared" si="62"/>
        <v>0</v>
      </c>
      <c r="T62" s="656" t="str">
        <f>+VLOOKUP($L62,Data_Validation!$A:$D,1,0)</f>
        <v>430</v>
      </c>
      <c r="U62" s="656">
        <f>+VLOOKUP($L62,Data_Validation!$A:$D,3,0)</f>
        <v>0</v>
      </c>
      <c r="V62" s="656">
        <f>+VLOOKUP($L62,Data_Validation!$A:$D,4,0)</f>
        <v>0</v>
      </c>
      <c r="W62" s="656">
        <f>+VLOOKUP($L62,Data_Validation!$A:$E,5,0)</f>
        <v>0</v>
      </c>
      <c r="X62" s="656">
        <f>+VLOOKUP($L62,Data_Validation!$A:$F,6,0)</f>
        <v>0</v>
      </c>
    </row>
    <row r="63" spans="1:24" ht="15" hidden="1" customHeight="1">
      <c r="A63" s="1213" t="s">
        <v>783</v>
      </c>
      <c r="B63" s="1213" t="s">
        <v>1950</v>
      </c>
      <c r="C63" s="1214"/>
      <c r="D63" s="1214"/>
      <c r="E63" s="1214"/>
      <c r="F63" s="1213" t="s">
        <v>2</v>
      </c>
      <c r="G63" s="1213" t="s">
        <v>3330</v>
      </c>
      <c r="H63" s="1214"/>
      <c r="I63" s="1215">
        <v>0.35</v>
      </c>
      <c r="J63" s="1215">
        <v>0</v>
      </c>
      <c r="K63" s="1215">
        <v>0.35</v>
      </c>
      <c r="L63" s="653" t="str">
        <f t="shared" si="2"/>
        <v>431</v>
      </c>
      <c r="M63" s="654" t="str">
        <f t="shared" si="0"/>
        <v>UNITES USAGES DET./ NOV.</v>
      </c>
      <c r="N63" s="655">
        <f>+IF(OR($Q63=Parametres!$G$2,$Q63=Parametres!$G$3),I63,C63)</f>
        <v>0.35</v>
      </c>
      <c r="O63" s="659">
        <f>+IF(OR($Q63=Parametres!$G$2,$Q63=Parametres!$G$3),J63,D63)</f>
        <v>0</v>
      </c>
      <c r="P63" s="655">
        <f>+IF(OR($Q63=Parametres!$G$2,$Q63=Parametres!$G$3),K63,E63)</f>
        <v>0.35</v>
      </c>
      <c r="Q63" s="654" t="str">
        <f t="shared" ref="Q63:S63" si="63">+F63</f>
        <v>1-Mémo</v>
      </c>
      <c r="R63" s="653" t="str">
        <f t="shared" si="63"/>
        <v>42</v>
      </c>
      <c r="S63" s="654">
        <f t="shared" si="63"/>
        <v>0</v>
      </c>
      <c r="T63" s="656" t="str">
        <f>+VLOOKUP($L63,Data_Validation!$A:$D,1,0)</f>
        <v>431</v>
      </c>
      <c r="U63" s="656">
        <f>+VLOOKUP($L63,Data_Validation!$A:$D,3,0)</f>
        <v>0</v>
      </c>
      <c r="V63" s="656">
        <f>+VLOOKUP($L63,Data_Validation!$A:$D,4,0)</f>
        <v>0</v>
      </c>
      <c r="W63" s="656">
        <f>+VLOOKUP($L63,Data_Validation!$A:$E,5,0)</f>
        <v>0</v>
      </c>
      <c r="X63" s="656">
        <f>+VLOOKUP($L63,Data_Validation!$A:$F,6,0)</f>
        <v>0</v>
      </c>
    </row>
    <row r="64" spans="1:24" ht="15" hidden="1" customHeight="1">
      <c r="A64" s="1213" t="s">
        <v>784</v>
      </c>
      <c r="B64" s="1213" t="s">
        <v>2055</v>
      </c>
      <c r="C64" s="1214"/>
      <c r="D64" s="1214"/>
      <c r="E64" s="1214"/>
      <c r="F64" s="1213" t="s">
        <v>2</v>
      </c>
      <c r="G64" s="1213" t="s">
        <v>785</v>
      </c>
      <c r="H64" s="1214"/>
      <c r="I64" s="1215">
        <v>1</v>
      </c>
      <c r="J64" s="1215">
        <v>0</v>
      </c>
      <c r="K64" s="1215">
        <v>1</v>
      </c>
      <c r="L64" s="653" t="str">
        <f t="shared" si="2"/>
        <v>500</v>
      </c>
      <c r="M64" s="654" t="str">
        <f t="shared" si="0"/>
        <v>PROPRIETAIRES</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f t="shared" si="64"/>
        <v>0</v>
      </c>
      <c r="T64" s="656" t="str">
        <f>+VLOOKUP($L64,Data_Validation!$A:$D,1,0)</f>
        <v>500</v>
      </c>
      <c r="U64" s="656">
        <f>+VLOOKUP($L64,Data_Validation!$A:$D,3,0)</f>
        <v>0</v>
      </c>
      <c r="V64" s="656">
        <f>+VLOOKUP($L64,Data_Validation!$A:$D,4,0)</f>
        <v>0</v>
      </c>
      <c r="W64" s="656" t="str">
        <f>+VLOOKUP($L64,Data_Validation!$A:$E,5,0)</f>
        <v>$</v>
      </c>
      <c r="X64" s="656">
        <f>+VLOOKUP($L64,Data_Validation!$A:$F,6,0)</f>
        <v>0</v>
      </c>
    </row>
    <row r="65" spans="1:24" ht="15" hidden="1" customHeight="1">
      <c r="A65" s="1213" t="s">
        <v>786</v>
      </c>
      <c r="B65" s="1213" t="s">
        <v>1113</v>
      </c>
      <c r="C65" s="1214"/>
      <c r="D65" s="1214"/>
      <c r="E65" s="1214"/>
      <c r="F65" s="1213" t="s">
        <v>2</v>
      </c>
      <c r="G65" s="1213" t="s">
        <v>785</v>
      </c>
      <c r="H65" s="1214"/>
      <c r="I65" s="1215">
        <v>0.5</v>
      </c>
      <c r="J65" s="1215">
        <v>0</v>
      </c>
      <c r="K65" s="1215">
        <v>0.5</v>
      </c>
      <c r="L65" s="653" t="str">
        <f t="shared" si="2"/>
        <v>511</v>
      </c>
      <c r="M65" s="654" t="str">
        <f t="shared" si="0"/>
        <v>DIR. GENERAL NEUFS</v>
      </c>
      <c r="N65" s="655">
        <f>+IF(OR($Q65=Parametres!$G$2,$Q65=Parametres!$G$3),I65,C65)</f>
        <v>0.5</v>
      </c>
      <c r="O65" s="659">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511</v>
      </c>
      <c r="U65" s="656">
        <f>+VLOOKUP($L65,Data_Validation!$A:$D,3,0)</f>
        <v>0</v>
      </c>
      <c r="V65" s="656">
        <f>+VLOOKUP($L65,Data_Validation!$A:$D,4,0)</f>
        <v>0</v>
      </c>
      <c r="W65" s="656" t="str">
        <f>+VLOOKUP($L65,Data_Validation!$A:$E,5,0)</f>
        <v>$</v>
      </c>
      <c r="X65" s="656">
        <f>+VLOOKUP($L65,Data_Validation!$A:$F,6,0)</f>
        <v>0</v>
      </c>
    </row>
    <row r="66" spans="1:24" ht="15" hidden="1" customHeight="1">
      <c r="A66" s="1213" t="s">
        <v>787</v>
      </c>
      <c r="B66" s="1213" t="s">
        <v>2087</v>
      </c>
      <c r="C66" s="1214"/>
      <c r="D66" s="1214"/>
      <c r="E66" s="1214"/>
      <c r="F66" s="1213" t="s">
        <v>2</v>
      </c>
      <c r="G66" s="1213" t="s">
        <v>785</v>
      </c>
      <c r="H66" s="1214"/>
      <c r="I66" s="1215">
        <v>0.5</v>
      </c>
      <c r="J66" s="1215">
        <v>0</v>
      </c>
      <c r="K66" s="1215">
        <v>0.5</v>
      </c>
      <c r="L66" s="653" t="str">
        <f t="shared" si="2"/>
        <v>512</v>
      </c>
      <c r="M66" s="654" t="str">
        <f t="shared" si="0"/>
        <v>DIR. GENERAL USAGES</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512</v>
      </c>
      <c r="U66" s="656">
        <f>+VLOOKUP($L66,Data_Validation!$A:$D,3,0)</f>
        <v>0</v>
      </c>
      <c r="V66" s="656">
        <f>+VLOOKUP($L66,Data_Validation!$A:$D,4,0)</f>
        <v>0</v>
      </c>
      <c r="W66" s="656" t="str">
        <f>+VLOOKUP($L66,Data_Validation!$A:$E,5,0)</f>
        <v>$</v>
      </c>
      <c r="X66" s="656">
        <f>+VLOOKUP($L66,Data_Validation!$A:$F,6,0)</f>
        <v>0</v>
      </c>
    </row>
    <row r="67" spans="1:24" ht="15" hidden="1" customHeight="1">
      <c r="A67" s="1213" t="s">
        <v>788</v>
      </c>
      <c r="B67" s="1213" t="s">
        <v>1120</v>
      </c>
      <c r="C67" s="1214"/>
      <c r="D67" s="1214"/>
      <c r="E67" s="1214"/>
      <c r="F67" s="1213" t="s">
        <v>2</v>
      </c>
      <c r="G67" s="1213" t="s">
        <v>785</v>
      </c>
      <c r="H67" s="1214"/>
      <c r="I67" s="1215">
        <v>0.5</v>
      </c>
      <c r="J67" s="1215">
        <v>0</v>
      </c>
      <c r="K67" s="1215">
        <v>0.5</v>
      </c>
      <c r="L67" s="653" t="str">
        <f t="shared" ref="L67:L130" si="67">TEXT(B67,0)</f>
        <v>514</v>
      </c>
      <c r="M67" s="654" t="str">
        <f t="shared" si="0"/>
        <v>DIR. GENERAL SERVICE</v>
      </c>
      <c r="N67" s="655">
        <f>+IF(OR($Q67=Parametres!$G$2,$Q67=Parametres!$G$3),I67,C67)</f>
        <v>0.5</v>
      </c>
      <c r="O67" s="655">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514</v>
      </c>
      <c r="U67" s="656">
        <f>+VLOOKUP($L67,Data_Validation!$A:$D,3,0)</f>
        <v>0</v>
      </c>
      <c r="V67" s="656">
        <f>+VLOOKUP($L67,Data_Validation!$A:$D,4,0)</f>
        <v>0</v>
      </c>
      <c r="W67" s="656" t="str">
        <f>+VLOOKUP($L67,Data_Validation!$A:$E,5,0)</f>
        <v>$</v>
      </c>
      <c r="X67" s="656">
        <f>+VLOOKUP($L67,Data_Validation!$A:$F,6,0)</f>
        <v>0</v>
      </c>
    </row>
    <row r="68" spans="1:24" ht="15" hidden="1" customHeight="1">
      <c r="A68" s="1213" t="s">
        <v>789</v>
      </c>
      <c r="B68" s="1213" t="s">
        <v>2110</v>
      </c>
      <c r="C68" s="1214"/>
      <c r="D68" s="1214"/>
      <c r="E68" s="1214"/>
      <c r="F68" s="1213" t="s">
        <v>2</v>
      </c>
      <c r="G68" s="1213" t="s">
        <v>785</v>
      </c>
      <c r="H68" s="1214"/>
      <c r="I68" s="1215">
        <v>0.5</v>
      </c>
      <c r="J68" s="1215">
        <v>0</v>
      </c>
      <c r="K68" s="1215">
        <v>0.5</v>
      </c>
      <c r="L68" s="653" t="str">
        <f t="shared" si="67"/>
        <v>517</v>
      </c>
      <c r="M68" s="654" t="str">
        <f t="shared" si="0"/>
        <v>DIR. GENERAL PIECES</v>
      </c>
      <c r="N68" s="655">
        <f>+IF(OR($Q68=Parametres!$G$2,$Q68=Parametres!$G$3),I68,C68)</f>
        <v>0.5</v>
      </c>
      <c r="O68" s="659">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517</v>
      </c>
      <c r="U68" s="656">
        <f>+VLOOKUP($L68,Data_Validation!$A:$D,3,0)</f>
        <v>0</v>
      </c>
      <c r="V68" s="656">
        <f>+VLOOKUP($L68,Data_Validation!$A:$D,4,0)</f>
        <v>0</v>
      </c>
      <c r="W68" s="656" t="str">
        <f>+VLOOKUP($L68,Data_Validation!$A:$E,5,0)</f>
        <v>$</v>
      </c>
      <c r="X68" s="656">
        <f>+VLOOKUP($L68,Data_Validation!$A:$F,6,0)</f>
        <v>0</v>
      </c>
    </row>
    <row r="69" spans="1:24" ht="15" hidden="1" customHeight="1">
      <c r="A69" s="1213" t="s">
        <v>790</v>
      </c>
      <c r="B69" s="1213" t="s">
        <v>2119</v>
      </c>
      <c r="C69" s="1214"/>
      <c r="D69" s="1214"/>
      <c r="E69" s="1214"/>
      <c r="F69" s="1213" t="s">
        <v>2</v>
      </c>
      <c r="G69" s="1213" t="s">
        <v>785</v>
      </c>
      <c r="H69" s="1214"/>
      <c r="I69" s="1215">
        <v>0.5</v>
      </c>
      <c r="J69" s="1215">
        <v>0</v>
      </c>
      <c r="K69" s="1215">
        <v>0.5</v>
      </c>
      <c r="L69" s="653" t="str">
        <f t="shared" si="67"/>
        <v>521</v>
      </c>
      <c r="M69" s="654" t="str">
        <f t="shared" si="0"/>
        <v>DIR. SERVICE NEUFS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521</v>
      </c>
      <c r="U69" s="656">
        <f>+VLOOKUP($L69,Data_Validation!$A:$D,3,0)</f>
        <v>0</v>
      </c>
      <c r="V69" s="656">
        <f>+VLOOKUP($L69,Data_Validation!$A:$D,4,0)</f>
        <v>0</v>
      </c>
      <c r="W69" s="656" t="str">
        <f>+VLOOKUP($L69,Data_Validation!$A:$E,5,0)</f>
        <v>$</v>
      </c>
      <c r="X69" s="656">
        <f>+VLOOKUP($L69,Data_Validation!$A:$F,6,0)</f>
        <v>0</v>
      </c>
    </row>
    <row r="70" spans="1:24" ht="15" hidden="1" customHeight="1">
      <c r="A70" s="1213" t="s">
        <v>791</v>
      </c>
      <c r="B70" s="1213" t="s">
        <v>2128</v>
      </c>
      <c r="C70" s="1214"/>
      <c r="D70" s="1214"/>
      <c r="E70" s="1214"/>
      <c r="F70" s="1213" t="s">
        <v>2</v>
      </c>
      <c r="G70" s="1213" t="s">
        <v>785</v>
      </c>
      <c r="H70" s="1214"/>
      <c r="I70" s="1215">
        <v>0.5</v>
      </c>
      <c r="J70" s="1215">
        <v>0</v>
      </c>
      <c r="K70" s="1215">
        <v>0.5</v>
      </c>
      <c r="L70" s="653" t="str">
        <f t="shared" si="67"/>
        <v>522</v>
      </c>
      <c r="M70" s="654" t="str">
        <f t="shared" si="0"/>
        <v>DIR. SERVICE USAGES</v>
      </c>
      <c r="N70" s="655">
        <f>+IF(OR($Q70=Parametres!$G$2,$Q70=Parametres!$G$3),I70,C70)</f>
        <v>0.5</v>
      </c>
      <c r="O70" s="655">
        <f>+IF(OR($Q70=Parametres!$G$2,$Q70=Parametres!$G$3),J70,D70)</f>
        <v>0</v>
      </c>
      <c r="P70" s="655">
        <f>+IF(OR($Q70=Parametres!$G$2,$Q70=Parametres!$G$3),K70,E70)</f>
        <v>0.5</v>
      </c>
      <c r="Q70" s="654" t="str">
        <f t="shared" ref="Q70:S70" si="71">+F70</f>
        <v>1-Mémo</v>
      </c>
      <c r="R70" s="653" t="str">
        <f t="shared" si="71"/>
        <v>50</v>
      </c>
      <c r="S70" s="654">
        <f t="shared" si="71"/>
        <v>0</v>
      </c>
      <c r="T70" s="656" t="str">
        <f>+VLOOKUP($L70,Data_Validation!$A:$D,1,0)</f>
        <v>522</v>
      </c>
      <c r="U70" s="656">
        <f>+VLOOKUP($L70,Data_Validation!$A:$D,3,0)</f>
        <v>0</v>
      </c>
      <c r="V70" s="656">
        <f>+VLOOKUP($L70,Data_Validation!$A:$D,4,0)</f>
        <v>0</v>
      </c>
      <c r="W70" s="656" t="str">
        <f>+VLOOKUP($L70,Data_Validation!$A:$E,5,0)</f>
        <v>$</v>
      </c>
      <c r="X70" s="656">
        <f>+VLOOKUP($L70,Data_Validation!$A:$F,6,0)</f>
        <v>0</v>
      </c>
    </row>
    <row r="71" spans="1:24" ht="15" hidden="1" customHeight="1">
      <c r="A71" s="1213" t="s">
        <v>792</v>
      </c>
      <c r="B71" s="1213" t="s">
        <v>2131</v>
      </c>
      <c r="C71" s="1214"/>
      <c r="D71" s="1214"/>
      <c r="E71" s="1214"/>
      <c r="F71" s="1213" t="s">
        <v>2</v>
      </c>
      <c r="G71" s="1213" t="s">
        <v>785</v>
      </c>
      <c r="H71" s="1214"/>
      <c r="I71" s="1215">
        <v>1</v>
      </c>
      <c r="J71" s="1215">
        <v>0</v>
      </c>
      <c r="K71" s="1215">
        <v>1</v>
      </c>
      <c r="L71" s="653" t="str">
        <f t="shared" si="67"/>
        <v>524</v>
      </c>
      <c r="M71" s="654" t="str">
        <f t="shared" si="0"/>
        <v>DIR. SERVICE SERVICE</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524</v>
      </c>
      <c r="U71" s="656">
        <f>+VLOOKUP($L71,Data_Validation!$A:$D,3,0)</f>
        <v>0</v>
      </c>
      <c r="V71" s="656">
        <f>+VLOOKUP($L71,Data_Validation!$A:$D,4,0)</f>
        <v>0</v>
      </c>
      <c r="W71" s="656" t="str">
        <f>+VLOOKUP($L71,Data_Validation!$A:$E,5,0)</f>
        <v>$</v>
      </c>
      <c r="X71" s="656">
        <f>+VLOOKUP($L71,Data_Validation!$A:$F,6,0)</f>
        <v>0</v>
      </c>
    </row>
    <row r="72" spans="1:24" ht="15" hidden="1" customHeight="1">
      <c r="A72" s="1213" t="s">
        <v>793</v>
      </c>
      <c r="B72" s="1213" t="s">
        <v>2133</v>
      </c>
      <c r="C72" s="1214"/>
      <c r="D72" s="1214"/>
      <c r="E72" s="1214"/>
      <c r="F72" s="1213" t="s">
        <v>2</v>
      </c>
      <c r="G72" s="1213" t="s">
        <v>785</v>
      </c>
      <c r="H72" s="1214"/>
      <c r="I72" s="1215">
        <v>1</v>
      </c>
      <c r="J72" s="1215">
        <v>0</v>
      </c>
      <c r="K72" s="1215">
        <v>1</v>
      </c>
      <c r="L72" s="653" t="str">
        <f t="shared" si="67"/>
        <v>527</v>
      </c>
      <c r="M72" s="654" t="str">
        <f t="shared" si="0"/>
        <v>DIR. SERVICE PIECES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f t="shared" si="73"/>
        <v>0</v>
      </c>
      <c r="T72" s="656" t="str">
        <f>+VLOOKUP($L72,Data_Validation!$A:$D,1,0)</f>
        <v>527</v>
      </c>
      <c r="U72" s="656">
        <f>+VLOOKUP($L72,Data_Validation!$A:$D,3,0)</f>
        <v>0</v>
      </c>
      <c r="V72" s="656">
        <f>+VLOOKUP($L72,Data_Validation!$A:$D,4,0)</f>
        <v>0</v>
      </c>
      <c r="W72" s="656" t="str">
        <f>+VLOOKUP($L72,Data_Validation!$A:$E,5,0)</f>
        <v>$</v>
      </c>
      <c r="X72" s="656">
        <f>+VLOOKUP($L72,Data_Validation!$A:$F,6,0)</f>
        <v>0</v>
      </c>
    </row>
    <row r="73" spans="1:24" ht="15" hidden="1" customHeight="1">
      <c r="A73" s="1213" t="s">
        <v>794</v>
      </c>
      <c r="B73" s="1213" t="s">
        <v>2157</v>
      </c>
      <c r="C73" s="1214"/>
      <c r="D73" s="1214"/>
      <c r="E73" s="1214"/>
      <c r="F73" s="1213" t="s">
        <v>2</v>
      </c>
      <c r="G73" s="1213" t="s">
        <v>3331</v>
      </c>
      <c r="H73" s="1214"/>
      <c r="I73" s="1215">
        <v>6</v>
      </c>
      <c r="J73" s="1215">
        <v>0</v>
      </c>
      <c r="K73" s="1215">
        <v>6</v>
      </c>
      <c r="L73" s="653" t="str">
        <f t="shared" si="67"/>
        <v>541</v>
      </c>
      <c r="M73" s="654" t="str">
        <f t="shared" si="0"/>
        <v>VW REP. DES VENTES - NEUF</v>
      </c>
      <c r="N73" s="655">
        <f>+IF(OR($Q73=Parametres!$G$2,$Q73=Parametres!$G$3),I73,C73)</f>
        <v>6</v>
      </c>
      <c r="O73" s="655">
        <f>+IF(OR($Q73=Parametres!$G$2,$Q73=Parametres!$G$3),J73,D73)</f>
        <v>0</v>
      </c>
      <c r="P73" s="655">
        <f>+IF(OR($Q73=Parametres!$G$2,$Q73=Parametres!$G$3),K73,E73)</f>
        <v>6</v>
      </c>
      <c r="Q73" s="654" t="str">
        <f t="shared" ref="Q73:S73" si="74">+F73</f>
        <v>1-Mémo</v>
      </c>
      <c r="R73" s="653" t="str">
        <f t="shared" si="74"/>
        <v>54</v>
      </c>
      <c r="S73" s="654">
        <f t="shared" si="74"/>
        <v>0</v>
      </c>
      <c r="T73" s="656" t="str">
        <f>+VLOOKUP($L73,Data_Validation!$A:$D,1,0)</f>
        <v>541</v>
      </c>
      <c r="U73" s="656">
        <f>+VLOOKUP($L73,Data_Validation!$A:$D,3,0)</f>
        <v>0</v>
      </c>
      <c r="V73" s="656">
        <f>+VLOOKUP($L73,Data_Validation!$A:$D,4,0)</f>
        <v>0</v>
      </c>
      <c r="W73" s="656" t="str">
        <f>+VLOOKUP($L73,Data_Validation!$A:$E,5,0)</f>
        <v>$</v>
      </c>
      <c r="X73" s="656">
        <f>+VLOOKUP($L73,Data_Validation!$A:$F,6,0)</f>
        <v>0</v>
      </c>
    </row>
    <row r="74" spans="1:24" ht="15" hidden="1" customHeight="1">
      <c r="A74" s="1213" t="s">
        <v>795</v>
      </c>
      <c r="B74" s="1213" t="s">
        <v>2163</v>
      </c>
      <c r="C74" s="1214"/>
      <c r="D74" s="1214"/>
      <c r="E74" s="1214"/>
      <c r="F74" s="1213" t="s">
        <v>2</v>
      </c>
      <c r="G74" s="1213" t="s">
        <v>785</v>
      </c>
      <c r="H74" s="1214"/>
      <c r="I74" s="1215">
        <v>3</v>
      </c>
      <c r="J74" s="1215">
        <v>0</v>
      </c>
      <c r="K74" s="1215">
        <v>3</v>
      </c>
      <c r="L74" s="653" t="str">
        <f t="shared" si="67"/>
        <v>542</v>
      </c>
      <c r="M74" s="654" t="str">
        <f t="shared" si="0"/>
        <v>VW REP. DES VENTES - OCC.</v>
      </c>
      <c r="N74" s="655">
        <f>+IF(OR($Q74=Parametres!$G$2,$Q74=Parametres!$G$3),I74,C74)</f>
        <v>3</v>
      </c>
      <c r="O74" s="655">
        <f>+IF(OR($Q74=Parametres!$G$2,$Q74=Parametres!$G$3),J74,D74)</f>
        <v>0</v>
      </c>
      <c r="P74" s="655">
        <f>+IF(OR($Q74=Parametres!$G$2,$Q74=Parametres!$G$3),K74,E74)</f>
        <v>3</v>
      </c>
      <c r="Q74" s="654" t="str">
        <f t="shared" ref="Q74:S74" si="75">+F74</f>
        <v>1-Mémo</v>
      </c>
      <c r="R74" s="653" t="str">
        <f t="shared" si="75"/>
        <v>50</v>
      </c>
      <c r="S74" s="654">
        <f t="shared" si="75"/>
        <v>0</v>
      </c>
      <c r="T74" s="656" t="str">
        <f>+VLOOKUP($L74,Data_Validation!$A:$D,1,0)</f>
        <v>542</v>
      </c>
      <c r="U74" s="656">
        <f>+VLOOKUP($L74,Data_Validation!$A:$D,3,0)</f>
        <v>0</v>
      </c>
      <c r="V74" s="656">
        <f>+VLOOKUP($L74,Data_Validation!$A:$D,4,0)</f>
        <v>0</v>
      </c>
      <c r="W74" s="656" t="str">
        <f>+VLOOKUP($L74,Data_Validation!$A:$E,5,0)</f>
        <v>$</v>
      </c>
      <c r="X74" s="656">
        <f>+VLOOKUP($L74,Data_Validation!$A:$F,6,0)</f>
        <v>0</v>
      </c>
    </row>
    <row r="75" spans="1:24" ht="15" hidden="1" customHeight="1">
      <c r="A75" s="1213" t="s">
        <v>796</v>
      </c>
      <c r="B75" s="1213" t="s">
        <v>2178</v>
      </c>
      <c r="C75" s="1214"/>
      <c r="D75" s="1214"/>
      <c r="E75" s="1214"/>
      <c r="F75" s="1213" t="s">
        <v>2</v>
      </c>
      <c r="G75" s="1213" t="s">
        <v>785</v>
      </c>
      <c r="H75" s="1214"/>
      <c r="I75" s="1215">
        <v>1.5</v>
      </c>
      <c r="J75" s="1215">
        <v>0</v>
      </c>
      <c r="K75" s="1215">
        <v>1.5</v>
      </c>
      <c r="L75" s="653" t="str">
        <f t="shared" si="67"/>
        <v>551</v>
      </c>
      <c r="M75" s="654" t="str">
        <f t="shared" si="0"/>
        <v>DIR. COMMERCIAL NEUFS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551</v>
      </c>
      <c r="U75" s="656">
        <f>+VLOOKUP($L75,Data_Validation!$A:$D,3,0)</f>
        <v>0</v>
      </c>
      <c r="V75" s="656">
        <f>+VLOOKUP($L75,Data_Validation!$A:$D,4,0)</f>
        <v>0</v>
      </c>
      <c r="W75" s="656" t="str">
        <f>+VLOOKUP($L75,Data_Validation!$A:$E,5,0)</f>
        <v>$</v>
      </c>
      <c r="X75" s="656">
        <f>+VLOOKUP($L75,Data_Validation!$A:$F,6,0)</f>
        <v>0</v>
      </c>
    </row>
    <row r="76" spans="1:24" ht="15" hidden="1" customHeight="1">
      <c r="A76" s="1213" t="s">
        <v>797</v>
      </c>
      <c r="B76" s="1213" t="s">
        <v>2181</v>
      </c>
      <c r="C76" s="1214"/>
      <c r="D76" s="1214"/>
      <c r="E76" s="1214"/>
      <c r="F76" s="1213" t="s">
        <v>2</v>
      </c>
      <c r="G76" s="1213" t="s">
        <v>785</v>
      </c>
      <c r="H76" s="1214"/>
      <c r="I76" s="1215">
        <v>1.5</v>
      </c>
      <c r="J76" s="1215">
        <v>0</v>
      </c>
      <c r="K76" s="1215">
        <v>1.5</v>
      </c>
      <c r="L76" s="653" t="str">
        <f t="shared" si="67"/>
        <v>552</v>
      </c>
      <c r="M76" s="654" t="str">
        <f t="shared" si="0"/>
        <v>DIR. COMMERCIAL USAGES</v>
      </c>
      <c r="N76" s="655">
        <f>+IF(OR($Q76=Parametres!$G$2,$Q76=Parametres!$G$3),I76,C76)</f>
        <v>1.5</v>
      </c>
      <c r="O76" s="655">
        <f>+IF(OR($Q76=Parametres!$G$2,$Q76=Parametres!$G$3),J76,D76)</f>
        <v>0</v>
      </c>
      <c r="P76" s="655">
        <f>+IF(OR($Q76=Parametres!$G$2,$Q76=Parametres!$G$3),K76,E76)</f>
        <v>1.5</v>
      </c>
      <c r="Q76" s="654" t="str">
        <f t="shared" ref="Q76:S76" si="77">+F76</f>
        <v>1-Mémo</v>
      </c>
      <c r="R76" s="653" t="str">
        <f t="shared" si="77"/>
        <v>50</v>
      </c>
      <c r="S76" s="654">
        <f t="shared" si="77"/>
        <v>0</v>
      </c>
      <c r="T76" s="656" t="str">
        <f>+VLOOKUP($L76,Data_Validation!$A:$D,1,0)</f>
        <v>552</v>
      </c>
      <c r="U76" s="656">
        <f>+VLOOKUP($L76,Data_Validation!$A:$D,3,0)</f>
        <v>0</v>
      </c>
      <c r="V76" s="656">
        <f>+VLOOKUP($L76,Data_Validation!$A:$D,4,0)</f>
        <v>0</v>
      </c>
      <c r="W76" s="656" t="str">
        <f>+VLOOKUP($L76,Data_Validation!$A:$E,5,0)</f>
        <v>$</v>
      </c>
      <c r="X76" s="656">
        <f>+VLOOKUP($L76,Data_Validation!$A:$F,6,0)</f>
        <v>0</v>
      </c>
    </row>
    <row r="77" spans="1:24" ht="15" hidden="1" customHeight="1">
      <c r="A77" s="1213" t="s">
        <v>798</v>
      </c>
      <c r="B77" s="1213" t="s">
        <v>3356</v>
      </c>
      <c r="C77" s="1214"/>
      <c r="D77" s="1214"/>
      <c r="E77" s="1214"/>
      <c r="F77" s="1213" t="s">
        <v>2</v>
      </c>
      <c r="G77" s="1213" t="s">
        <v>785</v>
      </c>
      <c r="H77" s="1214"/>
      <c r="I77" s="1215">
        <v>1</v>
      </c>
      <c r="J77" s="1215">
        <v>0</v>
      </c>
      <c r="K77" s="1215">
        <v>1</v>
      </c>
      <c r="L77" s="653" t="str">
        <f t="shared" si="67"/>
        <v>564</v>
      </c>
      <c r="M77" s="654" t="str">
        <f t="shared" si="0"/>
        <v>CONTREMAITRE SERVICE</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f t="shared" si="78"/>
        <v>0</v>
      </c>
      <c r="T77" s="656" t="str">
        <f>+VLOOKUP($L77,Data_Validation!$A:$D,1,0)</f>
        <v>564</v>
      </c>
      <c r="U77" s="656">
        <f>+VLOOKUP($L77,Data_Validation!$A:$D,3,0)</f>
        <v>0</v>
      </c>
      <c r="V77" s="656">
        <f>+VLOOKUP($L77,Data_Validation!$A:$D,4,0)</f>
        <v>0</v>
      </c>
      <c r="W77" s="656" t="str">
        <f>+VLOOKUP($L77,Data_Validation!$A:$E,5,0)</f>
        <v>$</v>
      </c>
      <c r="X77" s="656">
        <f>+VLOOKUP($L77,Data_Validation!$A:$F,6,0)</f>
        <v>0</v>
      </c>
    </row>
    <row r="78" spans="1:24" ht="15" hidden="1" customHeight="1">
      <c r="A78" s="1213" t="s">
        <v>799</v>
      </c>
      <c r="B78" s="1213" t="s">
        <v>2276</v>
      </c>
      <c r="C78" s="1214"/>
      <c r="D78" s="1214"/>
      <c r="E78" s="1214"/>
      <c r="F78" s="1213" t="s">
        <v>2</v>
      </c>
      <c r="G78" s="1213" t="s">
        <v>3332</v>
      </c>
      <c r="H78" s="1214"/>
      <c r="I78" s="1215">
        <v>4</v>
      </c>
      <c r="J78" s="1215">
        <v>0</v>
      </c>
      <c r="K78" s="1215">
        <v>4</v>
      </c>
      <c r="L78" s="653" t="str">
        <f t="shared" si="67"/>
        <v>614</v>
      </c>
      <c r="M78" s="654" t="str">
        <f t="shared" si="0"/>
        <v>VW CONSEILLERS SERVICE -SERVICE</v>
      </c>
      <c r="N78" s="655">
        <f>+IF(OR($Q78=Parametres!$G$2,$Q78=Parametres!$G$3),I78,C78)</f>
        <v>4</v>
      </c>
      <c r="O78" s="655">
        <f>+IF(OR($Q78=Parametres!$G$2,$Q78=Parametres!$G$3),J78,D78)</f>
        <v>0</v>
      </c>
      <c r="P78" s="655">
        <f>+IF(OR($Q78=Parametres!$G$2,$Q78=Parametres!$G$3),K78,E78)</f>
        <v>4</v>
      </c>
      <c r="Q78" s="654" t="str">
        <f t="shared" ref="Q78:S78" si="79">+F78</f>
        <v>1-Mémo</v>
      </c>
      <c r="R78" s="653" t="str">
        <f t="shared" si="79"/>
        <v>61</v>
      </c>
      <c r="S78" s="654">
        <f t="shared" si="79"/>
        <v>0</v>
      </c>
      <c r="T78" s="656" t="str">
        <f>+VLOOKUP($L78,Data_Validation!$A:$D,1,0)</f>
        <v>614</v>
      </c>
      <c r="U78" s="656">
        <f>+VLOOKUP($L78,Data_Validation!$A:$D,3,0)</f>
        <v>0</v>
      </c>
      <c r="V78" s="656">
        <f>+VLOOKUP($L78,Data_Validation!$A:$D,4,0)</f>
        <v>0</v>
      </c>
      <c r="W78" s="656" t="str">
        <f>+VLOOKUP($L78,Data_Validation!$A:$E,5,0)</f>
        <v>$</v>
      </c>
      <c r="X78" s="656">
        <f>+VLOOKUP($L78,Data_Validation!$A:$F,6,0)</f>
        <v>0</v>
      </c>
    </row>
    <row r="79" spans="1:24" ht="15" hidden="1" customHeight="1">
      <c r="A79" s="1213" t="s">
        <v>800</v>
      </c>
      <c r="B79" s="1213" t="s">
        <v>1208</v>
      </c>
      <c r="C79" s="1214"/>
      <c r="D79" s="1214"/>
      <c r="E79" s="1214"/>
      <c r="F79" s="1213" t="s">
        <v>2</v>
      </c>
      <c r="G79" s="1213" t="s">
        <v>3332</v>
      </c>
      <c r="H79" s="1214"/>
      <c r="I79" s="1215">
        <v>1</v>
      </c>
      <c r="J79" s="1215">
        <v>0</v>
      </c>
      <c r="K79" s="1215">
        <v>1</v>
      </c>
      <c r="L79" s="653" t="str">
        <f t="shared" si="67"/>
        <v>615</v>
      </c>
      <c r="M79" s="654" t="str">
        <f t="shared" si="0"/>
        <v>VW CONSEILLERS SERVICE - PIEC. &amp; CARR.&lt;</v>
      </c>
      <c r="N79" s="655">
        <f>+IF(OR($Q79=Parametres!$G$2,$Q79=Parametres!$G$3),I79,C79)</f>
        <v>1</v>
      </c>
      <c r="O79" s="655">
        <f>+IF(OR($Q79=Parametres!$G$2,$Q79=Parametres!$G$3),J79,D79)</f>
        <v>0</v>
      </c>
      <c r="P79" s="655">
        <f>+IF(OR($Q79=Parametres!$G$2,$Q79=Parametres!$G$3),K79,E79)</f>
        <v>1</v>
      </c>
      <c r="Q79" s="654" t="str">
        <f t="shared" ref="Q79:S79" si="80">+F79</f>
        <v>1-Mémo</v>
      </c>
      <c r="R79" s="653" t="str">
        <f t="shared" si="80"/>
        <v>61</v>
      </c>
      <c r="S79" s="654">
        <f t="shared" si="80"/>
        <v>0</v>
      </c>
      <c r="T79" s="656" t="str">
        <f>+VLOOKUP($L79,Data_Validation!$A:$D,1,0)</f>
        <v>615</v>
      </c>
      <c r="U79" s="656">
        <f>+VLOOKUP($L79,Data_Validation!$A:$D,3,0)</f>
        <v>0</v>
      </c>
      <c r="V79" s="656">
        <f>+VLOOKUP($L79,Data_Validation!$A:$D,4,0)</f>
        <v>0</v>
      </c>
      <c r="W79" s="656" t="str">
        <f>+VLOOKUP($L79,Data_Validation!$A:$E,5,0)</f>
        <v>$</v>
      </c>
      <c r="X79" s="656">
        <f>+VLOOKUP($L79,Data_Validation!$A:$F,6,0)</f>
        <v>0</v>
      </c>
    </row>
    <row r="80" spans="1:24" ht="15.75" hidden="1" customHeight="1">
      <c r="A80" s="1213" t="s">
        <v>801</v>
      </c>
      <c r="B80" s="1213" t="s">
        <v>2337</v>
      </c>
      <c r="C80" s="1214"/>
      <c r="D80" s="1214"/>
      <c r="E80" s="1214"/>
      <c r="F80" s="1213" t="s">
        <v>2</v>
      </c>
      <c r="G80" s="1213" t="s">
        <v>785</v>
      </c>
      <c r="H80" s="1214"/>
      <c r="I80" s="1215">
        <v>1</v>
      </c>
      <c r="J80" s="1215">
        <v>0</v>
      </c>
      <c r="K80" s="1215">
        <v>1</v>
      </c>
      <c r="L80" s="653" t="str">
        <f t="shared" si="67"/>
        <v>621</v>
      </c>
      <c r="M80" s="654" t="str">
        <f t="shared" si="0"/>
        <v>LAVEURS NEUFS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621</v>
      </c>
      <c r="U80" s="656">
        <f>+VLOOKUP($L80,Data_Validation!$A:$D,3,0)</f>
        <v>0</v>
      </c>
      <c r="V80" s="656">
        <f>+VLOOKUP($L80,Data_Validation!$A:$D,4,0)</f>
        <v>0</v>
      </c>
      <c r="W80" s="656" t="str">
        <f>+VLOOKUP($L80,Data_Validation!$A:$E,5,0)</f>
        <v>$</v>
      </c>
      <c r="X80" s="656">
        <f>+VLOOKUP($L80,Data_Validation!$A:$F,6,0)</f>
        <v>0</v>
      </c>
    </row>
    <row r="81" spans="1:24" ht="15" hidden="1" customHeight="1">
      <c r="A81" s="1213" t="s">
        <v>802</v>
      </c>
      <c r="B81" s="1213" t="s">
        <v>2346</v>
      </c>
      <c r="C81" s="1214"/>
      <c r="D81" s="1214"/>
      <c r="E81" s="1214"/>
      <c r="F81" s="1213" t="s">
        <v>2</v>
      </c>
      <c r="G81" s="1213" t="s">
        <v>785</v>
      </c>
      <c r="H81" s="1214"/>
      <c r="I81" s="1215">
        <v>1</v>
      </c>
      <c r="J81" s="1215">
        <v>0</v>
      </c>
      <c r="K81" s="1215">
        <v>1</v>
      </c>
      <c r="L81" s="653" t="str">
        <f t="shared" si="67"/>
        <v>622</v>
      </c>
      <c r="M81" s="654" t="str">
        <f t="shared" si="0"/>
        <v>LAVEURS USAGES</v>
      </c>
      <c r="N81" s="655">
        <f>+IF(OR($Q81=Parametres!$G$2,$Q81=Parametres!$G$3),I81,C81)</f>
        <v>1</v>
      </c>
      <c r="O81" s="655">
        <f>+IF(OR($Q81=Parametres!$G$2,$Q81=Parametres!$G$3),J81,D81)</f>
        <v>0</v>
      </c>
      <c r="P81" s="655">
        <f>+IF(OR($Q81=Parametres!$G$2,$Q81=Parametres!$G$3),K81,E81)</f>
        <v>1</v>
      </c>
      <c r="Q81" s="654" t="str">
        <f t="shared" ref="Q81:S81" si="82">+F81</f>
        <v>1-Mémo</v>
      </c>
      <c r="R81" s="653" t="str">
        <f t="shared" si="82"/>
        <v>50</v>
      </c>
      <c r="S81" s="654">
        <f t="shared" si="82"/>
        <v>0</v>
      </c>
      <c r="T81" s="656" t="str">
        <f>+VLOOKUP($L81,Data_Validation!$A:$D,1,0)</f>
        <v>622</v>
      </c>
      <c r="U81" s="656">
        <f>+VLOOKUP($L81,Data_Validation!$A:$D,3,0)</f>
        <v>0</v>
      </c>
      <c r="V81" s="656">
        <f>+VLOOKUP($L81,Data_Validation!$A:$D,4,0)</f>
        <v>0</v>
      </c>
      <c r="W81" s="656" t="str">
        <f>+VLOOKUP($L81,Data_Validation!$A:$E,5,0)</f>
        <v>$</v>
      </c>
      <c r="X81" s="656">
        <f>+VLOOKUP($L81,Data_Validation!$A:$F,6,0)</f>
        <v>0</v>
      </c>
    </row>
    <row r="82" spans="1:24" ht="15" hidden="1" customHeight="1">
      <c r="A82" s="1213" t="s">
        <v>803</v>
      </c>
      <c r="B82" s="1213" t="s">
        <v>2371</v>
      </c>
      <c r="C82" s="1214"/>
      <c r="D82" s="1214"/>
      <c r="E82" s="1214"/>
      <c r="F82" s="1213" t="s">
        <v>2</v>
      </c>
      <c r="G82" s="1213" t="s">
        <v>785</v>
      </c>
      <c r="H82" s="1214"/>
      <c r="I82" s="1215">
        <v>7</v>
      </c>
      <c r="J82" s="1215">
        <v>0</v>
      </c>
      <c r="K82" s="1215">
        <v>7</v>
      </c>
      <c r="L82" s="653" t="str">
        <f t="shared" si="67"/>
        <v>624</v>
      </c>
      <c r="M82" s="654" t="str">
        <f t="shared" si="0"/>
        <v>LAVEURS SERVICE</v>
      </c>
      <c r="N82" s="655">
        <f>+IF(OR($Q82=Parametres!$G$2,$Q82=Parametres!$G$3),I82,C82)</f>
        <v>7</v>
      </c>
      <c r="O82" s="655">
        <f>+IF(OR($Q82=Parametres!$G$2,$Q82=Parametres!$G$3),J82,D82)</f>
        <v>0</v>
      </c>
      <c r="P82" s="655">
        <f>+IF(OR($Q82=Parametres!$G$2,$Q82=Parametres!$G$3),K82,E82)</f>
        <v>7</v>
      </c>
      <c r="Q82" s="654" t="str">
        <f t="shared" ref="Q82:S82" si="83">+F82</f>
        <v>1-Mémo</v>
      </c>
      <c r="R82" s="653" t="str">
        <f t="shared" si="83"/>
        <v>50</v>
      </c>
      <c r="S82" s="654">
        <f t="shared" si="83"/>
        <v>0</v>
      </c>
      <c r="T82" s="656" t="str">
        <f>+VLOOKUP($L82,Data_Validation!$A:$D,1,0)</f>
        <v>624</v>
      </c>
      <c r="U82" s="656">
        <f>+VLOOKUP($L82,Data_Validation!$A:$D,3,0)</f>
        <v>0</v>
      </c>
      <c r="V82" s="656">
        <f>+VLOOKUP($L82,Data_Validation!$A:$D,4,0)</f>
        <v>0</v>
      </c>
      <c r="W82" s="656" t="str">
        <f>+VLOOKUP($L82,Data_Validation!$A:$E,5,0)</f>
        <v>$</v>
      </c>
      <c r="X82" s="656">
        <f>+VLOOKUP($L82,Data_Validation!$A:$F,6,0)</f>
        <v>0</v>
      </c>
    </row>
    <row r="83" spans="1:24" ht="15" hidden="1" customHeight="1">
      <c r="A83" s="1213" t="s">
        <v>804</v>
      </c>
      <c r="B83" s="1213" t="s">
        <v>2469</v>
      </c>
      <c r="C83" s="1214"/>
      <c r="D83" s="1214"/>
      <c r="E83" s="1214"/>
      <c r="F83" s="1213" t="s">
        <v>2</v>
      </c>
      <c r="G83" s="1213" t="s">
        <v>3333</v>
      </c>
      <c r="H83" s="1214"/>
      <c r="I83" s="1215">
        <v>12</v>
      </c>
      <c r="J83" s="1215">
        <v>0</v>
      </c>
      <c r="K83" s="1215">
        <v>12</v>
      </c>
      <c r="L83" s="653" t="str">
        <f t="shared" si="67"/>
        <v>644</v>
      </c>
      <c r="M83" s="654" t="str">
        <f t="shared" si="0"/>
        <v>VW TECHNICIENS - SERVICE</v>
      </c>
      <c r="N83" s="655">
        <f>+IF(OR($Q83=Parametres!$G$2,$Q83=Parametres!$G$3),I83,C83)</f>
        <v>12</v>
      </c>
      <c r="O83" s="655">
        <f>+IF(OR($Q83=Parametres!$G$2,$Q83=Parametres!$G$3),J83,D83)</f>
        <v>0</v>
      </c>
      <c r="P83" s="655">
        <f>+IF(OR($Q83=Parametres!$G$2,$Q83=Parametres!$G$3),K83,E83)</f>
        <v>12</v>
      </c>
      <c r="Q83" s="654" t="str">
        <f t="shared" ref="Q83:S83" si="84">+F83</f>
        <v>1-Mémo</v>
      </c>
      <c r="R83" s="653" t="str">
        <f t="shared" si="84"/>
        <v>64</v>
      </c>
      <c r="S83" s="654">
        <f t="shared" si="84"/>
        <v>0</v>
      </c>
      <c r="T83" s="656" t="str">
        <f>+VLOOKUP($L83,Data_Validation!$A:$D,1,0)</f>
        <v>644</v>
      </c>
      <c r="U83" s="656">
        <f>+VLOOKUP($L83,Data_Validation!$A:$D,3,0)</f>
        <v>0</v>
      </c>
      <c r="V83" s="656">
        <f>+VLOOKUP($L83,Data_Validation!$A:$D,4,0)</f>
        <v>0</v>
      </c>
      <c r="W83" s="656" t="str">
        <f>+VLOOKUP($L83,Data_Validation!$A:$E,5,0)</f>
        <v>$</v>
      </c>
      <c r="X83" s="656">
        <f>+VLOOKUP($L83,Data_Validation!$A:$F,6,0)</f>
        <v>0</v>
      </c>
    </row>
    <row r="84" spans="1:24" ht="15.75" hidden="1" customHeight="1">
      <c r="A84" s="1213" t="s">
        <v>805</v>
      </c>
      <c r="B84" s="1213" t="s">
        <v>2538</v>
      </c>
      <c r="C84" s="1214"/>
      <c r="D84" s="1214"/>
      <c r="E84" s="1214"/>
      <c r="F84" s="1213" t="s">
        <v>2</v>
      </c>
      <c r="G84" s="1213" t="s">
        <v>785</v>
      </c>
      <c r="H84" s="1214"/>
      <c r="I84" s="1215">
        <v>0.2</v>
      </c>
      <c r="J84" s="1215">
        <v>0</v>
      </c>
      <c r="K84" s="1215">
        <v>0.2</v>
      </c>
      <c r="L84" s="653" t="str">
        <f t="shared" si="67"/>
        <v>651</v>
      </c>
      <c r="M84" s="654" t="str">
        <f t="shared" si="0"/>
        <v>DIR. ADMINIS. NEUFS</v>
      </c>
      <c r="N84" s="655">
        <f>+IF(OR($Q84=Parametres!$G$2,$Q84=Parametres!$G$3),I84,C84)</f>
        <v>0.2</v>
      </c>
      <c r="O84" s="655">
        <f>+IF(OR($Q84=Parametres!$G$2,$Q84=Parametres!$G$3),J84,D84)</f>
        <v>0</v>
      </c>
      <c r="P84" s="661">
        <f>+IF(OR($Q84=Parametres!$G$2,$Q84=Parametres!$G$3),K84,E84)</f>
        <v>0.2</v>
      </c>
      <c r="Q84" s="654" t="str">
        <f t="shared" ref="Q84:S84" si="85">+F84</f>
        <v>1-Mémo</v>
      </c>
      <c r="R84" s="653" t="str">
        <f t="shared" si="85"/>
        <v>50</v>
      </c>
      <c r="S84" s="654">
        <f t="shared" si="85"/>
        <v>0</v>
      </c>
      <c r="T84" s="656" t="str">
        <f>+VLOOKUP($L84,Data_Validation!$A:$D,1,0)</f>
        <v>651</v>
      </c>
      <c r="U84" s="656">
        <f>+VLOOKUP($L84,Data_Validation!$A:$D,3,0)</f>
        <v>0</v>
      </c>
      <c r="V84" s="656">
        <f>+VLOOKUP($L84,Data_Validation!$A:$D,4,0)</f>
        <v>0</v>
      </c>
      <c r="W84" s="656" t="str">
        <f>+VLOOKUP($L84,Data_Validation!$A:$E,5,0)</f>
        <v>$</v>
      </c>
      <c r="X84" s="656">
        <f>+VLOOKUP($L84,Data_Validation!$A:$F,6,0)</f>
        <v>0</v>
      </c>
    </row>
    <row r="85" spans="1:24" ht="15" hidden="1" customHeight="1">
      <c r="A85" s="1213" t="s">
        <v>806</v>
      </c>
      <c r="B85" s="1213" t="s">
        <v>2544</v>
      </c>
      <c r="C85" s="1214"/>
      <c r="D85" s="1214"/>
      <c r="E85" s="1214"/>
      <c r="F85" s="1213" t="s">
        <v>2</v>
      </c>
      <c r="G85" s="1213" t="s">
        <v>785</v>
      </c>
      <c r="H85" s="1214"/>
      <c r="I85" s="1215">
        <v>0.2</v>
      </c>
      <c r="J85" s="1215">
        <v>0</v>
      </c>
      <c r="K85" s="1215">
        <v>0.2</v>
      </c>
      <c r="L85" s="653" t="str">
        <f t="shared" si="67"/>
        <v>652</v>
      </c>
      <c r="M85" s="654" t="str">
        <f t="shared" si="0"/>
        <v>DIR. ADMINIS. USAGES</v>
      </c>
      <c r="N85" s="655">
        <f>+IF(OR($Q85=Parametres!$G$2,$Q85=Parametres!$G$3),I85,C85)</f>
        <v>0.2</v>
      </c>
      <c r="O85" s="655">
        <f>+IF(OR($Q85=Parametres!$G$2,$Q85=Parametres!$G$3),J85,D85)</f>
        <v>0</v>
      </c>
      <c r="P85" s="661">
        <f>+IF(OR($Q85=Parametres!$G$2,$Q85=Parametres!$G$3),K85,E85)</f>
        <v>0.2</v>
      </c>
      <c r="Q85" s="654" t="str">
        <f t="shared" ref="Q85:S85" si="86">+F85</f>
        <v>1-Mémo</v>
      </c>
      <c r="R85" s="653" t="str">
        <f t="shared" si="86"/>
        <v>50</v>
      </c>
      <c r="S85" s="654">
        <f t="shared" si="86"/>
        <v>0</v>
      </c>
      <c r="T85" s="656" t="str">
        <f>+VLOOKUP($L85,Data_Validation!$A:$D,1,0)</f>
        <v>652</v>
      </c>
      <c r="U85" s="656">
        <f>+VLOOKUP($L85,Data_Validation!$A:$D,3,0)</f>
        <v>0</v>
      </c>
      <c r="V85" s="656">
        <f>+VLOOKUP($L85,Data_Validation!$A:$D,4,0)</f>
        <v>0</v>
      </c>
      <c r="W85" s="656" t="str">
        <f>+VLOOKUP($L85,Data_Validation!$A:$E,5,0)</f>
        <v>$</v>
      </c>
      <c r="X85" s="656">
        <f>+VLOOKUP($L85,Data_Validation!$A:$F,6,0)</f>
        <v>0</v>
      </c>
    </row>
    <row r="86" spans="1:24" ht="15" hidden="1" customHeight="1">
      <c r="A86" s="1213" t="s">
        <v>807</v>
      </c>
      <c r="B86" s="1213" t="s">
        <v>2574</v>
      </c>
      <c r="C86" s="1214"/>
      <c r="D86" s="1214"/>
      <c r="E86" s="1214"/>
      <c r="F86" s="1213" t="s">
        <v>2</v>
      </c>
      <c r="G86" s="1213" t="s">
        <v>785</v>
      </c>
      <c r="H86" s="1214"/>
      <c r="I86" s="1215">
        <v>0.2</v>
      </c>
      <c r="J86" s="1215">
        <v>0</v>
      </c>
      <c r="K86" s="1215">
        <v>0.2</v>
      </c>
      <c r="L86" s="653" t="str">
        <f t="shared" si="67"/>
        <v>654</v>
      </c>
      <c r="M86" s="654" t="str">
        <f t="shared" si="0"/>
        <v>DIR. ADMINIS. SERVICE</v>
      </c>
      <c r="N86" s="655">
        <f>+IF(OR($Q86=Parametres!$G$2,$Q86=Parametres!$G$3),I86,C86)</f>
        <v>0.2</v>
      </c>
      <c r="O86" s="655">
        <f>+IF(OR($Q86=Parametres!$G$2,$Q86=Parametres!$G$3),J86,D86)</f>
        <v>0</v>
      </c>
      <c r="P86" s="661">
        <f>+IF(OR($Q86=Parametres!$G$2,$Q86=Parametres!$G$3),K86,E86)</f>
        <v>0.2</v>
      </c>
      <c r="Q86" s="654" t="str">
        <f t="shared" ref="Q86:S86" si="87">+F86</f>
        <v>1-Mémo</v>
      </c>
      <c r="R86" s="653" t="str">
        <f t="shared" si="87"/>
        <v>50</v>
      </c>
      <c r="S86" s="654">
        <f t="shared" si="87"/>
        <v>0</v>
      </c>
      <c r="T86" s="656" t="str">
        <f>+VLOOKUP($L86,Data_Validation!$A:$D,1,0)</f>
        <v>654</v>
      </c>
      <c r="U86" s="656">
        <f>+VLOOKUP($L86,Data_Validation!$A:$D,3,0)</f>
        <v>0</v>
      </c>
      <c r="V86" s="656">
        <f>+VLOOKUP($L86,Data_Validation!$A:$D,4,0)</f>
        <v>0</v>
      </c>
      <c r="W86" s="656" t="str">
        <f>+VLOOKUP($L86,Data_Validation!$A:$E,5,0)</f>
        <v>$</v>
      </c>
      <c r="X86" s="656">
        <f>+VLOOKUP($L86,Data_Validation!$A:$F,6,0)</f>
        <v>0</v>
      </c>
    </row>
    <row r="87" spans="1:24" ht="15" hidden="1" customHeight="1">
      <c r="A87" s="1213" t="s">
        <v>808</v>
      </c>
      <c r="B87" s="1213" t="s">
        <v>1267</v>
      </c>
      <c r="C87" s="1214"/>
      <c r="D87" s="1214"/>
      <c r="E87" s="1214"/>
      <c r="F87" s="1213" t="s">
        <v>2</v>
      </c>
      <c r="G87" s="1213" t="s">
        <v>785</v>
      </c>
      <c r="H87" s="1214"/>
      <c r="I87" s="1215">
        <v>0.2</v>
      </c>
      <c r="J87" s="1215">
        <v>0</v>
      </c>
      <c r="K87" s="1215">
        <v>0.2</v>
      </c>
      <c r="L87" s="653" t="str">
        <f t="shared" si="67"/>
        <v>655</v>
      </c>
      <c r="M87" s="654" t="str">
        <f t="shared" si="0"/>
        <v>DIR. ADMINIS. CARROSS.</v>
      </c>
      <c r="N87" s="655">
        <f>+IF(OR($Q87=Parametres!$G$2,$Q87=Parametres!$G$3),I87,C87)</f>
        <v>0.2</v>
      </c>
      <c r="O87" s="655">
        <f>+IF(OR($Q87=Parametres!$G$2,$Q87=Parametres!$G$3),J87,D87)</f>
        <v>0</v>
      </c>
      <c r="P87" s="661">
        <f>+IF(OR($Q87=Parametres!$G$2,$Q87=Parametres!$G$3),K87,E87)</f>
        <v>0.2</v>
      </c>
      <c r="Q87" s="654" t="str">
        <f t="shared" ref="Q87:S87" si="88">+F87</f>
        <v>1-Mémo</v>
      </c>
      <c r="R87" s="653" t="str">
        <f t="shared" si="88"/>
        <v>50</v>
      </c>
      <c r="S87" s="654">
        <f t="shared" si="88"/>
        <v>0</v>
      </c>
      <c r="T87" s="656" t="str">
        <f>+VLOOKUP($L87,Data_Validation!$A:$D,1,0)</f>
        <v>655</v>
      </c>
      <c r="U87" s="656">
        <f>+VLOOKUP($L87,Data_Validation!$A:$D,3,0)</f>
        <v>0</v>
      </c>
      <c r="V87" s="656">
        <f>+VLOOKUP($L87,Data_Validation!$A:$D,4,0)</f>
        <v>0</v>
      </c>
      <c r="W87" s="656" t="str">
        <f>+VLOOKUP($L87,Data_Validation!$A:$E,5,0)</f>
        <v>$</v>
      </c>
      <c r="X87" s="656">
        <f>+VLOOKUP($L87,Data_Validation!$A:$F,6,0)</f>
        <v>0</v>
      </c>
    </row>
    <row r="88" spans="1:24" ht="15" hidden="1" customHeight="1">
      <c r="A88" s="1213" t="s">
        <v>809</v>
      </c>
      <c r="B88" s="1213" t="s">
        <v>2617</v>
      </c>
      <c r="C88" s="1214"/>
      <c r="D88" s="1214"/>
      <c r="E88" s="1214"/>
      <c r="F88" s="1213" t="s">
        <v>2</v>
      </c>
      <c r="G88" s="1213" t="s">
        <v>785</v>
      </c>
      <c r="H88" s="1214"/>
      <c r="I88" s="1215">
        <v>0.2</v>
      </c>
      <c r="J88" s="1215">
        <v>0</v>
      </c>
      <c r="K88" s="1215">
        <v>0.2</v>
      </c>
      <c r="L88" s="653" t="str">
        <f t="shared" si="67"/>
        <v>657</v>
      </c>
      <c r="M88" s="654" t="str">
        <f t="shared" si="0"/>
        <v>DIR. ADMINIS. PIECES</v>
      </c>
      <c r="N88" s="655">
        <f>+IF(OR($Q88=Parametres!$G$2,$Q88=Parametres!$G$3),I88,C88)</f>
        <v>0.2</v>
      </c>
      <c r="O88" s="655">
        <f>+IF(OR($Q88=Parametres!$G$2,$Q88=Parametres!$G$3),J88,D88)</f>
        <v>0</v>
      </c>
      <c r="P88" s="655">
        <f>+IF(OR($Q88=Parametres!$G$2,$Q88=Parametres!$G$3),K88,E88)</f>
        <v>0.2</v>
      </c>
      <c r="Q88" s="654" t="str">
        <f t="shared" ref="Q88:S88" si="89">+F88</f>
        <v>1-Mémo</v>
      </c>
      <c r="R88" s="653" t="str">
        <f t="shared" si="89"/>
        <v>50</v>
      </c>
      <c r="S88" s="654">
        <f t="shared" si="89"/>
        <v>0</v>
      </c>
      <c r="T88" s="656" t="str">
        <f>+VLOOKUP($L88,Data_Validation!$A:$D,1,0)</f>
        <v>657</v>
      </c>
      <c r="U88" s="656">
        <f>+VLOOKUP($L88,Data_Validation!$A:$D,3,0)</f>
        <v>0</v>
      </c>
      <c r="V88" s="656">
        <f>+VLOOKUP($L88,Data_Validation!$A:$D,4,0)</f>
        <v>0</v>
      </c>
      <c r="W88" s="656" t="str">
        <f>+VLOOKUP($L88,Data_Validation!$A:$E,5,0)</f>
        <v>$</v>
      </c>
      <c r="X88" s="656">
        <f>+VLOOKUP($L88,Data_Validation!$A:$F,6,0)</f>
        <v>0</v>
      </c>
    </row>
    <row r="89" spans="1:24" ht="15" hidden="1" customHeight="1">
      <c r="A89" s="1213" t="s">
        <v>810</v>
      </c>
      <c r="B89" s="1213" t="s">
        <v>2635</v>
      </c>
      <c r="C89" s="1214"/>
      <c r="D89" s="1214"/>
      <c r="E89" s="1214"/>
      <c r="F89" s="1213" t="s">
        <v>2</v>
      </c>
      <c r="G89" s="1213" t="s">
        <v>785</v>
      </c>
      <c r="H89" s="1214"/>
      <c r="I89" s="1215">
        <v>1</v>
      </c>
      <c r="J89" s="1215">
        <v>0</v>
      </c>
      <c r="K89" s="1215">
        <v>1</v>
      </c>
      <c r="L89" s="653" t="str">
        <f t="shared" si="67"/>
        <v>661</v>
      </c>
      <c r="M89" s="654" t="str">
        <f t="shared" si="0"/>
        <v>PERSONELS CLER. NEUFS</v>
      </c>
      <c r="N89" s="655">
        <f>+IF(OR($Q89=Parametres!$G$2,$Q89=Parametres!$G$3),I89,C89)</f>
        <v>1</v>
      </c>
      <c r="O89" s="659">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661</v>
      </c>
      <c r="U89" s="656">
        <f>+VLOOKUP($L89,Data_Validation!$A:$D,3,0)</f>
        <v>0</v>
      </c>
      <c r="V89" s="656">
        <f>+VLOOKUP($L89,Data_Validation!$A:$D,4,0)</f>
        <v>0</v>
      </c>
      <c r="W89" s="656" t="str">
        <f>+VLOOKUP($L89,Data_Validation!$A:$E,5,0)</f>
        <v>$</v>
      </c>
      <c r="X89" s="656">
        <f>+VLOOKUP($L89,Data_Validation!$A:$F,6,0)</f>
        <v>0</v>
      </c>
    </row>
    <row r="90" spans="1:24" ht="15" hidden="1" customHeight="1">
      <c r="A90" s="1213" t="s">
        <v>811</v>
      </c>
      <c r="B90" s="1213" t="s">
        <v>2638</v>
      </c>
      <c r="C90" s="1214"/>
      <c r="D90" s="1214"/>
      <c r="E90" s="1214"/>
      <c r="F90" s="1213" t="s">
        <v>2</v>
      </c>
      <c r="G90" s="1213" t="s">
        <v>785</v>
      </c>
      <c r="H90" s="1214"/>
      <c r="I90" s="1215">
        <v>1</v>
      </c>
      <c r="J90" s="1215">
        <v>0</v>
      </c>
      <c r="K90" s="1215">
        <v>1</v>
      </c>
      <c r="L90" s="653" t="str">
        <f t="shared" si="67"/>
        <v>662</v>
      </c>
      <c r="M90" s="654" t="str">
        <f t="shared" si="0"/>
        <v>PERSONELS CLER. USAGES</v>
      </c>
      <c r="N90" s="655">
        <f>+IF(OR($Q90=Parametres!$G$2,$Q90=Parametres!$G$3),I90,C90)</f>
        <v>1</v>
      </c>
      <c r="O90" s="655">
        <f>+IF(OR($Q90=Parametres!$G$2,$Q90=Parametres!$G$3),J90,D90)</f>
        <v>0</v>
      </c>
      <c r="P90" s="662">
        <f>+IF(OR($Q90=Parametres!$G$2,$Q90=Parametres!$G$3),K90,E90)</f>
        <v>1</v>
      </c>
      <c r="Q90" s="654" t="str">
        <f t="shared" ref="Q90:S90" si="91">+F90</f>
        <v>1-Mémo</v>
      </c>
      <c r="R90" s="653" t="str">
        <f t="shared" si="91"/>
        <v>50</v>
      </c>
      <c r="S90" s="654">
        <f t="shared" si="91"/>
        <v>0</v>
      </c>
      <c r="T90" s="656" t="str">
        <f>+VLOOKUP($L90,Data_Validation!$A:$D,1,0)</f>
        <v>662</v>
      </c>
      <c r="U90" s="656">
        <f>+VLOOKUP($L90,Data_Validation!$A:$D,3,0)</f>
        <v>0</v>
      </c>
      <c r="V90" s="656">
        <f>+VLOOKUP($L90,Data_Validation!$A:$D,4,0)</f>
        <v>0</v>
      </c>
      <c r="W90" s="656" t="str">
        <f>+VLOOKUP($L90,Data_Validation!$A:$E,5,0)</f>
        <v>$</v>
      </c>
      <c r="X90" s="656">
        <f>+VLOOKUP($L90,Data_Validation!$A:$F,6,0)</f>
        <v>0</v>
      </c>
    </row>
    <row r="91" spans="1:24" ht="15" hidden="1" customHeight="1">
      <c r="A91" s="1213" t="s">
        <v>812</v>
      </c>
      <c r="B91" s="1213" t="s">
        <v>2641</v>
      </c>
      <c r="C91" s="1214"/>
      <c r="D91" s="1214"/>
      <c r="E91" s="1214"/>
      <c r="F91" s="1213" t="s">
        <v>2</v>
      </c>
      <c r="G91" s="1213" t="s">
        <v>785</v>
      </c>
      <c r="H91" s="1214"/>
      <c r="I91" s="1215">
        <v>1</v>
      </c>
      <c r="J91" s="1215">
        <v>0</v>
      </c>
      <c r="K91" s="1215">
        <v>1</v>
      </c>
      <c r="L91" s="653" t="str">
        <f t="shared" si="67"/>
        <v>664</v>
      </c>
      <c r="M91" s="654" t="str">
        <f t="shared" si="0"/>
        <v>PERSONELS CLER. SERVICE</v>
      </c>
      <c r="N91" s="655">
        <f>+IF(OR($Q91=Parametres!$G$2,$Q91=Parametres!$G$3),I91,C91)</f>
        <v>1</v>
      </c>
      <c r="O91" s="655">
        <f>+IF(OR($Q91=Parametres!$G$2,$Q91=Parametres!$G$3),J91,D91)</f>
        <v>0</v>
      </c>
      <c r="P91" s="662">
        <f>+IF(OR($Q91=Parametres!$G$2,$Q91=Parametres!$G$3),K91,E91)</f>
        <v>1</v>
      </c>
      <c r="Q91" s="654" t="str">
        <f t="shared" ref="Q91:S91" si="92">+F91</f>
        <v>1-Mémo</v>
      </c>
      <c r="R91" s="653" t="str">
        <f t="shared" si="92"/>
        <v>50</v>
      </c>
      <c r="S91" s="654">
        <f t="shared" si="92"/>
        <v>0</v>
      </c>
      <c r="T91" s="656" t="str">
        <f>+VLOOKUP($L91,Data_Validation!$A:$D,1,0)</f>
        <v>664</v>
      </c>
      <c r="U91" s="656">
        <f>+VLOOKUP($L91,Data_Validation!$A:$D,3,0)</f>
        <v>0</v>
      </c>
      <c r="V91" s="656">
        <f>+VLOOKUP($L91,Data_Validation!$A:$D,4,0)</f>
        <v>0</v>
      </c>
      <c r="W91" s="656" t="str">
        <f>+VLOOKUP($L91,Data_Validation!$A:$E,5,0)</f>
        <v>$</v>
      </c>
      <c r="X91" s="656">
        <f>+VLOOKUP($L91,Data_Validation!$A:$F,6,0)</f>
        <v>0</v>
      </c>
    </row>
    <row r="92" spans="1:24" ht="15" hidden="1" customHeight="1">
      <c r="A92" s="1213" t="s">
        <v>813</v>
      </c>
      <c r="B92" s="1213" t="s">
        <v>2644</v>
      </c>
      <c r="C92" s="1214"/>
      <c r="D92" s="1214"/>
      <c r="E92" s="1214"/>
      <c r="F92" s="1213" t="s">
        <v>2</v>
      </c>
      <c r="G92" s="1213" t="s">
        <v>785</v>
      </c>
      <c r="H92" s="1214"/>
      <c r="I92" s="1215">
        <v>1</v>
      </c>
      <c r="J92" s="1215">
        <v>0</v>
      </c>
      <c r="K92" s="1215">
        <v>1</v>
      </c>
      <c r="L92" s="653" t="str">
        <f t="shared" si="67"/>
        <v>667</v>
      </c>
      <c r="M92" s="654" t="str">
        <f t="shared" si="0"/>
        <v>PERSONELS CLER. PIECES</v>
      </c>
      <c r="N92" s="655">
        <f>+IF(OR($Q92=Parametres!$G$2,$Q92=Parametres!$G$3),I92,C92)</f>
        <v>1</v>
      </c>
      <c r="O92" s="655">
        <f>+IF(OR($Q92=Parametres!$G$2,$Q92=Parametres!$G$3),J92,D92)</f>
        <v>0</v>
      </c>
      <c r="P92" s="662">
        <f>+IF(OR($Q92=Parametres!$G$2,$Q92=Parametres!$G$3),K92,E92)</f>
        <v>1</v>
      </c>
      <c r="Q92" s="654" t="str">
        <f t="shared" ref="Q92:S92" si="93">+F92</f>
        <v>1-Mémo</v>
      </c>
      <c r="R92" s="653" t="str">
        <f t="shared" si="93"/>
        <v>50</v>
      </c>
      <c r="S92" s="654">
        <f t="shared" si="93"/>
        <v>0</v>
      </c>
      <c r="T92" s="656" t="str">
        <f>+VLOOKUP($L92,Data_Validation!$A:$D,1,0)</f>
        <v>667</v>
      </c>
      <c r="U92" s="656">
        <f>+VLOOKUP($L92,Data_Validation!$A:$D,3,0)</f>
        <v>0</v>
      </c>
      <c r="V92" s="656">
        <f>+VLOOKUP($L92,Data_Validation!$A:$D,4,0)</f>
        <v>0</v>
      </c>
      <c r="W92" s="656" t="str">
        <f>+VLOOKUP($L92,Data_Validation!$A:$E,5,0)</f>
        <v>$</v>
      </c>
      <c r="X92" s="656">
        <f>+VLOOKUP($L92,Data_Validation!$A:$F,6,0)</f>
        <v>0</v>
      </c>
    </row>
    <row r="93" spans="1:24" ht="15" hidden="1" customHeight="1">
      <c r="A93" s="1213" t="s">
        <v>814</v>
      </c>
      <c r="B93" s="1213" t="s">
        <v>2722</v>
      </c>
      <c r="C93" s="1214"/>
      <c r="D93" s="1214"/>
      <c r="E93" s="1214"/>
      <c r="F93" s="1213" t="s">
        <v>2</v>
      </c>
      <c r="G93" s="1213" t="s">
        <v>3334</v>
      </c>
      <c r="H93" s="1214"/>
      <c r="I93" s="1215">
        <v>3</v>
      </c>
      <c r="J93" s="1215">
        <v>0</v>
      </c>
      <c r="K93" s="1215">
        <v>3</v>
      </c>
      <c r="L93" s="653" t="str">
        <f t="shared" si="67"/>
        <v>677</v>
      </c>
      <c r="M93" s="654" t="str">
        <f t="shared" si="0"/>
        <v>VW PIECES</v>
      </c>
      <c r="N93" s="655">
        <f>+IF(OR($Q93=Parametres!$G$2,$Q93=Parametres!$G$3),I93,C93)</f>
        <v>3</v>
      </c>
      <c r="O93" s="655">
        <f>+IF(OR($Q93=Parametres!$G$2,$Q93=Parametres!$G$3),J93,D93)</f>
        <v>0</v>
      </c>
      <c r="P93" s="662">
        <f>+IF(OR($Q93=Parametres!$G$2,$Q93=Parametres!$G$3),K93,E93)</f>
        <v>3</v>
      </c>
      <c r="Q93" s="654" t="str">
        <f t="shared" ref="Q93:S93" si="94">+F93</f>
        <v>1-Mémo</v>
      </c>
      <c r="R93" s="653" t="str">
        <f t="shared" si="94"/>
        <v>67</v>
      </c>
      <c r="S93" s="654">
        <f t="shared" si="94"/>
        <v>0</v>
      </c>
      <c r="T93" s="656" t="str">
        <f>+VLOOKUP($L93,Data_Validation!$A:$D,1,0)</f>
        <v>677</v>
      </c>
      <c r="U93" s="656">
        <f>+VLOOKUP($L93,Data_Validation!$A:$D,3,0)</f>
        <v>0</v>
      </c>
      <c r="V93" s="656">
        <f>+VLOOKUP($L93,Data_Validation!$A:$D,4,0)</f>
        <v>0</v>
      </c>
      <c r="W93" s="656" t="str">
        <f>+VLOOKUP($L93,Data_Validation!$A:$E,5,0)</f>
        <v>$</v>
      </c>
      <c r="X93" s="656">
        <f>+VLOOKUP($L93,Data_Validation!$A:$F,6,0)</f>
        <v>0</v>
      </c>
    </row>
    <row r="94" spans="1:24" ht="15.75" hidden="1" customHeight="1">
      <c r="A94" s="1213" t="s">
        <v>815</v>
      </c>
      <c r="B94" s="1213" t="s">
        <v>817</v>
      </c>
      <c r="C94" s="1215">
        <v>1693696.77</v>
      </c>
      <c r="D94" s="1215">
        <v>-1971390.65</v>
      </c>
      <c r="E94" s="1215">
        <v>-277693.88</v>
      </c>
      <c r="F94" s="1213" t="s">
        <v>816</v>
      </c>
      <c r="G94" s="1213" t="s">
        <v>817</v>
      </c>
      <c r="H94" s="1214"/>
      <c r="I94" s="1214"/>
      <c r="J94" s="1214"/>
      <c r="K94" s="1214"/>
      <c r="L94" s="653" t="str">
        <f t="shared" si="67"/>
        <v>1102</v>
      </c>
      <c r="M94" s="654" t="str">
        <f t="shared" si="0"/>
        <v>BANQUE DE COMMERCE C/C</v>
      </c>
      <c r="N94" s="655">
        <f>+IF(OR($Q94=Parametres!$G$2,$Q94=Parametres!$G$3),I94,C94)</f>
        <v>1693696.77</v>
      </c>
      <c r="O94" s="655">
        <f>+IF(OR($Q94=Parametres!$G$2,$Q94=Parametres!$G$3),J94,D94)</f>
        <v>-1971390.65</v>
      </c>
      <c r="P94" s="655">
        <f>+IF(OR($Q94=Parametres!$G$2,$Q94=Parametres!$G$3),K94,E94)</f>
        <v>-277693.88</v>
      </c>
      <c r="Q94" s="654" t="str">
        <f t="shared" ref="Q94:S94" si="95">+F94</f>
        <v>2-Actifs</v>
      </c>
      <c r="R94" s="653" t="str">
        <f t="shared" si="95"/>
        <v>1102</v>
      </c>
      <c r="S94" s="654">
        <f t="shared" si="95"/>
        <v>0</v>
      </c>
      <c r="T94" s="656" t="str">
        <f>+VLOOKUP($L94,Data_Validation!$A:$D,1,0)</f>
        <v>1102</v>
      </c>
      <c r="U94" s="656" t="str">
        <f>+VLOOKUP($L94,Data_Validation!$A:$D,3,0)</f>
        <v>Bilan</v>
      </c>
      <c r="V94" s="656" t="str">
        <f>+VLOOKUP($L94,Data_Validation!$A:$D,4,0)</f>
        <v>Encaisse</v>
      </c>
      <c r="W94" s="656" t="str">
        <f>+VLOOKUP($L94,Data_Validation!$A:$E,5,0)</f>
        <v>$</v>
      </c>
      <c r="X94" s="656">
        <f>+VLOOKUP($L94,Data_Validation!$A:$F,6,0)</f>
        <v>0</v>
      </c>
    </row>
    <row r="95" spans="1:24" ht="15" hidden="1" customHeight="1">
      <c r="A95" s="1213" t="s">
        <v>3896</v>
      </c>
      <c r="B95" s="1213" t="s">
        <v>3897</v>
      </c>
      <c r="C95" s="1215">
        <v>9423.5499999999993</v>
      </c>
      <c r="D95" s="1215">
        <v>-9312.81</v>
      </c>
      <c r="E95" s="1215">
        <v>110.74</v>
      </c>
      <c r="F95" s="1213" t="s">
        <v>816</v>
      </c>
      <c r="G95" s="1213" t="s">
        <v>817</v>
      </c>
      <c r="H95" s="1214"/>
      <c r="I95" s="1214"/>
      <c r="J95" s="1214"/>
      <c r="K95" s="1214"/>
      <c r="L95" s="653" t="str">
        <f t="shared" si="67"/>
        <v>1109</v>
      </c>
      <c r="M95" s="654" t="str">
        <f t="shared" si="0"/>
        <v>KIMOBY</v>
      </c>
      <c r="N95" s="655">
        <f>+IF(OR($Q95=Parametres!$G$2,$Q95=Parametres!$G$3),I95,C95)</f>
        <v>9423.5499999999993</v>
      </c>
      <c r="O95" s="655">
        <f>+IF(OR($Q95=Parametres!$G$2,$Q95=Parametres!$G$3),J95,D95)</f>
        <v>-9312.81</v>
      </c>
      <c r="P95" s="655">
        <f>+IF(OR($Q95=Parametres!$G$2,$Q95=Parametres!$G$3),K95,E95)</f>
        <v>110.74</v>
      </c>
      <c r="Q95" s="654" t="str">
        <f t="shared" ref="Q95:S95" si="96">+F95</f>
        <v>2-Actifs</v>
      </c>
      <c r="R95" s="653" t="str">
        <f t="shared" si="96"/>
        <v>1102</v>
      </c>
      <c r="S95" s="654">
        <f t="shared" si="96"/>
        <v>0</v>
      </c>
      <c r="T95" s="656" t="str">
        <f>+VLOOKUP($L95,Data_Validation!$A:$D,1,0)</f>
        <v>1109</v>
      </c>
      <c r="U95" s="656" t="str">
        <f>+VLOOKUP($L95,Data_Validation!$A:$D,3,0)</f>
        <v>Bilan</v>
      </c>
      <c r="V95" s="656" t="str">
        <f>+VLOOKUP($L95,Data_Validation!$A:$D,4,0)</f>
        <v>Encaisse</v>
      </c>
      <c r="W95" s="656" t="str">
        <f>+VLOOKUP($L95,Data_Validation!$A:$E,5,0)</f>
        <v>$</v>
      </c>
      <c r="X95" s="656">
        <f>+VLOOKUP($L95,Data_Validation!$A:$F,6,0)</f>
        <v>0</v>
      </c>
    </row>
    <row r="96" spans="1:24" ht="15" hidden="1" customHeight="1">
      <c r="A96" s="1213" t="s">
        <v>819</v>
      </c>
      <c r="B96" s="1213" t="s">
        <v>3361</v>
      </c>
      <c r="C96" s="1215">
        <v>400000</v>
      </c>
      <c r="D96" s="1215">
        <v>200000</v>
      </c>
      <c r="E96" s="1215">
        <v>600000</v>
      </c>
      <c r="F96" s="1213" t="s">
        <v>816</v>
      </c>
      <c r="G96" s="1213" t="s">
        <v>817</v>
      </c>
      <c r="H96" s="1214"/>
      <c r="I96" s="1214"/>
      <c r="J96" s="1214"/>
      <c r="K96" s="1214"/>
      <c r="L96" s="653" t="str">
        <f t="shared" si="67"/>
        <v>1111</v>
      </c>
      <c r="M96" s="654" t="str">
        <f t="shared" si="0"/>
        <v>REMBOURSEMENTS FLOORPLAN</v>
      </c>
      <c r="N96" s="655">
        <f>+IF(OR($Q96=Parametres!$G$2,$Q96=Parametres!$G$3),I96,C96)</f>
        <v>400000</v>
      </c>
      <c r="O96" s="655">
        <f>+IF(OR($Q96=Parametres!$G$2,$Q96=Parametres!$G$3),J96,D96)</f>
        <v>200000</v>
      </c>
      <c r="P96" s="662">
        <f>+IF(OR($Q96=Parametres!$G$2,$Q96=Parametres!$G$3),K96,E96)</f>
        <v>600000</v>
      </c>
      <c r="Q96" s="654" t="str">
        <f t="shared" ref="Q96:S96" si="97">+F96</f>
        <v>2-Actifs</v>
      </c>
      <c r="R96" s="653" t="str">
        <f t="shared" si="97"/>
        <v>1102</v>
      </c>
      <c r="S96" s="654">
        <f t="shared" si="97"/>
        <v>0</v>
      </c>
      <c r="T96" s="656" t="str">
        <f>+VLOOKUP($L96,Data_Validation!$A:$D,1,0)</f>
        <v>1111</v>
      </c>
      <c r="U96" s="656" t="str">
        <f>+VLOOKUP($L96,Data_Validation!$A:$D,3,0)</f>
        <v>Bilan</v>
      </c>
      <c r="V96" s="656" t="str">
        <f>+VLOOKUP($L96,Data_Validation!$A:$D,4,0)</f>
        <v>Encaisse</v>
      </c>
      <c r="W96" s="656" t="str">
        <f>+VLOOKUP($L96,Data_Validation!$A:$E,5,0)</f>
        <v>$</v>
      </c>
      <c r="X96" s="656">
        <f>+VLOOKUP($L96,Data_Validation!$A:$F,6,0)</f>
        <v>0</v>
      </c>
    </row>
    <row r="97" spans="1:24" ht="15" hidden="1" customHeight="1">
      <c r="A97" s="1213" t="s">
        <v>820</v>
      </c>
      <c r="B97" s="1213" t="s">
        <v>1452</v>
      </c>
      <c r="C97" s="1215">
        <v>208.82</v>
      </c>
      <c r="D97" s="1215">
        <v>0</v>
      </c>
      <c r="E97" s="1215">
        <v>208.82</v>
      </c>
      <c r="F97" s="1213" t="s">
        <v>816</v>
      </c>
      <c r="G97" s="1213" t="s">
        <v>817</v>
      </c>
      <c r="H97" s="651"/>
      <c r="I97" s="651"/>
      <c r="J97" s="651"/>
      <c r="K97" s="651"/>
      <c r="L97" s="653" t="str">
        <f t="shared" si="67"/>
        <v>1182</v>
      </c>
      <c r="M97" s="654" t="str">
        <f t="shared" si="0"/>
        <v>PETITE CAISSE</v>
      </c>
      <c r="N97" s="655">
        <f>+IF(OR($Q97=Parametres!$G$2,$Q97=Parametres!$G$3),I97,C97)</f>
        <v>208.82</v>
      </c>
      <c r="O97" s="659">
        <f>+IF(OR($Q97=Parametres!$G$2,$Q97=Parametres!$G$3),J97,D97)</f>
        <v>0</v>
      </c>
      <c r="P97" s="655">
        <f>+IF(OR($Q97=Parametres!$G$2,$Q97=Parametres!$G$3),K97,E97)</f>
        <v>208.82</v>
      </c>
      <c r="Q97" s="654" t="str">
        <f t="shared" ref="Q97:S97" si="98">+F97</f>
        <v>2-Actifs</v>
      </c>
      <c r="R97" s="653" t="str">
        <f t="shared" si="98"/>
        <v>1102</v>
      </c>
      <c r="S97" s="654">
        <f t="shared" si="98"/>
        <v>0</v>
      </c>
      <c r="T97" s="656" t="str">
        <f>+VLOOKUP($L97,Data_Validation!$A:$D,1,0)</f>
        <v>1182</v>
      </c>
      <c r="U97" s="656" t="str">
        <f>+VLOOKUP($L97,Data_Validation!$A:$D,3,0)</f>
        <v>Bilan</v>
      </c>
      <c r="V97" s="656" t="str">
        <f>+VLOOKUP($L97,Data_Validation!$A:$D,4,0)</f>
        <v>Encaisse</v>
      </c>
      <c r="W97" s="656" t="str">
        <f>+VLOOKUP($L97,Data_Validation!$A:$E,5,0)</f>
        <v>$</v>
      </c>
      <c r="X97" s="656">
        <f>+VLOOKUP($L97,Data_Validation!$A:$F,6,0)</f>
        <v>0</v>
      </c>
    </row>
    <row r="98" spans="1:24" ht="15" hidden="1" customHeight="1">
      <c r="A98" s="1213" t="s">
        <v>3667</v>
      </c>
      <c r="B98" s="1213" t="s">
        <v>3363</v>
      </c>
      <c r="C98" s="1215">
        <v>-25.75</v>
      </c>
      <c r="D98" s="1215">
        <v>25.75</v>
      </c>
      <c r="E98" s="1215">
        <v>0</v>
      </c>
      <c r="F98" s="1213" t="s">
        <v>816</v>
      </c>
      <c r="G98" s="1213" t="s">
        <v>821</v>
      </c>
      <c r="H98" s="651"/>
      <c r="I98" s="651"/>
      <c r="J98" s="651"/>
      <c r="K98" s="651"/>
      <c r="L98" s="653" t="str">
        <f t="shared" si="67"/>
        <v>1189</v>
      </c>
      <c r="M98" s="654" t="str">
        <f t="shared" si="0"/>
        <v>VENTE AU COMPTANT (PIECES)</v>
      </c>
      <c r="N98" s="655">
        <f>+IF(OR($Q98=Parametres!$G$2,$Q98=Parametres!$G$3),I98,C98)</f>
        <v>-25.75</v>
      </c>
      <c r="O98" s="659">
        <f>+IF(OR($Q98=Parametres!$G$2,$Q98=Parametres!$G$3),J98,D98)</f>
        <v>25.75</v>
      </c>
      <c r="P98" s="655">
        <f>+IF(OR($Q98=Parametres!$G$2,$Q98=Parametres!$G$3),K98,E98)</f>
        <v>0</v>
      </c>
      <c r="Q98" s="654" t="str">
        <f t="shared" ref="Q98:S98" si="99">+F98</f>
        <v>2-Actifs</v>
      </c>
      <c r="R98" s="653" t="str">
        <f t="shared" si="99"/>
        <v>1382</v>
      </c>
      <c r="S98" s="654">
        <f t="shared" si="99"/>
        <v>0</v>
      </c>
      <c r="T98" s="656" t="str">
        <f>+VLOOKUP($L98,Data_Validation!$A:$D,1,0)</f>
        <v>1189</v>
      </c>
      <c r="U98" s="656" t="str">
        <f>+VLOOKUP($L98,Data_Validation!$A:$D,3,0)</f>
        <v>Bilan</v>
      </c>
      <c r="V98" s="656" t="str">
        <f>+VLOOKUP($L98,Data_Validation!$A:$D,4,0)</f>
        <v>Encaisse</v>
      </c>
      <c r="W98" s="656" t="str">
        <f>+VLOOKUP($L98,Data_Validation!$A:$E,5,0)</f>
        <v>$</v>
      </c>
      <c r="X98" s="656">
        <f>+VLOOKUP($L98,Data_Validation!$A:$F,6,0)</f>
        <v>0</v>
      </c>
    </row>
    <row r="99" spans="1:24" ht="15.75" hidden="1" customHeight="1">
      <c r="A99" s="1213" t="s">
        <v>822</v>
      </c>
      <c r="B99" s="1213" t="s">
        <v>823</v>
      </c>
      <c r="C99" s="1215">
        <v>748059.93</v>
      </c>
      <c r="D99" s="1215">
        <v>45403.4</v>
      </c>
      <c r="E99" s="1215">
        <v>793463.33</v>
      </c>
      <c r="F99" s="1213" t="s">
        <v>816</v>
      </c>
      <c r="G99" s="1213" t="s">
        <v>823</v>
      </c>
      <c r="H99" s="651"/>
      <c r="I99" s="651"/>
      <c r="J99" s="651"/>
      <c r="K99" s="651"/>
      <c r="L99" s="653" t="str">
        <f t="shared" si="67"/>
        <v>1202</v>
      </c>
      <c r="M99" s="654" t="str">
        <f t="shared" si="0"/>
        <v>CONTRATS EN TRANSIT</v>
      </c>
      <c r="N99" s="655">
        <f>+IF(OR($Q99=Parametres!$G$2,$Q99=Parametres!$G$3),I99,C99)</f>
        <v>748059.93</v>
      </c>
      <c r="O99" s="659">
        <f>+IF(OR($Q99=Parametres!$G$2,$Q99=Parametres!$G$3),J99,D99)</f>
        <v>45403.4</v>
      </c>
      <c r="P99" s="655">
        <f>+IF(OR($Q99=Parametres!$G$2,$Q99=Parametres!$G$3),K99,E99)</f>
        <v>793463.33</v>
      </c>
      <c r="Q99" s="654" t="str">
        <f t="shared" ref="Q99:S99" si="100">+F99</f>
        <v>2-Actifs</v>
      </c>
      <c r="R99" s="653" t="str">
        <f t="shared" si="100"/>
        <v>1202</v>
      </c>
      <c r="S99" s="654">
        <f t="shared" si="100"/>
        <v>0</v>
      </c>
      <c r="T99" s="656" t="str">
        <f>+VLOOKUP($L99,Data_Validation!$A:$D,1,0)</f>
        <v>1202</v>
      </c>
      <c r="U99" s="656" t="str">
        <f>+VLOOKUP($L99,Data_Validation!$A:$D,3,0)</f>
        <v>Bilan</v>
      </c>
      <c r="V99" s="656" t="str">
        <f>+VLOOKUP($L99,Data_Validation!$A:$D,4,0)</f>
        <v>Recevables Contrats en Transit</v>
      </c>
      <c r="W99" s="656" t="str">
        <f>+VLOOKUP($L99,Data_Validation!$A:$E,5,0)</f>
        <v>$</v>
      </c>
      <c r="X99" s="656">
        <f>+VLOOKUP($L99,Data_Validation!$A:$F,6,0)</f>
        <v>0</v>
      </c>
    </row>
    <row r="100" spans="1:24" ht="15" hidden="1" customHeight="1">
      <c r="A100" s="1213" t="s">
        <v>824</v>
      </c>
      <c r="B100" s="1213" t="s">
        <v>825</v>
      </c>
      <c r="C100" s="1215">
        <v>-42301.21</v>
      </c>
      <c r="D100" s="1215">
        <v>63647.98</v>
      </c>
      <c r="E100" s="1215">
        <v>21346.77</v>
      </c>
      <c r="F100" s="1213" t="s">
        <v>816</v>
      </c>
      <c r="G100" s="1213" t="s">
        <v>825</v>
      </c>
      <c r="H100" s="651"/>
      <c r="I100" s="652"/>
      <c r="J100" s="652"/>
      <c r="K100" s="652"/>
      <c r="L100" s="653" t="str">
        <f t="shared" si="67"/>
        <v>1302</v>
      </c>
      <c r="M100" s="654" t="str">
        <f t="shared" si="0"/>
        <v>RECEVABLE-CLIENT-VEHICULE</v>
      </c>
      <c r="N100" s="655">
        <f>+IF(OR($Q100=Parametres!$G$2,$Q100=Parametres!$G$3),I100,C100)</f>
        <v>-42301.21</v>
      </c>
      <c r="O100" s="659">
        <f>+IF(OR($Q100=Parametres!$G$2,$Q100=Parametres!$G$3),J100,D100)</f>
        <v>63647.98</v>
      </c>
      <c r="P100" s="655">
        <f>+IF(OR($Q100=Parametres!$G$2,$Q100=Parametres!$G$3),K100,E100)</f>
        <v>21346.77</v>
      </c>
      <c r="Q100" s="654" t="str">
        <f t="shared" ref="Q100:S100" si="101">+F100</f>
        <v>2-Actifs</v>
      </c>
      <c r="R100" s="653" t="str">
        <f t="shared" si="101"/>
        <v>1302</v>
      </c>
      <c r="S100" s="654">
        <f t="shared" si="101"/>
        <v>0</v>
      </c>
      <c r="T100" s="656" t="str">
        <f>+VLOOKUP($L100,Data_Validation!$A:$D,1,0)</f>
        <v>1302</v>
      </c>
      <c r="U100" s="656" t="str">
        <f>+VLOOKUP($L100,Data_Validation!$A:$D,3,0)</f>
        <v>Bilan</v>
      </c>
      <c r="V100" s="656" t="str">
        <f>+VLOOKUP($L100,Data_Validation!$A:$D,4,0)</f>
        <v>Recevables Véhicules</v>
      </c>
      <c r="W100" s="656" t="str">
        <f>+VLOOKUP($L100,Data_Validation!$A:$E,5,0)</f>
        <v>$</v>
      </c>
      <c r="X100" s="656">
        <f>+VLOOKUP($L100,Data_Validation!$A:$F,6,0)</f>
        <v>0</v>
      </c>
    </row>
    <row r="101" spans="1:24" ht="15" hidden="1" customHeight="1">
      <c r="A101" s="1213" t="s">
        <v>826</v>
      </c>
      <c r="B101" s="1213" t="s">
        <v>1459</v>
      </c>
      <c r="C101" s="1215">
        <v>331454.27</v>
      </c>
      <c r="D101" s="1215">
        <v>-111133.84</v>
      </c>
      <c r="E101" s="1215">
        <v>220320.43</v>
      </c>
      <c r="F101" s="1213" t="s">
        <v>816</v>
      </c>
      <c r="G101" s="1213" t="s">
        <v>825</v>
      </c>
      <c r="H101" s="651"/>
      <c r="I101" s="652"/>
      <c r="J101" s="652"/>
      <c r="K101" s="652"/>
      <c r="L101" s="653" t="str">
        <f t="shared" si="67"/>
        <v>1303</v>
      </c>
      <c r="M101" s="654" t="str">
        <f t="shared" si="0"/>
        <v>RECEVABLES LPA ET AU GROS</v>
      </c>
      <c r="N101" s="655">
        <f>+IF(OR($Q101=Parametres!$G$2,$Q101=Parametres!$G$3),I101,C101)</f>
        <v>331454.27</v>
      </c>
      <c r="O101" s="655">
        <f>+IF(OR($Q101=Parametres!$G$2,$Q101=Parametres!$G$3),J101,D101)</f>
        <v>-111133.84</v>
      </c>
      <c r="P101" s="655">
        <f>+IF(OR($Q101=Parametres!$G$2,$Q101=Parametres!$G$3),K101,E101)</f>
        <v>220320.43</v>
      </c>
      <c r="Q101" s="654" t="str">
        <f t="shared" ref="Q101:S101" si="102">+F101</f>
        <v>2-Actifs</v>
      </c>
      <c r="R101" s="653" t="str">
        <f t="shared" si="102"/>
        <v>1302</v>
      </c>
      <c r="S101" s="654">
        <f t="shared" si="102"/>
        <v>0</v>
      </c>
      <c r="T101" s="656" t="str">
        <f>+VLOOKUP($L101,Data_Validation!$A:$D,1,0)</f>
        <v>1303</v>
      </c>
      <c r="U101" s="656" t="str">
        <f>+VLOOKUP($L101,Data_Validation!$A:$D,3,0)</f>
        <v>Bilan</v>
      </c>
      <c r="V101" s="656" t="str">
        <f>+VLOOKUP($L101,Data_Validation!$A:$D,4,0)</f>
        <v>Recevables Véhicules</v>
      </c>
      <c r="W101" s="656" t="str">
        <f>+VLOOKUP($L101,Data_Validation!$A:$E,5,0)</f>
        <v>$</v>
      </c>
      <c r="X101" s="656">
        <f>+VLOOKUP($L101,Data_Validation!$A:$F,6,0)</f>
        <v>0</v>
      </c>
    </row>
    <row r="102" spans="1:24" ht="15" hidden="1" customHeight="1">
      <c r="A102" s="1213" t="s">
        <v>827</v>
      </c>
      <c r="B102" s="1213" t="s">
        <v>828</v>
      </c>
      <c r="C102" s="1215">
        <v>207823.11</v>
      </c>
      <c r="D102" s="1215">
        <v>31692.75</v>
      </c>
      <c r="E102" s="1215">
        <v>239515.86</v>
      </c>
      <c r="F102" s="1213" t="s">
        <v>816</v>
      </c>
      <c r="G102" s="1213" t="s">
        <v>828</v>
      </c>
      <c r="H102" s="651"/>
      <c r="I102" s="651"/>
      <c r="J102" s="651"/>
      <c r="K102" s="651"/>
      <c r="L102" s="653" t="str">
        <f t="shared" si="67"/>
        <v>1304</v>
      </c>
      <c r="M102" s="654" t="str">
        <f t="shared" si="0"/>
        <v>RECEVABLES PIECES &amp; SERVICE</v>
      </c>
      <c r="N102" s="655">
        <f>+IF(OR($Q102=Parametres!$G$2,$Q102=Parametres!$G$3),I102,C102)</f>
        <v>207823.11</v>
      </c>
      <c r="O102" s="655">
        <f>+IF(OR($Q102=Parametres!$G$2,$Q102=Parametres!$G$3),J102,D102)</f>
        <v>31692.75</v>
      </c>
      <c r="P102" s="655">
        <f>+IF(OR($Q102=Parametres!$G$2,$Q102=Parametres!$G$3),K102,E102)</f>
        <v>239515.86</v>
      </c>
      <c r="Q102" s="654" t="str">
        <f t="shared" ref="Q102:S102" si="103">+F102</f>
        <v>2-Actifs</v>
      </c>
      <c r="R102" s="653" t="str">
        <f t="shared" si="103"/>
        <v>1304</v>
      </c>
      <c r="S102" s="654">
        <f t="shared" si="103"/>
        <v>0</v>
      </c>
      <c r="T102" s="656" t="str">
        <f>+VLOOKUP($L102,Data_Validation!$A:$D,1,0)</f>
        <v>1304</v>
      </c>
      <c r="U102" s="656" t="str">
        <f>+VLOOKUP($L102,Data_Validation!$A:$D,3,0)</f>
        <v>Bilan</v>
      </c>
      <c r="V102" s="656" t="str">
        <f>+VLOOKUP($L102,Data_Validation!$A:$D,4,0)</f>
        <v>Recevables Pièces et Service</v>
      </c>
      <c r="W102" s="656" t="str">
        <f>+VLOOKUP($L102,Data_Validation!$A:$E,5,0)</f>
        <v>$</v>
      </c>
      <c r="X102" s="656">
        <f>+VLOOKUP($L102,Data_Validation!$A:$F,6,0)</f>
        <v>0</v>
      </c>
    </row>
    <row r="103" spans="1:24" ht="15.75" hidden="1" customHeight="1">
      <c r="A103" s="1213" t="s">
        <v>829</v>
      </c>
      <c r="B103" s="1213" t="s">
        <v>1464</v>
      </c>
      <c r="C103" s="1215">
        <v>1348.49</v>
      </c>
      <c r="D103" s="1215">
        <v>-1949.73</v>
      </c>
      <c r="E103" s="1215">
        <v>-601.24</v>
      </c>
      <c r="F103" s="1213" t="s">
        <v>816</v>
      </c>
      <c r="G103" s="1213" t="s">
        <v>828</v>
      </c>
      <c r="H103" s="651"/>
      <c r="I103" s="651"/>
      <c r="J103" s="651"/>
      <c r="K103" s="651"/>
      <c r="L103" s="653" t="str">
        <f t="shared" si="67"/>
        <v>1305</v>
      </c>
      <c r="M103" s="654" t="str">
        <f t="shared" si="0"/>
        <v>RECEVABLES CARROSSERIE</v>
      </c>
      <c r="N103" s="655">
        <f>+IF(OR($Q103=Parametres!$G$2,$Q103=Parametres!$G$3),I103,C103)</f>
        <v>1348.49</v>
      </c>
      <c r="O103" s="655">
        <f>+IF(OR($Q103=Parametres!$G$2,$Q103=Parametres!$G$3),J103,D103)</f>
        <v>-1949.73</v>
      </c>
      <c r="P103" s="655">
        <f>+IF(OR($Q103=Parametres!$G$2,$Q103=Parametres!$G$3),K103,E103)</f>
        <v>-601.24</v>
      </c>
      <c r="Q103" s="654" t="str">
        <f t="shared" ref="Q103:S103" si="104">+F103</f>
        <v>2-Actifs</v>
      </c>
      <c r="R103" s="653" t="str">
        <f t="shared" si="104"/>
        <v>1304</v>
      </c>
      <c r="S103" s="654">
        <f t="shared" si="104"/>
        <v>0</v>
      </c>
      <c r="T103" s="656" t="str">
        <f>+VLOOKUP($L103,Data_Validation!$A:$D,1,0)</f>
        <v>1305</v>
      </c>
      <c r="U103" s="656" t="str">
        <f>+VLOOKUP($L103,Data_Validation!$A:$D,3,0)</f>
        <v>Bilan</v>
      </c>
      <c r="V103" s="656" t="str">
        <f>+VLOOKUP($L103,Data_Validation!$A:$D,4,0)</f>
        <v>Recevables Carrosserie</v>
      </c>
      <c r="W103" s="656" t="str">
        <f>+VLOOKUP($L103,Data_Validation!$A:$E,5,0)</f>
        <v>$</v>
      </c>
      <c r="X103" s="656">
        <f>+VLOOKUP($L103,Data_Validation!$A:$F,6,0)</f>
        <v>0</v>
      </c>
    </row>
    <row r="104" spans="1:24" ht="15" hidden="1" customHeight="1">
      <c r="A104" s="1213" t="s">
        <v>830</v>
      </c>
      <c r="B104" s="1213" t="s">
        <v>3364</v>
      </c>
      <c r="C104" s="1215">
        <v>24225</v>
      </c>
      <c r="D104" s="1215">
        <v>-4847.5200000000004</v>
      </c>
      <c r="E104" s="1215">
        <v>19377.48</v>
      </c>
      <c r="F104" s="1213" t="s">
        <v>816</v>
      </c>
      <c r="G104" s="1213" t="s">
        <v>828</v>
      </c>
      <c r="H104" s="651"/>
      <c r="I104" s="651"/>
      <c r="J104" s="651"/>
      <c r="K104" s="651"/>
      <c r="L104" s="653" t="str">
        <f t="shared" si="67"/>
        <v>1306</v>
      </c>
      <c r="M104" s="654" t="str">
        <f t="shared" si="0"/>
        <v>RECEVABLES INTERCO</v>
      </c>
      <c r="N104" s="655">
        <f>+IF(OR($Q104=Parametres!$G$2,$Q104=Parametres!$G$3),I104,C104)</f>
        <v>24225</v>
      </c>
      <c r="O104" s="655">
        <f>+IF(OR($Q104=Parametres!$G$2,$Q104=Parametres!$G$3),J104,D104)</f>
        <v>-4847.5200000000004</v>
      </c>
      <c r="P104" s="655">
        <f>+IF(OR($Q104=Parametres!$G$2,$Q104=Parametres!$G$3),K104,E104)</f>
        <v>19377.48</v>
      </c>
      <c r="Q104" s="654" t="str">
        <f t="shared" ref="Q104:S104" si="105">+F104</f>
        <v>2-Actifs</v>
      </c>
      <c r="R104" s="653" t="str">
        <f t="shared" si="105"/>
        <v>1304</v>
      </c>
      <c r="S104" s="654">
        <f t="shared" si="105"/>
        <v>0</v>
      </c>
      <c r="T104" s="656" t="str">
        <f>+VLOOKUP($L104,Data_Validation!$A:$D,1,0)</f>
        <v>1306</v>
      </c>
      <c r="U104" s="656" t="str">
        <f>+VLOOKUP($L104,Data_Validation!$A:$D,3,0)</f>
        <v>Bilan</v>
      </c>
      <c r="V104" s="656" t="str">
        <f>+VLOOKUP($L104,Data_Validation!$A:$D,4,0)</f>
        <v>Recevables Intercos</v>
      </c>
      <c r="W104" s="656" t="str">
        <f>+VLOOKUP($L104,Data_Validation!$A:$E,5,0)</f>
        <v>$</v>
      </c>
      <c r="X104" s="656">
        <f>+VLOOKUP($L104,Data_Validation!$A:$F,6,0)</f>
        <v>0</v>
      </c>
    </row>
    <row r="105" spans="1:24" ht="15" hidden="1" customHeight="1">
      <c r="A105" s="1213" t="s">
        <v>831</v>
      </c>
      <c r="B105" s="1213" t="s">
        <v>3365</v>
      </c>
      <c r="C105" s="1215">
        <v>29000</v>
      </c>
      <c r="D105" s="1215">
        <v>-29000</v>
      </c>
      <c r="E105" s="1215">
        <v>0</v>
      </c>
      <c r="F105" s="1213" t="s">
        <v>816</v>
      </c>
      <c r="G105" s="1213" t="s">
        <v>825</v>
      </c>
      <c r="H105" s="651"/>
      <c r="I105" s="651"/>
      <c r="J105" s="651"/>
      <c r="K105" s="651"/>
      <c r="L105" s="653" t="str">
        <f t="shared" si="67"/>
        <v>1307</v>
      </c>
      <c r="M105" s="654" t="str">
        <f t="shared" si="0"/>
        <v>RECEVABLES INTERCO VEHICULE</v>
      </c>
      <c r="N105" s="655">
        <f>+IF(OR($Q105=Parametres!$G$2,$Q105=Parametres!$G$3),I105,C105)</f>
        <v>29000</v>
      </c>
      <c r="O105" s="655">
        <f>+IF(OR($Q105=Parametres!$G$2,$Q105=Parametres!$G$3),J105,D105)</f>
        <v>-29000</v>
      </c>
      <c r="P105" s="655">
        <f>+IF(OR($Q105=Parametres!$G$2,$Q105=Parametres!$G$3),K105,E105)</f>
        <v>0</v>
      </c>
      <c r="Q105" s="654" t="str">
        <f t="shared" ref="Q105:S105" si="106">+F105</f>
        <v>2-Actifs</v>
      </c>
      <c r="R105" s="653" t="str">
        <f t="shared" si="106"/>
        <v>1302</v>
      </c>
      <c r="S105" s="654">
        <f t="shared" si="106"/>
        <v>0</v>
      </c>
      <c r="T105" s="656" t="str">
        <f>+VLOOKUP($L105,Data_Validation!$A:$D,1,0)</f>
        <v>1307</v>
      </c>
      <c r="U105" s="656" t="str">
        <f>+VLOOKUP($L105,Data_Validation!$A:$D,3,0)</f>
        <v>Bilan</v>
      </c>
      <c r="V105" s="656" t="str">
        <f>+VLOOKUP($L105,Data_Validation!$A:$D,4,0)</f>
        <v>Recevables Intercos</v>
      </c>
      <c r="W105" s="656" t="str">
        <f>+VLOOKUP($L105,Data_Validation!$A:$E,5,0)</f>
        <v>$</v>
      </c>
      <c r="X105" s="656">
        <f>+VLOOKUP($L105,Data_Validation!$A:$F,6,0)</f>
        <v>0</v>
      </c>
    </row>
    <row r="106" spans="1:24" ht="15" hidden="1" customHeight="1">
      <c r="A106" s="1213" t="s">
        <v>832</v>
      </c>
      <c r="B106" s="1213" t="s">
        <v>1467</v>
      </c>
      <c r="C106" s="1215">
        <v>75218</v>
      </c>
      <c r="D106" s="1215">
        <v>-75218</v>
      </c>
      <c r="E106" s="1215">
        <v>0</v>
      </c>
      <c r="F106" s="1213" t="s">
        <v>816</v>
      </c>
      <c r="G106" s="1213" t="s">
        <v>833</v>
      </c>
      <c r="H106" s="651"/>
      <c r="I106" s="651"/>
      <c r="J106" s="651"/>
      <c r="K106" s="651"/>
      <c r="L106" s="653" t="str">
        <f t="shared" si="67"/>
        <v>1312</v>
      </c>
      <c r="M106" s="654" t="str">
        <f t="shared" si="0"/>
        <v>RESEVE VOLKS</v>
      </c>
      <c r="N106" s="655">
        <f>+IF(OR($Q106=Parametres!$G$2,$Q106=Parametres!$G$3),I106,C106)</f>
        <v>75218</v>
      </c>
      <c r="O106" s="655">
        <f>+IF(OR($Q106=Parametres!$G$2,$Q106=Parametres!$G$3),J106,D106)</f>
        <v>-75218</v>
      </c>
      <c r="P106" s="655">
        <f>+IF(OR($Q106=Parametres!$G$2,$Q106=Parametres!$G$3),K106,E106)</f>
        <v>0</v>
      </c>
      <c r="Q106" s="654" t="str">
        <f t="shared" ref="Q106:S106" si="107">+F106</f>
        <v>2-Actifs</v>
      </c>
      <c r="R106" s="653" t="str">
        <f t="shared" si="107"/>
        <v>1314</v>
      </c>
      <c r="S106" s="654">
        <f t="shared" si="107"/>
        <v>0</v>
      </c>
      <c r="T106" s="656" t="str">
        <f>+VLOOKUP($L106,Data_Validation!$A:$D,1,0)</f>
        <v>1312</v>
      </c>
      <c r="U106" s="656" t="str">
        <f>+VLOOKUP($L106,Data_Validation!$A:$D,3,0)</f>
        <v>Bilan</v>
      </c>
      <c r="V106" s="656" t="str">
        <f>+VLOOKUP($L106,Data_Validation!$A:$D,4,0)</f>
        <v>Recevables Manufacturier</v>
      </c>
      <c r="W106" s="656" t="str">
        <f>+VLOOKUP($L106,Data_Validation!$A:$E,5,0)</f>
        <v>$</v>
      </c>
      <c r="X106" s="656">
        <f>+VLOOKUP($L106,Data_Validation!$A:$F,6,0)</f>
        <v>0</v>
      </c>
    </row>
    <row r="107" spans="1:24" ht="15" hidden="1" customHeight="1">
      <c r="A107" s="1213" t="s">
        <v>834</v>
      </c>
      <c r="B107" s="1213" t="s">
        <v>835</v>
      </c>
      <c r="C107" s="1215">
        <v>9718.07</v>
      </c>
      <c r="D107" s="1215">
        <v>5844.87</v>
      </c>
      <c r="E107" s="1215">
        <v>15562.94</v>
      </c>
      <c r="F107" s="1213" t="s">
        <v>816</v>
      </c>
      <c r="G107" s="1213" t="s">
        <v>835</v>
      </c>
      <c r="H107" s="651"/>
      <c r="I107" s="651"/>
      <c r="J107" s="651"/>
      <c r="K107" s="651"/>
      <c r="L107" s="653" t="str">
        <f t="shared" si="67"/>
        <v>1332</v>
      </c>
      <c r="M107" s="654" t="str">
        <f t="shared" si="0"/>
        <v>RECLAM. RECEVABLE-GARANTIE</v>
      </c>
      <c r="N107" s="655">
        <f>+IF(OR($Q107=Parametres!$G$2,$Q107=Parametres!$G$3),I107,C107)</f>
        <v>9718.07</v>
      </c>
      <c r="O107" s="655">
        <f>+IF(OR($Q107=Parametres!$G$2,$Q107=Parametres!$G$3),J107,D107)</f>
        <v>5844.87</v>
      </c>
      <c r="P107" s="655">
        <f>+IF(OR($Q107=Parametres!$G$2,$Q107=Parametres!$G$3),K107,E107)</f>
        <v>15562.94</v>
      </c>
      <c r="Q107" s="654" t="str">
        <f t="shared" ref="Q107:S107" si="108">+F107</f>
        <v>2-Actifs</v>
      </c>
      <c r="R107" s="653" t="str">
        <f t="shared" si="108"/>
        <v>1332</v>
      </c>
      <c r="S107" s="654">
        <f t="shared" si="108"/>
        <v>0</v>
      </c>
      <c r="T107" s="656" t="str">
        <f>+VLOOKUP($L107,Data_Validation!$A:$D,1,0)</f>
        <v>1332</v>
      </c>
      <c r="U107" s="656" t="str">
        <f>+VLOOKUP($L107,Data_Validation!$A:$D,3,0)</f>
        <v>Bilan</v>
      </c>
      <c r="V107" s="656" t="str">
        <f>+VLOOKUP($L107,Data_Validation!$A:$D,4,0)</f>
        <v>Recevables Garantie Manufacturier</v>
      </c>
      <c r="W107" s="656" t="str">
        <f>+VLOOKUP($L107,Data_Validation!$A:$E,5,0)</f>
        <v>$</v>
      </c>
      <c r="X107" s="656">
        <f>+VLOOKUP($L107,Data_Validation!$A:$F,6,0)</f>
        <v>0</v>
      </c>
    </row>
    <row r="108" spans="1:24" ht="15" hidden="1" customHeight="1">
      <c r="A108" s="1213" t="s">
        <v>836</v>
      </c>
      <c r="B108" s="1213" t="s">
        <v>1472</v>
      </c>
      <c r="C108" s="1215">
        <v>38935.69</v>
      </c>
      <c r="D108" s="1215">
        <v>-45696.54</v>
      </c>
      <c r="E108" s="1215">
        <v>-6760.85</v>
      </c>
      <c r="F108" s="1213" t="s">
        <v>816</v>
      </c>
      <c r="G108" s="1213" t="s">
        <v>821</v>
      </c>
      <c r="H108" s="651"/>
      <c r="I108" s="651"/>
      <c r="J108" s="651"/>
      <c r="K108" s="651"/>
      <c r="L108" s="653" t="str">
        <f t="shared" si="67"/>
        <v>1340</v>
      </c>
      <c r="M108" s="654" t="str">
        <f t="shared" si="0"/>
        <v>GARANTIE PPM</v>
      </c>
      <c r="N108" s="655">
        <f>+IF(OR($Q108=Parametres!$G$2,$Q108=Parametres!$G$3),I108,C108)</f>
        <v>38935.69</v>
      </c>
      <c r="O108" s="655">
        <f>+IF(OR($Q108=Parametres!$G$2,$Q108=Parametres!$G$3),J108,D108)</f>
        <v>-45696.54</v>
      </c>
      <c r="P108" s="655">
        <f>+IF(OR($Q108=Parametres!$G$2,$Q108=Parametres!$G$3),K108,E108)</f>
        <v>-6760.85</v>
      </c>
      <c r="Q108" s="654" t="str">
        <f t="shared" ref="Q108:S108" si="109">+F108</f>
        <v>2-Actifs</v>
      </c>
      <c r="R108" s="653" t="str">
        <f t="shared" si="109"/>
        <v>1382</v>
      </c>
      <c r="S108" s="654">
        <f t="shared" si="109"/>
        <v>0</v>
      </c>
      <c r="T108" s="656" t="str">
        <f>+VLOOKUP($L108,Data_Validation!$A:$D,1,0)</f>
        <v>1340</v>
      </c>
      <c r="U108" s="656" t="str">
        <f>+VLOOKUP($L108,Data_Validation!$A:$D,3,0)</f>
        <v>Bilan</v>
      </c>
      <c r="V108" s="656" t="str">
        <f>+VLOOKUP($L108,Data_Validation!$A:$D,4,0)</f>
        <v>recevables Autres</v>
      </c>
      <c r="W108" s="656" t="str">
        <f>+VLOOKUP($L108,Data_Validation!$A:$E,5,0)</f>
        <v>$</v>
      </c>
      <c r="X108" s="656">
        <f>+VLOOKUP($L108,Data_Validation!$A:$F,6,0)</f>
        <v>0</v>
      </c>
    </row>
    <row r="109" spans="1:24" ht="15.75" hidden="1" customHeight="1">
      <c r="A109" s="1213" t="s">
        <v>837</v>
      </c>
      <c r="B109" s="1213" t="s">
        <v>1475</v>
      </c>
      <c r="C109" s="1215">
        <v>22987</v>
      </c>
      <c r="D109" s="1215">
        <v>183863</v>
      </c>
      <c r="E109" s="1215">
        <v>206850</v>
      </c>
      <c r="F109" s="1213" t="s">
        <v>816</v>
      </c>
      <c r="G109" s="1213" t="s">
        <v>833</v>
      </c>
      <c r="H109" s="651"/>
      <c r="I109" s="651"/>
      <c r="J109" s="651"/>
      <c r="K109" s="651"/>
      <c r="L109" s="653" t="str">
        <f t="shared" si="67"/>
        <v>1352</v>
      </c>
      <c r="M109" s="654" t="str">
        <f t="shared" si="0"/>
        <v>RECEV. MANUFACTURIER VOLKS</v>
      </c>
      <c r="N109" s="655">
        <f>+IF(OR($Q109=Parametres!$G$2,$Q109=Parametres!$G$3),I109,C109)</f>
        <v>22987</v>
      </c>
      <c r="O109" s="655">
        <f>+IF(OR($Q109=Parametres!$G$2,$Q109=Parametres!$G$3),J109,D109)</f>
        <v>183863</v>
      </c>
      <c r="P109" s="655">
        <f>+IF(OR($Q109=Parametres!$G$2,$Q109=Parametres!$G$3),K109,E109)</f>
        <v>206850</v>
      </c>
      <c r="Q109" s="654" t="str">
        <f t="shared" ref="Q109:S109" si="110">+F109</f>
        <v>2-Actifs</v>
      </c>
      <c r="R109" s="653" t="str">
        <f t="shared" si="110"/>
        <v>1314</v>
      </c>
      <c r="S109" s="654">
        <f t="shared" si="110"/>
        <v>0</v>
      </c>
      <c r="T109" s="656" t="str">
        <f>+VLOOKUP($L109,Data_Validation!$A:$D,1,0)</f>
        <v>1352</v>
      </c>
      <c r="U109" s="656" t="str">
        <f>+VLOOKUP($L109,Data_Validation!$A:$D,3,0)</f>
        <v>Bilan</v>
      </c>
      <c r="V109" s="656" t="str">
        <f>+VLOOKUP($L109,Data_Validation!$A:$D,4,0)</f>
        <v>Recevables Manufacturier</v>
      </c>
      <c r="W109" s="656" t="str">
        <f>+VLOOKUP($L109,Data_Validation!$A:$E,5,0)</f>
        <v>$</v>
      </c>
      <c r="X109" s="656">
        <f>+VLOOKUP($L109,Data_Validation!$A:$F,6,0)</f>
        <v>0</v>
      </c>
    </row>
    <row r="110" spans="1:24" ht="15" hidden="1" customHeight="1">
      <c r="A110" s="1213" t="s">
        <v>1347</v>
      </c>
      <c r="B110" s="1213" t="s">
        <v>1429</v>
      </c>
      <c r="C110" s="1215">
        <v>-361.71</v>
      </c>
      <c r="D110" s="1215">
        <v>361.71</v>
      </c>
      <c r="E110" s="1215">
        <v>0</v>
      </c>
      <c r="F110" s="1213" t="s">
        <v>816</v>
      </c>
      <c r="G110" s="1213" t="s">
        <v>1429</v>
      </c>
      <c r="H110" s="651"/>
      <c r="I110" s="651"/>
      <c r="J110" s="651"/>
      <c r="K110" s="651"/>
      <c r="L110" s="653" t="str">
        <f t="shared" si="67"/>
        <v>1372</v>
      </c>
      <c r="M110" s="654" t="str">
        <f t="shared" si="0"/>
        <v>TAXES DE VENTES A RECEVOIR</v>
      </c>
      <c r="N110" s="655">
        <f>+IF(OR($Q110=Parametres!$G$2,$Q110=Parametres!$G$3),I110,C110)</f>
        <v>-361.71</v>
      </c>
      <c r="O110" s="659">
        <f>+IF(OR($Q110=Parametres!$G$2,$Q110=Parametres!$G$3),J110,D110)</f>
        <v>361.71</v>
      </c>
      <c r="P110" s="655">
        <f>+IF(OR($Q110=Parametres!$G$2,$Q110=Parametres!$G$3),K110,E110)</f>
        <v>0</v>
      </c>
      <c r="Q110" s="654" t="str">
        <f t="shared" ref="Q110:S110" si="111">+F110</f>
        <v>2-Actifs</v>
      </c>
      <c r="R110" s="653" t="str">
        <f t="shared" si="111"/>
        <v>1372</v>
      </c>
      <c r="S110" s="654">
        <f t="shared" si="111"/>
        <v>0</v>
      </c>
      <c r="T110" s="656" t="str">
        <f>+VLOOKUP($L110,Data_Validation!$A:$D,1,0)</f>
        <v>1372</v>
      </c>
      <c r="U110" s="656" t="str">
        <f>+VLOOKUP($L110,Data_Validation!$A:$D,3,0)</f>
        <v>Bilan</v>
      </c>
      <c r="V110" s="656" t="str">
        <f>+VLOOKUP($L110,Data_Validation!$A:$D,4,0)</f>
        <v>Taxes de Vente à Payer</v>
      </c>
      <c r="W110" s="656" t="str">
        <f>+VLOOKUP($L110,Data_Validation!$A:$E,5,0)</f>
        <v>$</v>
      </c>
      <c r="X110" s="656">
        <f>+VLOOKUP($L110,Data_Validation!$A:$F,6,0)</f>
        <v>0</v>
      </c>
    </row>
    <row r="111" spans="1:24" ht="15" hidden="1" customHeight="1">
      <c r="A111" s="1213" t="s">
        <v>838</v>
      </c>
      <c r="B111" s="1213" t="s">
        <v>839</v>
      </c>
      <c r="C111" s="1215">
        <v>0</v>
      </c>
      <c r="D111" s="1215">
        <v>-25000</v>
      </c>
      <c r="E111" s="1215">
        <v>-25000</v>
      </c>
      <c r="F111" s="1213" t="s">
        <v>816</v>
      </c>
      <c r="G111" s="1213" t="s">
        <v>839</v>
      </c>
      <c r="H111" s="651"/>
      <c r="I111" s="651"/>
      <c r="J111" s="651"/>
      <c r="K111" s="651"/>
      <c r="L111" s="653" t="str">
        <f t="shared" si="67"/>
        <v>1399</v>
      </c>
      <c r="M111" s="654" t="str">
        <f t="shared" si="0"/>
        <v>RESERVE CREANCE DOUTEUSES</v>
      </c>
      <c r="N111" s="655">
        <f>+IF(OR($Q111=Parametres!$G$2,$Q111=Parametres!$G$3),I111,C111)</f>
        <v>0</v>
      </c>
      <c r="O111" s="655">
        <f>+IF(OR($Q111=Parametres!$G$2,$Q111=Parametres!$G$3),J111,D111)</f>
        <v>-25000</v>
      </c>
      <c r="P111" s="655">
        <f>+IF(OR($Q111=Parametres!$G$2,$Q111=Parametres!$G$3),K111,E111)</f>
        <v>-25000</v>
      </c>
      <c r="Q111" s="654" t="str">
        <f t="shared" ref="Q111:S111" si="112">+F111</f>
        <v>2-Actifs</v>
      </c>
      <c r="R111" s="653" t="str">
        <f t="shared" si="112"/>
        <v>1399</v>
      </c>
      <c r="S111" s="654">
        <f t="shared" si="112"/>
        <v>0</v>
      </c>
      <c r="T111" s="656" t="str">
        <f>+VLOOKUP($L111,Data_Validation!$A:$D,1,0)</f>
        <v>1399</v>
      </c>
      <c r="U111" s="656" t="str">
        <f>+VLOOKUP($L111,Data_Validation!$A:$D,3,0)</f>
        <v>Bilan</v>
      </c>
      <c r="V111" s="656" t="str">
        <f>+VLOOKUP($L111,Data_Validation!$A:$D,4,0)</f>
        <v>Recevables Pièces et Service</v>
      </c>
      <c r="W111" s="656" t="str">
        <f>+VLOOKUP($L111,Data_Validation!$A:$E,5,0)</f>
        <v>$</v>
      </c>
      <c r="X111" s="656">
        <f>+VLOOKUP($L111,Data_Validation!$A:$F,6,0)</f>
        <v>0</v>
      </c>
    </row>
    <row r="112" spans="1:24" ht="15" hidden="1" customHeight="1">
      <c r="A112" s="1213" t="s">
        <v>840</v>
      </c>
      <c r="B112" s="1213" t="s">
        <v>841</v>
      </c>
      <c r="C112" s="1215">
        <v>6924794.5599999996</v>
      </c>
      <c r="D112" s="1215">
        <v>-999638.48</v>
      </c>
      <c r="E112" s="1215">
        <v>5925156.0800000001</v>
      </c>
      <c r="F112" s="1213" t="s">
        <v>816</v>
      </c>
      <c r="G112" s="1213" t="s">
        <v>841</v>
      </c>
      <c r="H112" s="651"/>
      <c r="I112" s="651"/>
      <c r="J112" s="651"/>
      <c r="K112" s="651"/>
      <c r="L112" s="653" t="str">
        <f t="shared" si="67"/>
        <v>1402</v>
      </c>
      <c r="M112" s="654" t="str">
        <f t="shared" si="0"/>
        <v>VEHIC. NEUFS VOLKS</v>
      </c>
      <c r="N112" s="655">
        <f>+IF(OR($Q112=Parametres!$G$2,$Q112=Parametres!$G$3),I112,C112)</f>
        <v>6924794.5599999996</v>
      </c>
      <c r="O112" s="655">
        <f>+IF(OR($Q112=Parametres!$G$2,$Q112=Parametres!$G$3),J112,D112)</f>
        <v>-999638.48</v>
      </c>
      <c r="P112" s="655">
        <f>+IF(OR($Q112=Parametres!$G$2,$Q112=Parametres!$G$3),K112,E112)</f>
        <v>5925156.0800000001</v>
      </c>
      <c r="Q112" s="654" t="str">
        <f t="shared" ref="Q112:S112" si="113">+F112</f>
        <v>2-Actifs</v>
      </c>
      <c r="R112" s="653" t="str">
        <f t="shared" si="113"/>
        <v>1402</v>
      </c>
      <c r="S112" s="654">
        <f t="shared" si="113"/>
        <v>0</v>
      </c>
      <c r="T112" s="656" t="str">
        <f>+VLOOKUP($L112,Data_Validation!$A:$D,1,0)</f>
        <v>1402</v>
      </c>
      <c r="U112" s="656" t="str">
        <f>+VLOOKUP($L112,Data_Validation!$A:$D,3,0)</f>
        <v>Bilan</v>
      </c>
      <c r="V112" s="656" t="str">
        <f>+VLOOKUP($L112,Data_Validation!$A:$D,4,0)</f>
        <v>Inventaire Véhicules Neufs</v>
      </c>
      <c r="W112" s="656" t="str">
        <f>+VLOOKUP($L112,Data_Validation!$A:$E,5,0)</f>
        <v>$</v>
      </c>
      <c r="X112" s="656">
        <f>+VLOOKUP($L112,Data_Validation!$A:$F,6,0)</f>
        <v>0</v>
      </c>
    </row>
    <row r="113" spans="1:24" ht="15.75" hidden="1" customHeight="1">
      <c r="A113" s="1213" t="s">
        <v>844</v>
      </c>
      <c r="B113" s="1213" t="s">
        <v>1487</v>
      </c>
      <c r="C113" s="1215">
        <v>-6385.29</v>
      </c>
      <c r="D113" s="1215">
        <v>-63614.71</v>
      </c>
      <c r="E113" s="1215">
        <v>-70000</v>
      </c>
      <c r="F113" s="1213" t="s">
        <v>816</v>
      </c>
      <c r="G113" s="1213" t="s">
        <v>841</v>
      </c>
      <c r="H113" s="651"/>
      <c r="I113" s="651"/>
      <c r="J113" s="651"/>
      <c r="K113" s="651"/>
      <c r="L113" s="653" t="str">
        <f t="shared" si="67"/>
        <v>1403</v>
      </c>
      <c r="M113" s="654" t="str">
        <f t="shared" si="0"/>
        <v>BRUISING VOLKS VEH. NEUFS</v>
      </c>
      <c r="N113" s="655">
        <f>+IF(OR($Q113=Parametres!$G$2,$Q113=Parametres!$G$3),I113,C113)</f>
        <v>-6385.29</v>
      </c>
      <c r="O113" s="655">
        <f>+IF(OR($Q113=Parametres!$G$2,$Q113=Parametres!$G$3),J113,D113)</f>
        <v>-63614.71</v>
      </c>
      <c r="P113" s="655">
        <f>+IF(OR($Q113=Parametres!$G$2,$Q113=Parametres!$G$3),K113,E113)</f>
        <v>-70000</v>
      </c>
      <c r="Q113" s="654" t="str">
        <f t="shared" ref="Q113:S113" si="114">+F113</f>
        <v>2-Actifs</v>
      </c>
      <c r="R113" s="653" t="str">
        <f t="shared" si="114"/>
        <v>1402</v>
      </c>
      <c r="S113" s="654">
        <f t="shared" si="114"/>
        <v>0</v>
      </c>
      <c r="T113" s="656" t="str">
        <f>+VLOOKUP($L113,Data_Validation!$A:$D,1,0)</f>
        <v>1403</v>
      </c>
      <c r="U113" s="656" t="str">
        <f>+VLOOKUP($L113,Data_Validation!$A:$D,3,0)</f>
        <v>Bilan</v>
      </c>
      <c r="V113" s="656" t="str">
        <f>+VLOOKUP($L113,Data_Validation!$A:$D,4,0)</f>
        <v>Inventaire Véhicules Neufs</v>
      </c>
      <c r="W113" s="656" t="str">
        <f>+VLOOKUP($L113,Data_Validation!$A:$E,5,0)</f>
        <v>$</v>
      </c>
      <c r="X113" s="656">
        <f>+VLOOKUP($L113,Data_Validation!$A:$F,6,0)</f>
        <v>0</v>
      </c>
    </row>
    <row r="114" spans="1:24" ht="15" hidden="1" customHeight="1">
      <c r="A114" s="1213" t="s">
        <v>845</v>
      </c>
      <c r="B114" s="1213" t="s">
        <v>846</v>
      </c>
      <c r="C114" s="1215">
        <v>-20049</v>
      </c>
      <c r="D114" s="1215">
        <v>-29951</v>
      </c>
      <c r="E114" s="1215">
        <v>-50000</v>
      </c>
      <c r="F114" s="1213" t="s">
        <v>816</v>
      </c>
      <c r="G114" s="1213" t="s">
        <v>846</v>
      </c>
      <c r="H114" s="651"/>
      <c r="I114" s="651"/>
      <c r="J114" s="651"/>
      <c r="K114" s="651"/>
      <c r="L114" s="653" t="str">
        <f t="shared" si="67"/>
        <v>1413</v>
      </c>
      <c r="M114" s="654" t="str">
        <f t="shared" si="0"/>
        <v>BRUISING USED CAR</v>
      </c>
      <c r="N114" s="655">
        <f>+IF(OR($Q114=Parametres!$G$2,$Q114=Parametres!$G$3),I114,C114)</f>
        <v>-20049</v>
      </c>
      <c r="O114" s="655">
        <f>+IF(OR($Q114=Parametres!$G$2,$Q114=Parametres!$G$3),J114,D114)</f>
        <v>-29951</v>
      </c>
      <c r="P114" s="655">
        <f>+IF(OR($Q114=Parametres!$G$2,$Q114=Parametres!$G$3),K114,E114)</f>
        <v>-50000</v>
      </c>
      <c r="Q114" s="654" t="str">
        <f t="shared" ref="Q114:S114" si="115">+F114</f>
        <v>2-Actifs</v>
      </c>
      <c r="R114" s="653" t="str">
        <f t="shared" si="115"/>
        <v>1413</v>
      </c>
      <c r="S114" s="654">
        <f t="shared" si="115"/>
        <v>0</v>
      </c>
      <c r="T114" s="656" t="str">
        <f>+VLOOKUP($L114,Data_Validation!$A:$D,1,0)</f>
        <v>1413</v>
      </c>
      <c r="U114" s="656" t="str">
        <f>+VLOOKUP($L114,Data_Validation!$A:$D,3,0)</f>
        <v>Bilan</v>
      </c>
      <c r="V114" s="656" t="str">
        <f>+VLOOKUP($L114,Data_Validation!$A:$D,4,0)</f>
        <v>Inventaire Véhicules Usagés</v>
      </c>
      <c r="W114" s="656" t="str">
        <f>+VLOOKUP($L114,Data_Validation!$A:$E,5,0)</f>
        <v>$</v>
      </c>
      <c r="X114" s="656">
        <f>+VLOOKUP($L114,Data_Validation!$A:$F,6,0)</f>
        <v>0</v>
      </c>
    </row>
    <row r="115" spans="1:24" ht="15" hidden="1" customHeight="1">
      <c r="A115" s="1213" t="s">
        <v>847</v>
      </c>
      <c r="B115" s="1213" t="s">
        <v>848</v>
      </c>
      <c r="C115" s="1215">
        <v>926532.33</v>
      </c>
      <c r="D115" s="1215">
        <v>-192186.31</v>
      </c>
      <c r="E115" s="1215">
        <v>734346.02</v>
      </c>
      <c r="F115" s="1213" t="s">
        <v>816</v>
      </c>
      <c r="G115" s="1213" t="s">
        <v>848</v>
      </c>
      <c r="H115" s="651"/>
      <c r="I115" s="652"/>
      <c r="J115" s="652"/>
      <c r="K115" s="652"/>
      <c r="L115" s="653" t="str">
        <f t="shared" si="67"/>
        <v>1416</v>
      </c>
      <c r="M115" s="654" t="str">
        <f t="shared" si="0"/>
        <v>INV. VEH. USAGE VW</v>
      </c>
      <c r="N115" s="655">
        <f>+IF(OR($Q115=Parametres!$G$2,$Q115=Parametres!$G$3),I115,C115)</f>
        <v>926532.33</v>
      </c>
      <c r="O115" s="655">
        <f>+IF(OR($Q115=Parametres!$G$2,$Q115=Parametres!$G$3),J115,D115)</f>
        <v>-192186.31</v>
      </c>
      <c r="P115" s="655">
        <f>+IF(OR($Q115=Parametres!$G$2,$Q115=Parametres!$G$3),K115,E115)</f>
        <v>734346.02</v>
      </c>
      <c r="Q115" s="654" t="str">
        <f t="shared" ref="Q115:S115" si="116">+F115</f>
        <v>2-Actifs</v>
      </c>
      <c r="R115" s="653" t="str">
        <f t="shared" si="116"/>
        <v>1416</v>
      </c>
      <c r="S115" s="654">
        <f t="shared" si="116"/>
        <v>0</v>
      </c>
      <c r="T115" s="656" t="str">
        <f>+VLOOKUP($L115,Data_Validation!$A:$D,1,0)</f>
        <v>1416</v>
      </c>
      <c r="U115" s="656" t="str">
        <f>+VLOOKUP($L115,Data_Validation!$A:$D,3,0)</f>
        <v>Bilan</v>
      </c>
      <c r="V115" s="656" t="str">
        <f>+VLOOKUP($L115,Data_Validation!$A:$D,4,0)</f>
        <v>Inventaire Véhicules Usagés</v>
      </c>
      <c r="W115" s="656" t="str">
        <f>+VLOOKUP($L115,Data_Validation!$A:$E,5,0)</f>
        <v>$</v>
      </c>
      <c r="X115" s="656">
        <f>+VLOOKUP($L115,Data_Validation!$A:$F,6,0)</f>
        <v>0</v>
      </c>
    </row>
    <row r="116" spans="1:24" ht="15" hidden="1" customHeight="1">
      <c r="A116" s="1213" t="s">
        <v>851</v>
      </c>
      <c r="B116" s="1213" t="s">
        <v>852</v>
      </c>
      <c r="C116" s="1215">
        <v>-13923.55</v>
      </c>
      <c r="D116" s="1215">
        <v>12923.55</v>
      </c>
      <c r="E116" s="1215">
        <v>-1000</v>
      </c>
      <c r="F116" s="1213" t="s">
        <v>816</v>
      </c>
      <c r="G116" s="1213" t="s">
        <v>852</v>
      </c>
      <c r="H116" s="650"/>
      <c r="I116" s="652"/>
      <c r="J116" s="652"/>
      <c r="K116" s="652"/>
      <c r="L116" s="653" t="str">
        <f t="shared" si="67"/>
        <v>1423</v>
      </c>
      <c r="M116" s="654" t="str">
        <f t="shared" si="0"/>
        <v>RESERVE DEMO</v>
      </c>
      <c r="N116" s="655">
        <f>+IF(OR($Q116=Parametres!$G$2,$Q116=Parametres!$G$3),I116,C116)</f>
        <v>-13923.55</v>
      </c>
      <c r="O116" s="655">
        <f>+IF(OR($Q116=Parametres!$G$2,$Q116=Parametres!$G$3),J116,D116)</f>
        <v>12923.55</v>
      </c>
      <c r="P116" s="655">
        <f>+IF(OR($Q116=Parametres!$G$2,$Q116=Parametres!$G$3),K116,E116)</f>
        <v>-1000</v>
      </c>
      <c r="Q116" s="654" t="str">
        <f t="shared" ref="Q116:S116" si="117">+F116</f>
        <v>2-Actifs</v>
      </c>
      <c r="R116" s="653" t="str">
        <f t="shared" si="117"/>
        <v>1423</v>
      </c>
      <c r="S116" s="654">
        <f t="shared" si="117"/>
        <v>0</v>
      </c>
      <c r="T116" s="656" t="str">
        <f>+VLOOKUP($L116,Data_Validation!$A:$D,1,0)</f>
        <v>1423</v>
      </c>
      <c r="U116" s="656" t="str">
        <f>+VLOOKUP($L116,Data_Validation!$A:$D,3,0)</f>
        <v>Bilan</v>
      </c>
      <c r="V116" s="656" t="str">
        <f>+VLOOKUP($L116,Data_Validation!$A:$D,4,0)</f>
        <v>Inventaire Véhicules Neufs</v>
      </c>
      <c r="W116" s="656" t="str">
        <f>+VLOOKUP($L116,Data_Validation!$A:$E,5,0)</f>
        <v>$</v>
      </c>
      <c r="X116" s="656">
        <f>+VLOOKUP($L116,Data_Validation!$A:$F,6,0)</f>
        <v>0</v>
      </c>
    </row>
    <row r="117" spans="1:24" ht="15.75" hidden="1" customHeight="1">
      <c r="A117" s="1213" t="s">
        <v>853</v>
      </c>
      <c r="B117" s="1213" t="s">
        <v>3367</v>
      </c>
      <c r="C117" s="1215">
        <v>-22926.52</v>
      </c>
      <c r="D117" s="1215">
        <v>21926.52</v>
      </c>
      <c r="E117" s="1215">
        <v>-1000</v>
      </c>
      <c r="F117" s="1213" t="s">
        <v>816</v>
      </c>
      <c r="G117" s="1213" t="s">
        <v>854</v>
      </c>
      <c r="H117" s="650"/>
      <c r="I117" s="652"/>
      <c r="J117" s="652"/>
      <c r="K117" s="652"/>
      <c r="L117" s="653" t="str">
        <f t="shared" si="67"/>
        <v>1433</v>
      </c>
      <c r="M117" s="654" t="str">
        <f t="shared" si="0"/>
        <v>RESERVE COURTOISIE</v>
      </c>
      <c r="N117" s="655">
        <f>+IF(OR($Q117=Parametres!$G$2,$Q117=Parametres!$G$3),I117,C117)</f>
        <v>-22926.52</v>
      </c>
      <c r="O117" s="655">
        <f>+IF(OR($Q117=Parametres!$G$2,$Q117=Parametres!$G$3),J117,D117)</f>
        <v>21926.52</v>
      </c>
      <c r="P117" s="655">
        <f>+IF(OR($Q117=Parametres!$G$2,$Q117=Parametres!$G$3),K117,E117)</f>
        <v>-1000</v>
      </c>
      <c r="Q117" s="654" t="str">
        <f t="shared" ref="Q117:S117" si="118">+F117</f>
        <v>2-Actifs</v>
      </c>
      <c r="R117" s="653" t="str">
        <f t="shared" si="118"/>
        <v>143</v>
      </c>
      <c r="S117" s="654">
        <f t="shared" si="118"/>
        <v>0</v>
      </c>
      <c r="T117" s="656" t="str">
        <f>+VLOOKUP($L117,Data_Validation!$A:$D,1,0)</f>
        <v>1433</v>
      </c>
      <c r="U117" s="656" t="str">
        <f>+VLOOKUP($L117,Data_Validation!$A:$D,3,0)</f>
        <v>Bilan</v>
      </c>
      <c r="V117" s="656" t="str">
        <f>+VLOOKUP($L117,Data_Validation!$A:$D,4,0)</f>
        <v>Inventaire Véhicules Neufs</v>
      </c>
      <c r="W117" s="656" t="str">
        <f>+VLOOKUP($L117,Data_Validation!$A:$E,5,0)</f>
        <v>$</v>
      </c>
      <c r="X117" s="656">
        <f>+VLOOKUP($L117,Data_Validation!$A:$F,6,0)</f>
        <v>0</v>
      </c>
    </row>
    <row r="118" spans="1:24" ht="15" hidden="1" customHeight="1">
      <c r="A118" s="1213" t="s">
        <v>855</v>
      </c>
      <c r="B118" s="1213" t="s">
        <v>856</v>
      </c>
      <c r="C118" s="1215">
        <v>439436.79999999999</v>
      </c>
      <c r="D118" s="1215">
        <v>57413.66</v>
      </c>
      <c r="E118" s="1215">
        <v>496850.46</v>
      </c>
      <c r="F118" s="1213" t="s">
        <v>816</v>
      </c>
      <c r="G118" s="1213" t="s">
        <v>856</v>
      </c>
      <c r="H118" s="650"/>
      <c r="I118" s="663"/>
      <c r="J118" s="663"/>
      <c r="K118" s="663"/>
      <c r="L118" s="653" t="str">
        <f t="shared" si="67"/>
        <v>1442</v>
      </c>
      <c r="M118" s="654" t="str">
        <f t="shared" si="0"/>
        <v>PIECES &amp; ACCESSOIRES NEUFS</v>
      </c>
      <c r="N118" s="655">
        <f>+IF(OR($Q118=Parametres!$G$2,$Q118=Parametres!$G$3),I118,C118)</f>
        <v>439436.79999999999</v>
      </c>
      <c r="O118" s="655">
        <f>+IF(OR($Q118=Parametres!$G$2,$Q118=Parametres!$G$3),J118,D118)</f>
        <v>57413.66</v>
      </c>
      <c r="P118" s="655">
        <f>+IF(OR($Q118=Parametres!$G$2,$Q118=Parametres!$G$3),K118,E118)</f>
        <v>496850.46</v>
      </c>
      <c r="Q118" s="654" t="str">
        <f t="shared" ref="Q118:S118" si="119">+F118</f>
        <v>2-Actifs</v>
      </c>
      <c r="R118" s="653" t="str">
        <f t="shared" si="119"/>
        <v>1442</v>
      </c>
      <c r="S118" s="654">
        <f t="shared" si="119"/>
        <v>0</v>
      </c>
      <c r="T118" s="656" t="str">
        <f>+VLOOKUP($L118,Data_Validation!$A:$D,1,0)</f>
        <v>1442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hidden="1" customHeight="1">
      <c r="A119" s="1213" t="s">
        <v>857</v>
      </c>
      <c r="B119" s="1213" t="s">
        <v>3368</v>
      </c>
      <c r="C119" s="1215">
        <v>6974.04</v>
      </c>
      <c r="D119" s="1215">
        <v>-42524.52</v>
      </c>
      <c r="E119" s="1215">
        <v>-35550.480000000003</v>
      </c>
      <c r="F119" s="1213" t="s">
        <v>816</v>
      </c>
      <c r="G119" s="1213" t="s">
        <v>856</v>
      </c>
      <c r="H119" s="651"/>
      <c r="I119" s="652"/>
      <c r="J119" s="652"/>
      <c r="K119" s="652"/>
      <c r="L119" s="653" t="str">
        <f t="shared" si="67"/>
        <v>1448</v>
      </c>
      <c r="M119" s="654" t="str">
        <f t="shared" si="0"/>
        <v>AUTRES MARQUES P&amp;A</v>
      </c>
      <c r="N119" s="655">
        <f>+IF(OR($Q119=Parametres!$G$2,$Q119=Parametres!$G$3),I119,C119)</f>
        <v>6974.04</v>
      </c>
      <c r="O119" s="655">
        <f>+IF(OR($Q119=Parametres!$G$2,$Q119=Parametres!$G$3),J119,D119)</f>
        <v>-42524.52</v>
      </c>
      <c r="P119" s="655">
        <f>+IF(OR($Q119=Parametres!$G$2,$Q119=Parametres!$G$3),K119,E119)</f>
        <v>-35550.480000000003</v>
      </c>
      <c r="Q119" s="654" t="str">
        <f t="shared" ref="Q119:S119" si="120">+F119</f>
        <v>2-Actifs</v>
      </c>
      <c r="R119" s="653" t="str">
        <f t="shared" si="120"/>
        <v>1442</v>
      </c>
      <c r="S119" s="654">
        <f t="shared" si="120"/>
        <v>0</v>
      </c>
      <c r="T119" s="656" t="str">
        <f>+VLOOKUP($L119,Data_Validation!$A:$D,1,0)</f>
        <v>1448</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hidden="1" customHeight="1">
      <c r="A120" s="1213" t="s">
        <v>858</v>
      </c>
      <c r="B120" s="1213" t="s">
        <v>1498</v>
      </c>
      <c r="C120" s="1215">
        <v>43886.34</v>
      </c>
      <c r="D120" s="1215">
        <v>102896.09</v>
      </c>
      <c r="E120" s="1215">
        <v>146782.43</v>
      </c>
      <c r="F120" s="1213" t="s">
        <v>816</v>
      </c>
      <c r="G120" s="1213" t="s">
        <v>856</v>
      </c>
      <c r="H120" s="651"/>
      <c r="I120" s="652"/>
      <c r="J120" s="652"/>
      <c r="K120" s="652"/>
      <c r="L120" s="653" t="str">
        <f t="shared" si="67"/>
        <v>1452</v>
      </c>
      <c r="M120" s="654" t="str">
        <f t="shared" si="0"/>
        <v>PNEUS</v>
      </c>
      <c r="N120" s="655">
        <f>+IF(OR($Q120=Parametres!$G$2,$Q120=Parametres!$G$3),I120,C120)</f>
        <v>43886.34</v>
      </c>
      <c r="O120" s="655">
        <f>+IF(OR($Q120=Parametres!$G$2,$Q120=Parametres!$G$3),J120,D120)</f>
        <v>102896.09</v>
      </c>
      <c r="P120" s="655">
        <f>+IF(OR($Q120=Parametres!$G$2,$Q120=Parametres!$G$3),K120,E120)</f>
        <v>146782.43</v>
      </c>
      <c r="Q120" s="654" t="str">
        <f t="shared" ref="Q120:S120" si="121">+F120</f>
        <v>2-Actifs</v>
      </c>
      <c r="R120" s="653" t="str">
        <f t="shared" si="121"/>
        <v>1442</v>
      </c>
      <c r="S120" s="654">
        <f t="shared" si="121"/>
        <v>0</v>
      </c>
      <c r="T120" s="656" t="str">
        <f>+VLOOKUP($L120,Data_Validation!$A:$D,1,0)</f>
        <v>1452</v>
      </c>
      <c r="U120" s="656" t="str">
        <f>+VLOOKUP($L120,Data_Validation!$A:$D,3,0)</f>
        <v>Bilan</v>
      </c>
      <c r="V120" s="656" t="str">
        <f>+VLOOKUP($L120,Data_Validation!$A:$D,4,0)</f>
        <v>Inventaire Pièces, Pneus, Huile</v>
      </c>
      <c r="W120" s="656" t="str">
        <f>+VLOOKUP($L120,Data_Validation!$A:$E,5,0)</f>
        <v>$</v>
      </c>
      <c r="X120" s="656">
        <f>+VLOOKUP($L120,Data_Validation!$A:$F,6,0)</f>
        <v>0</v>
      </c>
    </row>
    <row r="121" spans="1:24" ht="15" hidden="1" customHeight="1">
      <c r="A121" s="1213" t="s">
        <v>859</v>
      </c>
      <c r="B121" s="1213" t="s">
        <v>860</v>
      </c>
      <c r="C121" s="1215">
        <v>0.38</v>
      </c>
      <c r="D121" s="1215">
        <v>11712.48</v>
      </c>
      <c r="E121" s="1215">
        <v>11712.86</v>
      </c>
      <c r="F121" s="1213" t="s">
        <v>816</v>
      </c>
      <c r="G121" s="1213" t="s">
        <v>860</v>
      </c>
      <c r="H121" s="651"/>
      <c r="I121" s="651"/>
      <c r="J121" s="651"/>
      <c r="K121" s="651"/>
      <c r="L121" s="653" t="str">
        <f t="shared" si="67"/>
        <v>1456</v>
      </c>
      <c r="M121" s="654" t="str">
        <f t="shared" si="0"/>
        <v>PIECES VW NON ORIGINE</v>
      </c>
      <c r="N121" s="655">
        <f>+IF(OR($Q121=Parametres!$G$2,$Q121=Parametres!$G$3),I121,C121)</f>
        <v>0.38</v>
      </c>
      <c r="O121" s="659">
        <f>+IF(OR($Q121=Parametres!$G$2,$Q121=Parametres!$G$3),J121,D121)</f>
        <v>11712.48</v>
      </c>
      <c r="P121" s="655">
        <f>+IF(OR($Q121=Parametres!$G$2,$Q121=Parametres!$G$3),K121,E121)</f>
        <v>11712.86</v>
      </c>
      <c r="Q121" s="654" t="str">
        <f t="shared" ref="Q121:S121" si="122">+F121</f>
        <v>2-Actifs</v>
      </c>
      <c r="R121" s="653" t="str">
        <f t="shared" si="122"/>
        <v>1456</v>
      </c>
      <c r="S121" s="654">
        <f t="shared" si="122"/>
        <v>0</v>
      </c>
      <c r="T121" s="656" t="str">
        <f>+VLOOKUP($L121,Data_Validation!$A:$D,1,0)</f>
        <v>1456</v>
      </c>
      <c r="U121" s="656" t="str">
        <f>+VLOOKUP($L121,Data_Validation!$A:$D,3,0)</f>
        <v>Bilan</v>
      </c>
      <c r="V121" s="656" t="str">
        <f>+VLOOKUP($L121,Data_Validation!$A:$D,4,0)</f>
        <v>Inventaire Pièces, Pneus, Huile</v>
      </c>
      <c r="W121" s="656" t="str">
        <f>+VLOOKUP($L121,Data_Validation!$A:$E,5,0)</f>
        <v>$</v>
      </c>
      <c r="X121" s="656">
        <f>+VLOOKUP($L121,Data_Validation!$A:$F,6,0)</f>
        <v>0</v>
      </c>
    </row>
    <row r="122" spans="1:24" ht="15" hidden="1" customHeight="1">
      <c r="A122" s="1213" t="s">
        <v>861</v>
      </c>
      <c r="B122" s="1213" t="s">
        <v>862</v>
      </c>
      <c r="C122" s="1215">
        <v>18465.13</v>
      </c>
      <c r="D122" s="1215">
        <v>-8787.19</v>
      </c>
      <c r="E122" s="1215">
        <v>9677.94</v>
      </c>
      <c r="F122" s="1213" t="s">
        <v>816</v>
      </c>
      <c r="G122" s="1213" t="s">
        <v>862</v>
      </c>
      <c r="H122" s="651"/>
      <c r="I122" s="652"/>
      <c r="J122" s="652"/>
      <c r="K122" s="652"/>
      <c r="L122" s="653" t="str">
        <f t="shared" si="67"/>
        <v>1472</v>
      </c>
      <c r="M122" s="654" t="str">
        <f t="shared" si="0"/>
        <v>WIP M-O VW</v>
      </c>
      <c r="N122" s="655">
        <f>+IF(OR($Q122=Parametres!$G$2,$Q122=Parametres!$G$3),I122,C122)</f>
        <v>18465.13</v>
      </c>
      <c r="O122" s="655">
        <f>+IF(OR($Q122=Parametres!$G$2,$Q122=Parametres!$G$3),J122,D122)</f>
        <v>-8787.19</v>
      </c>
      <c r="P122" s="655">
        <f>+IF(OR($Q122=Parametres!$G$2,$Q122=Parametres!$G$3),K122,E122)</f>
        <v>9677.94</v>
      </c>
      <c r="Q122" s="654" t="str">
        <f t="shared" ref="Q122:S122" si="123">+F122</f>
        <v>2-Actifs</v>
      </c>
      <c r="R122" s="653" t="str">
        <f t="shared" si="123"/>
        <v>1472</v>
      </c>
      <c r="S122" s="654">
        <f t="shared" si="123"/>
        <v>0</v>
      </c>
      <c r="T122" s="656" t="str">
        <f>+VLOOKUP($L122,Data_Validation!$A:$D,1,0)</f>
        <v>1472</v>
      </c>
      <c r="U122" s="656" t="str">
        <f>+VLOOKUP($L122,Data_Validation!$A:$D,3,0)</f>
        <v>Bilan</v>
      </c>
      <c r="V122" s="656" t="str">
        <f>+VLOOKUP($L122,Data_Validation!$A:$D,4,0)</f>
        <v>Travaux en Cours</v>
      </c>
      <c r="W122" s="656" t="str">
        <f>+VLOOKUP($L122,Data_Validation!$A:$E,5,0)</f>
        <v>$</v>
      </c>
      <c r="X122" s="656">
        <f>+VLOOKUP($L122,Data_Validation!$A:$F,6,0)</f>
        <v>0</v>
      </c>
    </row>
    <row r="123" spans="1:24" ht="15.75" hidden="1" customHeight="1">
      <c r="A123" s="1213" t="s">
        <v>863</v>
      </c>
      <c r="B123" s="1213" t="s">
        <v>1505</v>
      </c>
      <c r="C123" s="1215">
        <v>-22868.62</v>
      </c>
      <c r="D123" s="1215">
        <v>-4996.25</v>
      </c>
      <c r="E123" s="1215">
        <v>-27864.87</v>
      </c>
      <c r="F123" s="1213" t="s">
        <v>816</v>
      </c>
      <c r="G123" s="1213" t="s">
        <v>862</v>
      </c>
      <c r="H123" s="651"/>
      <c r="I123" s="651"/>
      <c r="J123" s="651"/>
      <c r="K123" s="651"/>
      <c r="L123" s="653" t="str">
        <f t="shared" si="67"/>
        <v>1474</v>
      </c>
      <c r="M123" s="654" t="str">
        <f t="shared" si="0"/>
        <v>INVENTAIRE SOUS-TRAITANTS</v>
      </c>
      <c r="N123" s="655">
        <f>+IF(OR($Q123=Parametres!$G$2,$Q123=Parametres!$G$3),I123,C123)</f>
        <v>-22868.62</v>
      </c>
      <c r="O123" s="659">
        <f>+IF(OR($Q123=Parametres!$G$2,$Q123=Parametres!$G$3),J123,D123)</f>
        <v>-4996.25</v>
      </c>
      <c r="P123" s="655">
        <f>+IF(OR($Q123=Parametres!$G$2,$Q123=Parametres!$G$3),K123,E123)</f>
        <v>-27864.87</v>
      </c>
      <c r="Q123" s="654" t="str">
        <f t="shared" ref="Q123:S123" si="124">+F123</f>
        <v>2-Actifs</v>
      </c>
      <c r="R123" s="653" t="str">
        <f t="shared" si="124"/>
        <v>1472</v>
      </c>
      <c r="S123" s="654">
        <f t="shared" si="124"/>
        <v>0</v>
      </c>
      <c r="T123" s="656" t="str">
        <f>+VLOOKUP($L123,Data_Validation!$A:$D,1,0)</f>
        <v>1474</v>
      </c>
      <c r="U123" s="656" t="str">
        <f>+VLOOKUP($L123,Data_Validation!$A:$D,3,0)</f>
        <v>Bilan</v>
      </c>
      <c r="V123" s="656" t="str">
        <f>+VLOOKUP($L123,Data_Validation!$A:$D,4,0)</f>
        <v>Sous-Traitance</v>
      </c>
      <c r="W123" s="656" t="str">
        <f>+VLOOKUP($L123,Data_Validation!$A:$E,5,0)</f>
        <v>$</v>
      </c>
      <c r="X123" s="656">
        <f>+VLOOKUP($L123,Data_Validation!$A:$F,6,0)</f>
        <v>0</v>
      </c>
    </row>
    <row r="124" spans="1:24" ht="15" hidden="1" customHeight="1">
      <c r="A124" s="1213" t="s">
        <v>864</v>
      </c>
      <c r="B124" s="1213" t="s">
        <v>1508</v>
      </c>
      <c r="C124" s="1215">
        <v>52946.21</v>
      </c>
      <c r="D124" s="1215">
        <v>-1909.19</v>
      </c>
      <c r="E124" s="1215">
        <v>51037.02</v>
      </c>
      <c r="F124" s="1213" t="s">
        <v>816</v>
      </c>
      <c r="G124" s="1213" t="s">
        <v>856</v>
      </c>
      <c r="H124" s="651"/>
      <c r="I124" s="652"/>
      <c r="J124" s="652"/>
      <c r="K124" s="652"/>
      <c r="L124" s="653" t="str">
        <f t="shared" si="67"/>
        <v>1492</v>
      </c>
      <c r="M124" s="654" t="str">
        <f t="shared" si="0"/>
        <v>CARBURANT, HUILE, GRAISSE</v>
      </c>
      <c r="N124" s="655">
        <f>+IF(OR($Q124=Parametres!$G$2,$Q124=Parametres!$G$3),I124,C124)</f>
        <v>52946.21</v>
      </c>
      <c r="O124" s="655">
        <f>+IF(OR($Q124=Parametres!$G$2,$Q124=Parametres!$G$3),J124,D124)</f>
        <v>-1909.19</v>
      </c>
      <c r="P124" s="655">
        <f>+IF(OR($Q124=Parametres!$G$2,$Q124=Parametres!$G$3),K124,E124)</f>
        <v>51037.02</v>
      </c>
      <c r="Q124" s="654" t="str">
        <f t="shared" ref="Q124:S124" si="125">+F124</f>
        <v>2-Actifs</v>
      </c>
      <c r="R124" s="653" t="str">
        <f t="shared" si="125"/>
        <v>1442</v>
      </c>
      <c r="S124" s="654">
        <f t="shared" si="125"/>
        <v>0</v>
      </c>
      <c r="T124" s="656" t="str">
        <f>+VLOOKUP($L124,Data_Validation!$A:$D,1,0)</f>
        <v>1492</v>
      </c>
      <c r="U124" s="656" t="str">
        <f>+VLOOKUP($L124,Data_Validation!$A:$D,3,0)</f>
        <v>Bilan</v>
      </c>
      <c r="V124" s="656" t="str">
        <f>+VLOOKUP($L124,Data_Validation!$A:$D,4,0)</f>
        <v>Inventaire Pièces, Pneus, Huile</v>
      </c>
      <c r="W124" s="656" t="str">
        <f>+VLOOKUP($L124,Data_Validation!$A:$E,5,0)</f>
        <v>$</v>
      </c>
      <c r="X124" s="656">
        <f>+VLOOKUP($L124,Data_Validation!$A:$F,6,0)</f>
        <v>0</v>
      </c>
    </row>
    <row r="125" spans="1:24" ht="15" hidden="1" customHeight="1">
      <c r="A125" s="1213" t="s">
        <v>867</v>
      </c>
      <c r="B125" s="1213" t="s">
        <v>1513</v>
      </c>
      <c r="C125" s="1215">
        <v>159.9</v>
      </c>
      <c r="D125" s="1215">
        <v>-159.9</v>
      </c>
      <c r="E125" s="1215">
        <v>0</v>
      </c>
      <c r="F125" s="1213" t="s">
        <v>816</v>
      </c>
      <c r="G125" s="1213" t="s">
        <v>868</v>
      </c>
      <c r="H125" s="651"/>
      <c r="I125" s="651"/>
      <c r="J125" s="651"/>
      <c r="K125" s="651"/>
      <c r="L125" s="653" t="str">
        <f t="shared" si="67"/>
        <v>1502</v>
      </c>
      <c r="M125" s="654" t="str">
        <f t="shared" si="0"/>
        <v>FPA PUB.VEHICULES NEUFS</v>
      </c>
      <c r="N125" s="655">
        <f>+IF(OR($Q125=Parametres!$G$2,$Q125=Parametres!$G$3),I125,C125)</f>
        <v>159.9</v>
      </c>
      <c r="O125" s="655">
        <f>+IF(OR($Q125=Parametres!$G$2,$Q125=Parametres!$G$3),J125,D125)</f>
        <v>-159.9</v>
      </c>
      <c r="P125" s="655">
        <f>+IF(OR($Q125=Parametres!$G$2,$Q125=Parametres!$G$3),K125,E125)</f>
        <v>0</v>
      </c>
      <c r="Q125" s="654" t="str">
        <f t="shared" ref="Q125:S125" si="126">+F125</f>
        <v>2-Actifs</v>
      </c>
      <c r="R125" s="653" t="str">
        <f t="shared" si="126"/>
        <v>1500</v>
      </c>
      <c r="S125" s="654">
        <f t="shared" si="126"/>
        <v>0</v>
      </c>
      <c r="T125" s="656" t="str">
        <f>+VLOOKUP($L125,Data_Validation!$A:$D,1,0)</f>
        <v>1502</v>
      </c>
      <c r="U125" s="656" t="str">
        <f>+VLOOKUP($L125,Data_Validation!$A:$D,3,0)</f>
        <v>Bilan</v>
      </c>
      <c r="V125" s="656" t="str">
        <f>+VLOOKUP($L125,Data_Validation!$A:$D,4,0)</f>
        <v>Frais Payés d'Avance</v>
      </c>
      <c r="W125" s="656" t="str">
        <f>+VLOOKUP($L125,Data_Validation!$A:$E,5,0)</f>
        <v>$</v>
      </c>
      <c r="X125" s="656">
        <f>+VLOOKUP($L125,Data_Validation!$A:$F,6,0)</f>
        <v>0</v>
      </c>
    </row>
    <row r="126" spans="1:24" ht="15" hidden="1" customHeight="1">
      <c r="A126" s="1213" t="s">
        <v>870</v>
      </c>
      <c r="B126" s="1213" t="s">
        <v>1519</v>
      </c>
      <c r="C126" s="1215">
        <v>-11845.88</v>
      </c>
      <c r="D126" s="1215">
        <v>103.77</v>
      </c>
      <c r="E126" s="1215">
        <v>-11742.11</v>
      </c>
      <c r="F126" s="1213" t="s">
        <v>816</v>
      </c>
      <c r="G126" s="1213" t="s">
        <v>868</v>
      </c>
      <c r="H126" s="651"/>
      <c r="I126" s="652"/>
      <c r="J126" s="652"/>
      <c r="K126" s="652"/>
      <c r="L126" s="653" t="str">
        <f t="shared" si="67"/>
        <v>1506</v>
      </c>
      <c r="M126" s="654" t="str">
        <f t="shared" si="0"/>
        <v>FPA PUBLICITE SERVICE</v>
      </c>
      <c r="N126" s="655">
        <f>+IF(OR($Q126=Parametres!$G$2,$Q126=Parametres!$G$3),I126,C126)</f>
        <v>-11845.88</v>
      </c>
      <c r="O126" s="655">
        <f>+IF(OR($Q126=Parametres!$G$2,$Q126=Parametres!$G$3),J126,D126)</f>
        <v>103.77</v>
      </c>
      <c r="P126" s="655">
        <f>+IF(OR($Q126=Parametres!$G$2,$Q126=Parametres!$G$3),K126,E126)</f>
        <v>-11742.11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hidden="1" customHeight="1">
      <c r="A127" s="1213" t="s">
        <v>871</v>
      </c>
      <c r="B127" s="1213" t="s">
        <v>1525</v>
      </c>
      <c r="C127" s="1215">
        <v>5060.8999999999996</v>
      </c>
      <c r="D127" s="1215">
        <v>0</v>
      </c>
      <c r="E127" s="1215">
        <v>5060.8999999999996</v>
      </c>
      <c r="F127" s="1213" t="s">
        <v>816</v>
      </c>
      <c r="G127" s="1213" t="s">
        <v>868</v>
      </c>
      <c r="H127" s="650"/>
      <c r="I127" s="663"/>
      <c r="J127" s="663"/>
      <c r="K127" s="663"/>
      <c r="L127" s="653" t="str">
        <f t="shared" si="67"/>
        <v>1510</v>
      </c>
      <c r="M127" s="654" t="str">
        <f t="shared" si="0"/>
        <v>DIAMOND KOTE (NANO)</v>
      </c>
      <c r="N127" s="655">
        <f>+IF(OR($Q127=Parametres!$G$2,$Q127=Parametres!$G$3),I127,C127)</f>
        <v>5060.8999999999996</v>
      </c>
      <c r="O127" s="655">
        <f>+IF(OR($Q127=Parametres!$G$2,$Q127=Parametres!$G$3),J127,D127)</f>
        <v>0</v>
      </c>
      <c r="P127" s="655">
        <f>+IF(OR($Q127=Parametres!$G$2,$Q127=Parametres!$G$3),K127,E127)</f>
        <v>5060.8999999999996</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hidden="1" customHeight="1">
      <c r="A128" s="1213" t="s">
        <v>872</v>
      </c>
      <c r="B128" s="1213" t="s">
        <v>1528</v>
      </c>
      <c r="C128" s="1215">
        <v>3142.11</v>
      </c>
      <c r="D128" s="1215">
        <v>-785.52</v>
      </c>
      <c r="E128" s="1215">
        <v>2356.59</v>
      </c>
      <c r="F128" s="1213" t="s">
        <v>816</v>
      </c>
      <c r="G128" s="1213" t="s">
        <v>868</v>
      </c>
      <c r="H128" s="651"/>
      <c r="I128" s="652"/>
      <c r="J128" s="652"/>
      <c r="K128" s="652"/>
      <c r="L128" s="653" t="str">
        <f t="shared" si="67"/>
        <v>1520</v>
      </c>
      <c r="M128" s="654" t="str">
        <f t="shared" si="0"/>
        <v>FPA IMMATRICULATION</v>
      </c>
      <c r="N128" s="655">
        <f>+IF(OR($Q128=Parametres!$G$2,$Q128=Parametres!$G$3),I128,C128)</f>
        <v>3142.11</v>
      </c>
      <c r="O128" s="655">
        <f>+IF(OR($Q128=Parametres!$G$2,$Q128=Parametres!$G$3),J128,D128)</f>
        <v>-785.52</v>
      </c>
      <c r="P128" s="655">
        <f>+IF(OR($Q128=Parametres!$G$2,$Q128=Parametres!$G$3),K128,E128)</f>
        <v>2356.59</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hidden="1" customHeight="1">
      <c r="A129" s="1213" t="s">
        <v>873</v>
      </c>
      <c r="B129" s="1213" t="s">
        <v>1540</v>
      </c>
      <c r="C129" s="1215">
        <v>2441</v>
      </c>
      <c r="D129" s="1215">
        <v>68</v>
      </c>
      <c r="E129" s="1215">
        <v>2509</v>
      </c>
      <c r="F129" s="1213" t="s">
        <v>816</v>
      </c>
      <c r="G129" s="1213" t="s">
        <v>868</v>
      </c>
      <c r="H129" s="650"/>
      <c r="I129" s="663"/>
      <c r="J129" s="663"/>
      <c r="K129" s="663"/>
      <c r="L129" s="653" t="str">
        <f t="shared" si="67"/>
        <v>1532</v>
      </c>
      <c r="M129" s="654" t="str">
        <f t="shared" si="0"/>
        <v>FPA C.C.A.M.Q.</v>
      </c>
      <c r="N129" s="655">
        <f>+IF(OR($Q129=Parametres!$G$2,$Q129=Parametres!$G$3),I129,C129)</f>
        <v>2441</v>
      </c>
      <c r="O129" s="655">
        <f>+IF(OR($Q129=Parametres!$G$2,$Q129=Parametres!$G$3),J129,D129)</f>
        <v>68</v>
      </c>
      <c r="P129" s="655">
        <f>+IF(OR($Q129=Parametres!$G$2,$Q129=Parametres!$G$3),K129,E129)</f>
        <v>2509</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hidden="1" customHeight="1">
      <c r="A130" s="1213" t="s">
        <v>877</v>
      </c>
      <c r="B130" s="1213" t="s">
        <v>1558</v>
      </c>
      <c r="C130" s="1215">
        <v>1834.58</v>
      </c>
      <c r="D130" s="1215">
        <v>-1834.58</v>
      </c>
      <c r="E130" s="1215">
        <v>0</v>
      </c>
      <c r="F130" s="1213" t="s">
        <v>816</v>
      </c>
      <c r="G130" s="1213" t="s">
        <v>868</v>
      </c>
      <c r="H130" s="651"/>
      <c r="I130" s="651"/>
      <c r="J130" s="651"/>
      <c r="K130" s="651"/>
      <c r="L130" s="653" t="str">
        <f t="shared" si="67"/>
        <v>1546</v>
      </c>
      <c r="M130" s="654" t="str">
        <f t="shared" si="0"/>
        <v>FPA ELECTRICITE HYDRO-QUEBEC</v>
      </c>
      <c r="N130" s="655">
        <f>+IF(OR($Q130=Parametres!$G$2,$Q130=Parametres!$G$3),I130,C130)</f>
        <v>1834.58</v>
      </c>
      <c r="O130" s="655">
        <f>+IF(OR($Q130=Parametres!$G$2,$Q130=Parametres!$G$3),J130,D130)</f>
        <v>-1834.58</v>
      </c>
      <c r="P130" s="655">
        <f>+IF(OR($Q130=Parametres!$G$2,$Q130=Parametres!$G$3),K130,E130)</f>
        <v>0</v>
      </c>
      <c r="Q130" s="654" t="str">
        <f t="shared" ref="Q130:S130" si="131">+F130</f>
        <v>2-Actifs</v>
      </c>
      <c r="R130" s="653" t="str">
        <f t="shared" si="131"/>
        <v>1500</v>
      </c>
      <c r="S130" s="654">
        <f t="shared" si="131"/>
        <v>0</v>
      </c>
      <c r="T130" s="656" t="str">
        <f>+VLOOKUP($L130,Data_Validation!$A:$D,1,0)</f>
        <v>1546</v>
      </c>
      <c r="U130" s="656" t="str">
        <f>+VLOOKUP($L130,Data_Validation!$A:$D,3,0)</f>
        <v>Bilan</v>
      </c>
      <c r="V130" s="656" t="str">
        <f>+VLOOKUP($L130,Data_Validation!$A:$D,4,0)</f>
        <v>Autres Courus</v>
      </c>
      <c r="W130" s="656" t="str">
        <f>+VLOOKUP($L130,Data_Validation!$A:$E,5,0)</f>
        <v>$</v>
      </c>
      <c r="X130" s="656">
        <f>+VLOOKUP($L130,Data_Validation!$A:$F,6,0)</f>
        <v>0</v>
      </c>
    </row>
    <row r="131" spans="1:24" ht="15.75" hidden="1" customHeight="1">
      <c r="A131" s="1213" t="s">
        <v>879</v>
      </c>
      <c r="B131" s="1213" t="s">
        <v>3371</v>
      </c>
      <c r="C131" s="1215">
        <v>99793.95</v>
      </c>
      <c r="D131" s="1215">
        <v>0</v>
      </c>
      <c r="E131" s="1215">
        <v>99793.95</v>
      </c>
      <c r="F131" s="1213" t="s">
        <v>816</v>
      </c>
      <c r="G131" s="1213" t="s">
        <v>868</v>
      </c>
      <c r="H131" s="651"/>
      <c r="I131" s="651"/>
      <c r="J131" s="651"/>
      <c r="K131" s="651"/>
      <c r="L131" s="653" t="str">
        <f t="shared" ref="L131:L179" si="132">TEXT(B131,0)</f>
        <v>1553</v>
      </c>
      <c r="M131" s="654" t="str">
        <f t="shared" si="0"/>
        <v>CSST A PAYER OU RECEVOIR</v>
      </c>
      <c r="N131" s="655">
        <f>+IF(OR($Q131=Parametres!$G$2,$Q131=Parametres!$G$3),I131,C131)</f>
        <v>99793.95</v>
      </c>
      <c r="O131" s="659">
        <f>+IF(OR($Q131=Parametres!$G$2,$Q131=Parametres!$G$3),J131,D131)</f>
        <v>0</v>
      </c>
      <c r="P131" s="655">
        <f>+IF(OR($Q131=Parametres!$G$2,$Q131=Parametres!$G$3),K131,E131)</f>
        <v>99793.95</v>
      </c>
      <c r="Q131" s="654" t="str">
        <f t="shared" ref="Q131:S131" si="133">+F131</f>
        <v>2-Actifs</v>
      </c>
      <c r="R131" s="653" t="str">
        <f t="shared" si="133"/>
        <v>1500</v>
      </c>
      <c r="S131" s="654">
        <f t="shared" si="133"/>
        <v>0</v>
      </c>
      <c r="T131" s="656" t="str">
        <f>+VLOOKUP($L131,Data_Validation!$A:$D,1,0)</f>
        <v>1553</v>
      </c>
      <c r="U131" s="656" t="str">
        <f>+VLOOKUP($L131,Data_Validation!$A:$D,3,0)</f>
        <v>Bilan</v>
      </c>
      <c r="V131" s="656" t="str">
        <f>+VLOOKUP($L131,Data_Validation!$A:$D,4,0)</f>
        <v>Frais Payés d'Avance</v>
      </c>
      <c r="W131" s="656" t="str">
        <f>+VLOOKUP($L131,Data_Validation!$A:$E,5,0)</f>
        <v>$</v>
      </c>
      <c r="X131" s="656">
        <f>+VLOOKUP($L131,Data_Validation!$A:$F,6,0)</f>
        <v>0</v>
      </c>
    </row>
    <row r="132" spans="1:24" ht="15" hidden="1" customHeight="1">
      <c r="A132" s="1213" t="s">
        <v>880</v>
      </c>
      <c r="B132" s="1213" t="s">
        <v>1564</v>
      </c>
      <c r="C132" s="1215">
        <v>8388.4500000000007</v>
      </c>
      <c r="D132" s="1215">
        <v>-8388.4500000000007</v>
      </c>
      <c r="E132" s="1215">
        <v>0</v>
      </c>
      <c r="F132" s="1213" t="s">
        <v>816</v>
      </c>
      <c r="G132" s="1213" t="s">
        <v>868</v>
      </c>
      <c r="H132" s="651"/>
      <c r="I132" s="651"/>
      <c r="J132" s="651"/>
      <c r="K132" s="651"/>
      <c r="L132" s="653" t="str">
        <f t="shared" si="132"/>
        <v>1582</v>
      </c>
      <c r="M132" s="654" t="str">
        <f t="shared" si="0"/>
        <v>FPA TAXES MUNICIPALES</v>
      </c>
      <c r="N132" s="655">
        <f>+IF(OR($Q132=Parametres!$G$2,$Q132=Parametres!$G$3),I132,C132)</f>
        <v>8388.4500000000007</v>
      </c>
      <c r="O132" s="655">
        <f>+IF(OR($Q132=Parametres!$G$2,$Q132=Parametres!$G$3),J132,D132)</f>
        <v>-8388.4500000000007</v>
      </c>
      <c r="P132" s="655">
        <f>+IF(OR($Q132=Parametres!$G$2,$Q132=Parametres!$G$3),K132,E132)</f>
        <v>0</v>
      </c>
      <c r="Q132" s="654" t="str">
        <f t="shared" ref="Q132:S132" si="134">+F132</f>
        <v>2-Actifs</v>
      </c>
      <c r="R132" s="653" t="str">
        <f t="shared" si="134"/>
        <v>1500</v>
      </c>
      <c r="S132" s="654">
        <f t="shared" si="134"/>
        <v>0</v>
      </c>
      <c r="T132" s="656" t="str">
        <f>+VLOOKUP($L132,Data_Validation!$A:$D,1,0)</f>
        <v>1582</v>
      </c>
      <c r="U132" s="656" t="str">
        <f>+VLOOKUP($L132,Data_Validation!$A:$D,3,0)</f>
        <v>Bilan</v>
      </c>
      <c r="V132" s="656" t="str">
        <f>+VLOOKUP($L132,Data_Validation!$A:$D,4,0)</f>
        <v>Frais Payés d'Avance</v>
      </c>
      <c r="W132" s="656" t="str">
        <f>+VLOOKUP($L132,Data_Validation!$A:$E,5,0)</f>
        <v>$</v>
      </c>
      <c r="X132" s="656">
        <f>+VLOOKUP($L132,Data_Validation!$A:$F,6,0)</f>
        <v>0</v>
      </c>
    </row>
    <row r="133" spans="1:24" ht="15" hidden="1" customHeight="1">
      <c r="A133" s="1213" t="s">
        <v>881</v>
      </c>
      <c r="B133" s="1213" t="s">
        <v>1570</v>
      </c>
      <c r="C133" s="1215">
        <v>626.65</v>
      </c>
      <c r="D133" s="1215">
        <v>1091.54</v>
      </c>
      <c r="E133" s="1215">
        <v>1718.19</v>
      </c>
      <c r="F133" s="1213" t="s">
        <v>816</v>
      </c>
      <c r="G133" s="1213" t="s">
        <v>868</v>
      </c>
      <c r="H133" s="651"/>
      <c r="I133" s="652"/>
      <c r="J133" s="652"/>
      <c r="K133" s="652"/>
      <c r="L133" s="653" t="str">
        <f t="shared" si="132"/>
        <v>1586</v>
      </c>
      <c r="M133" s="654" t="str">
        <f t="shared" si="0"/>
        <v>FPA TAXES SCOLAIRES</v>
      </c>
      <c r="N133" s="655">
        <f>+IF(OR($Q133=Parametres!$G$2,$Q133=Parametres!$G$3),I133,C133)</f>
        <v>626.65</v>
      </c>
      <c r="O133" s="655">
        <f>+IF(OR($Q133=Parametres!$G$2,$Q133=Parametres!$G$3),J133,D133)</f>
        <v>1091.54</v>
      </c>
      <c r="P133" s="655">
        <f>+IF(OR($Q133=Parametres!$G$2,$Q133=Parametres!$G$3),K133,E133)</f>
        <v>1718.19</v>
      </c>
      <c r="Q133" s="654" t="str">
        <f t="shared" ref="Q133:S133" si="135">+F133</f>
        <v>2-Actifs</v>
      </c>
      <c r="R133" s="653" t="str">
        <f t="shared" si="135"/>
        <v>1500</v>
      </c>
      <c r="S133" s="654">
        <f t="shared" si="135"/>
        <v>0</v>
      </c>
      <c r="T133" s="656" t="str">
        <f>+VLOOKUP($L133,Data_Validation!$A:$D,1,0)</f>
        <v>1586</v>
      </c>
      <c r="U133" s="656" t="str">
        <f>+VLOOKUP($L133,Data_Validation!$A:$D,3,0)</f>
        <v>Bilan</v>
      </c>
      <c r="V133" s="656" t="str">
        <f>+VLOOKUP($L133,Data_Validation!$A:$D,4,0)</f>
        <v>Frais Payés d'Avance</v>
      </c>
      <c r="W133" s="656" t="str">
        <f>+VLOOKUP($L133,Data_Validation!$A:$E,5,0)</f>
        <v>$</v>
      </c>
      <c r="X133" s="656">
        <f>+VLOOKUP($L133,Data_Validation!$A:$F,6,0)</f>
        <v>0</v>
      </c>
    </row>
    <row r="134" spans="1:24" ht="15" hidden="1" customHeight="1">
      <c r="A134" s="1213" t="s">
        <v>883</v>
      </c>
      <c r="B134" s="1213" t="s">
        <v>1573</v>
      </c>
      <c r="C134" s="1215">
        <v>36144.1</v>
      </c>
      <c r="D134" s="1215">
        <v>27171.81</v>
      </c>
      <c r="E134" s="1215">
        <v>63315.91</v>
      </c>
      <c r="F134" s="1213" t="s">
        <v>816</v>
      </c>
      <c r="G134" s="1213" t="s">
        <v>868</v>
      </c>
      <c r="H134" s="650"/>
      <c r="I134" s="652"/>
      <c r="J134" s="652"/>
      <c r="K134" s="652"/>
      <c r="L134" s="653" t="str">
        <f t="shared" si="132"/>
        <v>1592</v>
      </c>
      <c r="M134" s="654" t="str">
        <f t="shared" si="0"/>
        <v>FPA AUTRES</v>
      </c>
      <c r="N134" s="655">
        <f>+IF(OR($Q134=Parametres!$G$2,$Q134=Parametres!$G$3),I134,C134)</f>
        <v>36144.1</v>
      </c>
      <c r="O134" s="655">
        <f>+IF(OR($Q134=Parametres!$G$2,$Q134=Parametres!$G$3),J134,D134)</f>
        <v>27171.81</v>
      </c>
      <c r="P134" s="655">
        <f>+IF(OR($Q134=Parametres!$G$2,$Q134=Parametres!$G$3),K134,E134)</f>
        <v>63315.91</v>
      </c>
      <c r="Q134" s="654" t="str">
        <f t="shared" ref="Q134:S134" si="136">+F134</f>
        <v>2-Actifs</v>
      </c>
      <c r="R134" s="653" t="str">
        <f t="shared" si="136"/>
        <v>1500</v>
      </c>
      <c r="S134" s="654">
        <f t="shared" si="136"/>
        <v>0</v>
      </c>
      <c r="T134" s="656" t="str">
        <f>+VLOOKUP($L134,Data_Validation!$A:$D,1,0)</f>
        <v>1592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213" t="s">
        <v>884</v>
      </c>
      <c r="B135" s="1213" t="s">
        <v>1585</v>
      </c>
      <c r="C135" s="1215">
        <v>148504.63</v>
      </c>
      <c r="D135" s="1215">
        <v>0</v>
      </c>
      <c r="E135" s="1215">
        <v>148504.63</v>
      </c>
      <c r="F135" s="1213" t="s">
        <v>816</v>
      </c>
      <c r="G135" s="1213" t="s">
        <v>885</v>
      </c>
      <c r="H135" s="651"/>
      <c r="I135" s="652"/>
      <c r="J135" s="652"/>
      <c r="K135" s="652"/>
      <c r="L135" s="653" t="str">
        <f t="shared" si="132"/>
        <v>1732</v>
      </c>
      <c r="M135" s="654" t="str">
        <f t="shared" si="0"/>
        <v>AMELIOR. LOCATIVES</v>
      </c>
      <c r="N135" s="655">
        <f>+IF(OR($Q135=Parametres!$G$2,$Q135=Parametres!$G$3),I135,C135)</f>
        <v>148504.63</v>
      </c>
      <c r="O135" s="655">
        <f>+IF(OR($Q135=Parametres!$G$2,$Q135=Parametres!$G$3),J135,D135)</f>
        <v>0</v>
      </c>
      <c r="P135" s="655">
        <f>+IF(OR($Q135=Parametres!$G$2,$Q135=Parametres!$G$3),K135,E135)</f>
        <v>148504.63</v>
      </c>
      <c r="Q135" s="654" t="str">
        <f t="shared" ref="Q135:S135" si="137">+F135</f>
        <v>2-Actifs</v>
      </c>
      <c r="R135" s="653" t="str">
        <f t="shared" si="137"/>
        <v>1700</v>
      </c>
      <c r="S135" s="654">
        <f t="shared" si="137"/>
        <v>0</v>
      </c>
      <c r="T135" s="656" t="str">
        <f>+VLOOKUP($L135,Data_Validation!$A:$D,1,0)</f>
        <v>1732</v>
      </c>
      <c r="U135" s="656" t="str">
        <f>+VLOOKUP($L135,Data_Validation!$A:$D,3,0)</f>
        <v>Bilan</v>
      </c>
      <c r="V135" s="656" t="str">
        <f>+VLOOKUP($L135,Data_Validation!$A:$D,4,0)</f>
        <v>Améliorations Locatives</v>
      </c>
      <c r="W135" s="656" t="str">
        <f>+VLOOKUP($L135,Data_Validation!$A:$E,5,0)</f>
        <v>$</v>
      </c>
      <c r="X135" s="656">
        <f>+VLOOKUP($L135,Data_Validation!$A:$F,6,0)</f>
        <v>0</v>
      </c>
    </row>
    <row r="136" spans="1:24" ht="15" customHeight="1">
      <c r="A136" s="1213" t="s">
        <v>886</v>
      </c>
      <c r="B136" s="1213" t="s">
        <v>1588</v>
      </c>
      <c r="C136" s="1215">
        <v>-256596.93</v>
      </c>
      <c r="D136" s="1215">
        <v>131891.15</v>
      </c>
      <c r="E136" s="1215">
        <v>-124705.78</v>
      </c>
      <c r="F136" s="1213" t="s">
        <v>816</v>
      </c>
      <c r="G136" s="1213" t="s">
        <v>885</v>
      </c>
      <c r="H136" s="650"/>
      <c r="I136" s="652"/>
      <c r="J136" s="652"/>
      <c r="K136" s="652"/>
      <c r="L136" s="653" t="str">
        <f t="shared" ref="L136:L151" si="138">TEXT(B136,0)</f>
        <v>1733</v>
      </c>
      <c r="M136" s="654" t="str">
        <f t="shared" ref="M136:M151" si="139">+A136</f>
        <v>AMORT. CUM. AMEL. LOCAT.</v>
      </c>
      <c r="N136" s="655">
        <f>+IF(OR($Q136=Parametres!$G$2,$Q136=Parametres!$G$3),I136,C136)</f>
        <v>-256596.93</v>
      </c>
      <c r="O136" s="655">
        <f>+IF(OR($Q136=Parametres!$G$2,$Q136=Parametres!$G$3),J136,D136)</f>
        <v>131891.15</v>
      </c>
      <c r="P136" s="655">
        <f>+IF(OR($Q136=Parametres!$G$2,$Q136=Parametres!$G$3),K136,E136)</f>
        <v>-124705.78</v>
      </c>
      <c r="Q136" s="654" t="str">
        <f t="shared" ref="Q136:Q151" si="140">+F136</f>
        <v>2-Actifs</v>
      </c>
      <c r="R136" s="653" t="str">
        <f t="shared" ref="R136:R151" si="141">+G136</f>
        <v>1700</v>
      </c>
      <c r="S136" s="654">
        <f t="shared" ref="S136:S151" si="142">+H136</f>
        <v>0</v>
      </c>
      <c r="T136" s="656" t="str">
        <f>+VLOOKUP($L136,Data_Validation!$A:$D,1,0)</f>
        <v>1733</v>
      </c>
      <c r="U136" s="656" t="str">
        <f>+VLOOKUP($L136,Data_Validation!$A:$D,3,0)</f>
        <v>Bilan</v>
      </c>
      <c r="V136" s="656" t="str">
        <f>+VLOOKUP($L136,Data_Validation!$A:$D,4,0)</f>
        <v>Améliorations Locatives</v>
      </c>
      <c r="W136" s="656" t="str">
        <f>+VLOOKUP($L136,Data_Validation!$A:$E,5,0)</f>
        <v>$</v>
      </c>
      <c r="X136" s="656">
        <f>+VLOOKUP($L136,Data_Validation!$A:$F,6,0)</f>
        <v>0</v>
      </c>
    </row>
    <row r="137" spans="1:24" ht="15" customHeight="1">
      <c r="A137" s="1213" t="s">
        <v>3351</v>
      </c>
      <c r="B137" s="1213" t="s">
        <v>3373</v>
      </c>
      <c r="C137" s="1215">
        <v>10527.65</v>
      </c>
      <c r="D137" s="1215">
        <v>0</v>
      </c>
      <c r="E137" s="1215">
        <v>10527.65</v>
      </c>
      <c r="F137" s="1213" t="s">
        <v>816</v>
      </c>
      <c r="G137" s="1213" t="s">
        <v>885</v>
      </c>
      <c r="H137" s="651"/>
      <c r="I137" s="652"/>
      <c r="J137" s="652"/>
      <c r="K137" s="652"/>
      <c r="L137" s="653" t="str">
        <f t="shared" si="138"/>
        <v>1734</v>
      </c>
      <c r="M137" s="654" t="str">
        <f t="shared" si="139"/>
        <v>AMELIOR. LOCATIVES CPO</v>
      </c>
      <c r="N137" s="655">
        <f>+IF(OR($Q137=Parametres!$G$2,$Q137=Parametres!$G$3),I137,C137)</f>
        <v>10527.65</v>
      </c>
      <c r="O137" s="655">
        <f>+IF(OR($Q137=Parametres!$G$2,$Q137=Parametres!$G$3),J137,D137)</f>
        <v>0</v>
      </c>
      <c r="P137" s="655">
        <f>+IF(OR($Q137=Parametres!$G$2,$Q137=Parametres!$G$3),K137,E137)</f>
        <v>10527.65</v>
      </c>
      <c r="Q137" s="654" t="str">
        <f t="shared" si="140"/>
        <v>2-Actifs</v>
      </c>
      <c r="R137" s="653" t="str">
        <f t="shared" si="141"/>
        <v>1700</v>
      </c>
      <c r="S137" s="654">
        <f t="shared" si="142"/>
        <v>0</v>
      </c>
      <c r="T137" s="656" t="str">
        <f>+VLOOKUP($L137,Data_Validation!$A:$D,1,0)</f>
        <v>1734</v>
      </c>
      <c r="U137" s="656" t="str">
        <f>+VLOOKUP($L137,Data_Validation!$A:$D,3,0)</f>
        <v>Bilan</v>
      </c>
      <c r="V137" s="656" t="str">
        <f>+VLOOKUP($L137,Data_Validation!$A:$D,4,0)</f>
        <v>Améliorations Locatives</v>
      </c>
      <c r="W137" s="656" t="str">
        <f>+VLOOKUP($L137,Data_Validation!$A:$E,5,0)</f>
        <v>$</v>
      </c>
      <c r="X137" s="656">
        <f>+VLOOKUP($L137,Data_Validation!$A:$F,6,0)</f>
        <v>0</v>
      </c>
    </row>
    <row r="138" spans="1:24" ht="15" customHeight="1">
      <c r="A138" s="1213" t="s">
        <v>3957</v>
      </c>
      <c r="B138" s="1213" t="s">
        <v>3958</v>
      </c>
      <c r="C138" s="1215">
        <v>0</v>
      </c>
      <c r="D138" s="1215">
        <v>-2105.5300000000002</v>
      </c>
      <c r="E138" s="1215">
        <v>-2105.5300000000002</v>
      </c>
      <c r="F138" s="1213" t="s">
        <v>816</v>
      </c>
      <c r="G138" s="1213" t="s">
        <v>885</v>
      </c>
      <c r="H138" s="650"/>
      <c r="I138" s="663"/>
      <c r="J138" s="663"/>
      <c r="K138" s="663"/>
      <c r="L138" s="653" t="str">
        <f t="shared" si="138"/>
        <v>1735</v>
      </c>
      <c r="M138" s="654" t="str">
        <f t="shared" si="139"/>
        <v>AMORT. CUM. AMEL. LOCAT. CPO</v>
      </c>
      <c r="N138" s="655">
        <f>+IF(OR($Q138=Parametres!$G$2,$Q138=Parametres!$G$3),I138,C138)</f>
        <v>0</v>
      </c>
      <c r="O138" s="655">
        <f>+IF(OR($Q138=Parametres!$G$2,$Q138=Parametres!$G$3),J138,D138)</f>
        <v>-2105.5300000000002</v>
      </c>
      <c r="P138" s="655">
        <f>+IF(OR($Q138=Parametres!$G$2,$Q138=Parametres!$G$3),K138,E138)</f>
        <v>-2105.5300000000002</v>
      </c>
      <c r="Q138" s="654" t="str">
        <f t="shared" si="140"/>
        <v>2-Actifs</v>
      </c>
      <c r="R138" s="653" t="str">
        <f t="shared" si="141"/>
        <v>1700</v>
      </c>
      <c r="S138" s="654">
        <f t="shared" si="142"/>
        <v>0</v>
      </c>
      <c r="T138" s="656" t="str">
        <f>+VLOOKUP($L138,Data_Validation!$A:$D,1,0)</f>
        <v>1735</v>
      </c>
      <c r="U138" s="656" t="str">
        <f>+VLOOKUP($L138,Data_Validation!$A:$D,3,0)</f>
        <v>Bilan</v>
      </c>
      <c r="V138" s="656" t="str">
        <f>+VLOOKUP($L138,Data_Validation!$A:$D,4,0)</f>
        <v>Améliorations Locatives</v>
      </c>
      <c r="W138" s="656" t="str">
        <f>+VLOOKUP($L138,Data_Validation!$A:$E,5,0)</f>
        <v>$</v>
      </c>
      <c r="X138" s="656">
        <f>+VLOOKUP($L138,Data_Validation!$A:$F,6,0)</f>
        <v>0</v>
      </c>
    </row>
    <row r="139" spans="1:24" ht="15.75" customHeight="1">
      <c r="A139" s="1213" t="s">
        <v>3407</v>
      </c>
      <c r="B139" s="1213" t="s">
        <v>3408</v>
      </c>
      <c r="C139" s="1215">
        <v>10317155.77</v>
      </c>
      <c r="D139" s="1215">
        <v>730</v>
      </c>
      <c r="E139" s="1215">
        <v>10317885.77</v>
      </c>
      <c r="F139" s="1213" t="s">
        <v>816</v>
      </c>
      <c r="G139" s="1213" t="s">
        <v>885</v>
      </c>
      <c r="H139" s="650"/>
      <c r="I139" s="652"/>
      <c r="J139" s="652"/>
      <c r="K139" s="652"/>
      <c r="L139" s="653" t="str">
        <f t="shared" si="138"/>
        <v>1740</v>
      </c>
      <c r="M139" s="654" t="str">
        <f t="shared" si="139"/>
        <v>PROJET VOLKS - RENOVATION</v>
      </c>
      <c r="N139" s="655">
        <f>+IF(OR($Q139=Parametres!$G$2,$Q139=Parametres!$G$3),I139,C139)</f>
        <v>10317155.77</v>
      </c>
      <c r="O139" s="655">
        <f>+IF(OR($Q139=Parametres!$G$2,$Q139=Parametres!$G$3),J139,D139)</f>
        <v>730</v>
      </c>
      <c r="P139" s="655">
        <f>+IF(OR($Q139=Parametres!$G$2,$Q139=Parametres!$G$3),K139,E139)</f>
        <v>10317885.77</v>
      </c>
      <c r="Q139" s="654" t="str">
        <f t="shared" si="140"/>
        <v>2-Actifs</v>
      </c>
      <c r="R139" s="653" t="str">
        <f t="shared" si="141"/>
        <v>1700</v>
      </c>
      <c r="S139" s="654">
        <f t="shared" si="142"/>
        <v>0</v>
      </c>
      <c r="T139" s="656" t="str">
        <f>+VLOOKUP($L139,Data_Validation!$A:$D,1,0)</f>
        <v>1740</v>
      </c>
      <c r="U139" s="656" t="str">
        <f>+VLOOKUP($L139,Data_Validation!$A:$D,3,0)</f>
        <v>Bilan</v>
      </c>
      <c r="V139" s="656" t="str">
        <f>+VLOOKUP($L139,Data_Validation!$A:$D,4,0)</f>
        <v>Améliorations Locatives</v>
      </c>
      <c r="W139" s="656" t="str">
        <f>+VLOOKUP($L139,Data_Validation!$A:$E,5,0)</f>
        <v>$</v>
      </c>
      <c r="X139" s="656">
        <f>+VLOOKUP($L139,Data_Validation!$A:$F,6,0)</f>
        <v>0</v>
      </c>
    </row>
    <row r="140" spans="1:24" ht="15" customHeight="1">
      <c r="A140" s="1213" t="s">
        <v>3959</v>
      </c>
      <c r="B140" s="1213" t="s">
        <v>3960</v>
      </c>
      <c r="C140" s="1215">
        <v>0</v>
      </c>
      <c r="D140" s="1215">
        <v>-171964.76</v>
      </c>
      <c r="E140" s="1215">
        <v>-171964.76</v>
      </c>
      <c r="F140" s="1213" t="s">
        <v>816</v>
      </c>
      <c r="G140" s="1213" t="s">
        <v>885</v>
      </c>
      <c r="H140" s="650"/>
      <c r="I140" s="652"/>
      <c r="J140" s="652"/>
      <c r="K140" s="652"/>
      <c r="L140" s="653" t="str">
        <f t="shared" si="138"/>
        <v>1741</v>
      </c>
      <c r="M140" s="654" t="str">
        <f t="shared" si="139"/>
        <v>AMORT.CUMUL.PROJET VOLKS</v>
      </c>
      <c r="N140" s="655">
        <f>+IF(OR($Q140=Parametres!$G$2,$Q140=Parametres!$G$3),I140,C140)</f>
        <v>0</v>
      </c>
      <c r="O140" s="655">
        <f>+IF(OR($Q140=Parametres!$G$2,$Q140=Parametres!$G$3),J140,D140)</f>
        <v>-171964.76</v>
      </c>
      <c r="P140" s="655">
        <f>+IF(OR($Q140=Parametres!$G$2,$Q140=Parametres!$G$3),K140,E140)</f>
        <v>-171964.76</v>
      </c>
      <c r="Q140" s="654" t="str">
        <f t="shared" si="140"/>
        <v>2-Actifs</v>
      </c>
      <c r="R140" s="653" t="str">
        <f t="shared" si="141"/>
        <v>1700</v>
      </c>
      <c r="S140" s="654">
        <f t="shared" si="142"/>
        <v>0</v>
      </c>
      <c r="T140" s="656" t="str">
        <f>+VLOOKUP($L140,Data_Validation!$A:$D,1,0)</f>
        <v>1741</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213" t="s">
        <v>887</v>
      </c>
      <c r="B141" s="1213" t="s">
        <v>1591</v>
      </c>
      <c r="C141" s="1215">
        <v>1277987.51</v>
      </c>
      <c r="D141" s="1215">
        <v>-2922.98</v>
      </c>
      <c r="E141" s="1215">
        <v>1275064.53</v>
      </c>
      <c r="F141" s="1213" t="s">
        <v>816</v>
      </c>
      <c r="G141" s="1213" t="s">
        <v>885</v>
      </c>
      <c r="H141" s="650"/>
      <c r="I141" s="663"/>
      <c r="J141" s="663"/>
      <c r="K141" s="663"/>
      <c r="L141" s="653" t="str">
        <f t="shared" si="138"/>
        <v>1742</v>
      </c>
      <c r="M141" s="654" t="str">
        <f t="shared" si="139"/>
        <v>MACHINERIE &amp; EQUIPEMENT</v>
      </c>
      <c r="N141" s="655">
        <f>+IF(OR($Q141=Parametres!$G$2,$Q141=Parametres!$G$3),I141,C141)</f>
        <v>1277987.51</v>
      </c>
      <c r="O141" s="655">
        <f>+IF(OR($Q141=Parametres!$G$2,$Q141=Parametres!$G$3),J141,D141)</f>
        <v>-2922.98</v>
      </c>
      <c r="P141" s="655">
        <f>+IF(OR($Q141=Parametres!$G$2,$Q141=Parametres!$G$3),K141,E141)</f>
        <v>1275064.53</v>
      </c>
      <c r="Q141" s="654" t="str">
        <f t="shared" si="140"/>
        <v>2-Actifs</v>
      </c>
      <c r="R141" s="653" t="str">
        <f t="shared" si="141"/>
        <v>1700</v>
      </c>
      <c r="S141" s="654">
        <f t="shared" si="142"/>
        <v>0</v>
      </c>
      <c r="T141" s="656" t="str">
        <f>+VLOOKUP($L141,Data_Validation!$A:$D,1,0)</f>
        <v>1742</v>
      </c>
      <c r="U141" s="656" t="str">
        <f>+VLOOKUP($L141,Data_Validation!$A:$D,3,0)</f>
        <v>Bilan</v>
      </c>
      <c r="V141" s="656" t="str">
        <f>+VLOOKUP($L141,Data_Validation!$A:$D,4,0)</f>
        <v>Équipements Service</v>
      </c>
      <c r="W141" s="656" t="str">
        <f>+VLOOKUP($L141,Data_Validation!$A:$E,5,0)</f>
        <v>$</v>
      </c>
      <c r="X141" s="656">
        <f>+VLOOKUP($L141,Data_Validation!$A:$F,6,0)</f>
        <v>0</v>
      </c>
    </row>
    <row r="142" spans="1:24" ht="15" customHeight="1">
      <c r="A142" s="1213" t="s">
        <v>888</v>
      </c>
      <c r="B142" s="1213" t="s">
        <v>1594</v>
      </c>
      <c r="C142" s="1215">
        <v>-903183.34</v>
      </c>
      <c r="D142" s="1215">
        <v>-5622.82</v>
      </c>
      <c r="E142" s="1215">
        <v>-908806.16</v>
      </c>
      <c r="F142" s="1213" t="s">
        <v>816</v>
      </c>
      <c r="G142" s="1213" t="s">
        <v>885</v>
      </c>
      <c r="H142" s="650"/>
      <c r="I142" s="663"/>
      <c r="J142" s="663"/>
      <c r="K142" s="663"/>
      <c r="L142" s="653" t="str">
        <f t="shared" si="138"/>
        <v>1743</v>
      </c>
      <c r="M142" s="654" t="str">
        <f t="shared" si="139"/>
        <v>AMORTISS.MACHINERIE &amp; EQUIP.</v>
      </c>
      <c r="N142" s="655">
        <f>+IF(OR($Q142=Parametres!$G$2,$Q142=Parametres!$G$3),I142,C142)</f>
        <v>-903183.34</v>
      </c>
      <c r="O142" s="655">
        <f>+IF(OR($Q142=Parametres!$G$2,$Q142=Parametres!$G$3),J142,D142)</f>
        <v>-5622.82</v>
      </c>
      <c r="P142" s="655">
        <f>+IF(OR($Q142=Parametres!$G$2,$Q142=Parametres!$G$3),K142,E142)</f>
        <v>-908806.16</v>
      </c>
      <c r="Q142" s="654" t="str">
        <f t="shared" si="140"/>
        <v>2-Actifs</v>
      </c>
      <c r="R142" s="653" t="str">
        <f t="shared" si="141"/>
        <v>1700</v>
      </c>
      <c r="S142" s="654">
        <f t="shared" si="142"/>
        <v>0</v>
      </c>
      <c r="T142" s="656" t="str">
        <f>+VLOOKUP($L142,Data_Validation!$A:$D,1,0)</f>
        <v>1743</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213" t="s">
        <v>889</v>
      </c>
      <c r="B143" s="1213" t="s">
        <v>1597</v>
      </c>
      <c r="C143" s="1215">
        <v>47461.59</v>
      </c>
      <c r="D143" s="1215">
        <v>0</v>
      </c>
      <c r="E143" s="1215">
        <v>47461.59</v>
      </c>
      <c r="F143" s="1213" t="s">
        <v>816</v>
      </c>
      <c r="G143" s="1213" t="s">
        <v>885</v>
      </c>
      <c r="H143" s="650"/>
      <c r="I143" s="652"/>
      <c r="J143" s="652"/>
      <c r="K143" s="652"/>
      <c r="L143" s="653" t="str">
        <f t="shared" si="138"/>
        <v>1744</v>
      </c>
      <c r="M143" s="654" t="str">
        <f t="shared" si="139"/>
        <v>EQUIPEMENT PIECES</v>
      </c>
      <c r="N143" s="655">
        <f>+IF(OR($Q143=Parametres!$G$2,$Q143=Parametres!$G$3),I143,C143)</f>
        <v>47461.59</v>
      </c>
      <c r="O143" s="655">
        <f>+IF(OR($Q143=Parametres!$G$2,$Q143=Parametres!$G$3),J143,D143)</f>
        <v>0</v>
      </c>
      <c r="P143" s="655">
        <f>+IF(OR($Q143=Parametres!$G$2,$Q143=Parametres!$G$3),K143,E143)</f>
        <v>47461.59</v>
      </c>
      <c r="Q143" s="654" t="str">
        <f t="shared" si="140"/>
        <v>2-Actifs</v>
      </c>
      <c r="R143" s="653" t="str">
        <f t="shared" si="141"/>
        <v>1700</v>
      </c>
      <c r="S143" s="654">
        <f t="shared" si="142"/>
        <v>0</v>
      </c>
      <c r="T143" s="656" t="str">
        <f>+VLOOKUP($L143,Data_Validation!$A:$D,1,0)</f>
        <v>1744</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213" t="s">
        <v>890</v>
      </c>
      <c r="B144" s="1213" t="s">
        <v>1600</v>
      </c>
      <c r="C144" s="1215">
        <v>-47555.09</v>
      </c>
      <c r="D144" s="1215">
        <v>93.5</v>
      </c>
      <c r="E144" s="1215">
        <v>-47461.59</v>
      </c>
      <c r="F144" s="1213" t="s">
        <v>816</v>
      </c>
      <c r="G144" s="1213" t="s">
        <v>885</v>
      </c>
      <c r="H144" s="650"/>
      <c r="I144" s="652"/>
      <c r="J144" s="652"/>
      <c r="K144" s="652"/>
      <c r="L144" s="653" t="str">
        <f t="shared" si="138"/>
        <v>1745</v>
      </c>
      <c r="M144" s="654" t="str">
        <f t="shared" si="139"/>
        <v>AMORTISS.EQUIPEMENTS PIECES</v>
      </c>
      <c r="N144" s="655">
        <f>+IF(OR($Q144=Parametres!$G$2,$Q144=Parametres!$G$3),I144,C144)</f>
        <v>-47555.09</v>
      </c>
      <c r="O144" s="655">
        <f>+IF(OR($Q144=Parametres!$G$2,$Q144=Parametres!$G$3),J144,D144)</f>
        <v>93.5</v>
      </c>
      <c r="P144" s="655">
        <f>+IF(OR($Q144=Parametres!$G$2,$Q144=Parametres!$G$3),K144,E144)</f>
        <v>-47461.59</v>
      </c>
      <c r="Q144" s="654" t="str">
        <f t="shared" si="140"/>
        <v>2-Actifs</v>
      </c>
      <c r="R144" s="653" t="str">
        <f t="shared" si="141"/>
        <v>1700</v>
      </c>
      <c r="S144" s="654">
        <f t="shared" si="142"/>
        <v>0</v>
      </c>
      <c r="T144" s="656" t="str">
        <f>+VLOOKUP($L144,Data_Validation!$A:$D,1,0)</f>
        <v>1745</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213" t="s">
        <v>891</v>
      </c>
      <c r="B145" s="1213" t="s">
        <v>1609</v>
      </c>
      <c r="C145" s="1215">
        <v>440156.49</v>
      </c>
      <c r="D145" s="1215">
        <v>0</v>
      </c>
      <c r="E145" s="1215">
        <v>440156.49</v>
      </c>
      <c r="F145" s="1213" t="s">
        <v>816</v>
      </c>
      <c r="G145" s="1213" t="s">
        <v>885</v>
      </c>
      <c r="H145" s="650"/>
      <c r="I145" s="652"/>
      <c r="J145" s="652"/>
      <c r="K145" s="652"/>
      <c r="L145" s="653" t="str">
        <f t="shared" si="138"/>
        <v>1762</v>
      </c>
      <c r="M145" s="654" t="str">
        <f t="shared" si="139"/>
        <v>AMEUBLEMENT &amp; INSTR.</v>
      </c>
      <c r="N145" s="655">
        <f>+IF(OR($Q145=Parametres!$G$2,$Q145=Parametres!$G$3),I145,C145)</f>
        <v>440156.49</v>
      </c>
      <c r="O145" s="655">
        <f>+IF(OR($Q145=Parametres!$G$2,$Q145=Parametres!$G$3),J145,D145)</f>
        <v>0</v>
      </c>
      <c r="P145" s="655">
        <f>+IF(OR($Q145=Parametres!$G$2,$Q145=Parametres!$G$3),K145,E145)</f>
        <v>440156.49</v>
      </c>
      <c r="Q145" s="654" t="str">
        <f t="shared" si="140"/>
        <v>2-Actifs</v>
      </c>
      <c r="R145" s="653" t="str">
        <f t="shared" si="141"/>
        <v>1700</v>
      </c>
      <c r="S145" s="654">
        <f t="shared" si="142"/>
        <v>0</v>
      </c>
      <c r="T145" s="656" t="str">
        <f>+VLOOKUP($L145,Data_Validation!$A:$D,1,0)</f>
        <v>1762</v>
      </c>
      <c r="U145" s="656" t="str">
        <f>+VLOOKUP($L145,Data_Validation!$A:$D,3,0)</f>
        <v>Bilan</v>
      </c>
      <c r="V145" s="656" t="str">
        <f>+VLOOKUP($L145,Data_Validation!$A:$D,4,0)</f>
        <v>Mobilier</v>
      </c>
      <c r="W145" s="656" t="str">
        <f>+VLOOKUP($L145,Data_Validation!$A:$E,5,0)</f>
        <v>$</v>
      </c>
      <c r="X145" s="656">
        <f>+VLOOKUP($L145,Data_Validation!$A:$F,6,0)</f>
        <v>0</v>
      </c>
    </row>
    <row r="146" spans="1:24" ht="15" customHeight="1">
      <c r="A146" s="1213" t="s">
        <v>892</v>
      </c>
      <c r="B146" s="1213" t="s">
        <v>1612</v>
      </c>
      <c r="C146" s="1215">
        <v>-420516.22</v>
      </c>
      <c r="D146" s="1215">
        <v>-843.51</v>
      </c>
      <c r="E146" s="1215">
        <v>-421359.73</v>
      </c>
      <c r="F146" s="1213" t="s">
        <v>816</v>
      </c>
      <c r="G146" s="1213" t="s">
        <v>885</v>
      </c>
      <c r="H146" s="650"/>
      <c r="I146" s="652"/>
      <c r="J146" s="652"/>
      <c r="K146" s="652"/>
      <c r="L146" s="653" t="str">
        <f t="shared" si="138"/>
        <v>1763</v>
      </c>
      <c r="M146" s="654" t="str">
        <f t="shared" si="139"/>
        <v>AMORTISS.AMEUBL.INSTR.</v>
      </c>
      <c r="N146" s="655">
        <f>+IF(OR($Q146=Parametres!$G$2,$Q146=Parametres!$G$3),I146,C146)</f>
        <v>-420516.22</v>
      </c>
      <c r="O146" s="655">
        <f>+IF(OR($Q146=Parametres!$G$2,$Q146=Parametres!$G$3),J146,D146)</f>
        <v>-843.51</v>
      </c>
      <c r="P146" s="655">
        <f>+IF(OR($Q146=Parametres!$G$2,$Q146=Parametres!$G$3),K146,E146)</f>
        <v>-421359.73</v>
      </c>
      <c r="Q146" s="654" t="str">
        <f t="shared" si="140"/>
        <v>2-Actifs</v>
      </c>
      <c r="R146" s="653" t="str">
        <f t="shared" si="141"/>
        <v>1700</v>
      </c>
      <c r="S146" s="654">
        <f t="shared" si="142"/>
        <v>0</v>
      </c>
      <c r="T146" s="656" t="str">
        <f>+VLOOKUP($L146,Data_Validation!$A:$D,1,0)</f>
        <v>1763</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213" t="s">
        <v>893</v>
      </c>
      <c r="B147" s="1213" t="s">
        <v>1615</v>
      </c>
      <c r="C147" s="1215">
        <v>3987.88</v>
      </c>
      <c r="D147" s="1215">
        <v>0</v>
      </c>
      <c r="E147" s="1215">
        <v>3987.88</v>
      </c>
      <c r="F147" s="1213" t="s">
        <v>816</v>
      </c>
      <c r="G147" s="1213" t="s">
        <v>885</v>
      </c>
      <c r="H147" s="650"/>
      <c r="I147" s="652"/>
      <c r="J147" s="652"/>
      <c r="K147" s="652"/>
      <c r="L147" s="653" t="str">
        <f t="shared" si="138"/>
        <v>1772</v>
      </c>
      <c r="M147" s="654" t="str">
        <f t="shared" si="139"/>
        <v>VEHICULES DE CIE</v>
      </c>
      <c r="N147" s="655">
        <f>+IF(OR($Q147=Parametres!$G$2,$Q147=Parametres!$G$3),I147,C147)</f>
        <v>3987.88</v>
      </c>
      <c r="O147" s="655">
        <f>+IF(OR($Q147=Parametres!$G$2,$Q147=Parametres!$G$3),J147,D147)</f>
        <v>0</v>
      </c>
      <c r="P147" s="655">
        <f>+IF(OR($Q147=Parametres!$G$2,$Q147=Parametres!$G$3),K147,E147)</f>
        <v>3987.88</v>
      </c>
      <c r="Q147" s="654" t="str">
        <f t="shared" si="140"/>
        <v>2-Actifs</v>
      </c>
      <c r="R147" s="653" t="str">
        <f t="shared" si="141"/>
        <v>1700</v>
      </c>
      <c r="S147" s="654">
        <f t="shared" si="142"/>
        <v>0</v>
      </c>
      <c r="T147" s="656" t="str">
        <f>+VLOOKUP($L147,Data_Validation!$A:$D,1,0)</f>
        <v>1772</v>
      </c>
      <c r="U147" s="656" t="str">
        <f>+VLOOKUP($L147,Data_Validation!$A:$D,3,0)</f>
        <v>Bilan</v>
      </c>
      <c r="V147" s="656" t="str">
        <f>+VLOOKUP($L147,Data_Validation!$A:$D,4,0)</f>
        <v>Équipements Service</v>
      </c>
      <c r="W147" s="656" t="str">
        <f>+VLOOKUP($L147,Data_Validation!$A:$E,5,0)</f>
        <v>$</v>
      </c>
      <c r="X147" s="656">
        <f>+VLOOKUP($L147,Data_Validation!$A:$F,6,0)</f>
        <v>0</v>
      </c>
    </row>
    <row r="148" spans="1:24" ht="15" customHeight="1">
      <c r="A148" s="1213" t="s">
        <v>894</v>
      </c>
      <c r="B148" s="1213" t="s">
        <v>1618</v>
      </c>
      <c r="C148" s="1215">
        <v>-3987.88</v>
      </c>
      <c r="D148" s="1215">
        <v>0</v>
      </c>
      <c r="E148" s="1215">
        <v>-3987.88</v>
      </c>
      <c r="F148" s="1213" t="s">
        <v>816</v>
      </c>
      <c r="G148" s="1213" t="s">
        <v>885</v>
      </c>
      <c r="H148" s="650"/>
      <c r="I148" s="663"/>
      <c r="J148" s="663"/>
      <c r="K148" s="663"/>
      <c r="L148" s="653" t="str">
        <f t="shared" si="138"/>
        <v>1773</v>
      </c>
      <c r="M148" s="654" t="str">
        <f t="shared" si="139"/>
        <v>DEPRECIATION &amp; AMORT.</v>
      </c>
      <c r="N148" s="655">
        <f>+IF(OR($Q148=Parametres!$G$2,$Q148=Parametres!$G$3),I148,C148)</f>
        <v>-3987.88</v>
      </c>
      <c r="O148" s="655">
        <f>+IF(OR($Q148=Parametres!$G$2,$Q148=Parametres!$G$3),J148,D148)</f>
        <v>0</v>
      </c>
      <c r="P148" s="655">
        <f>+IF(OR($Q148=Parametres!$G$2,$Q148=Parametres!$G$3),K148,E148)</f>
        <v>-3987.88</v>
      </c>
      <c r="Q148" s="654" t="str">
        <f t="shared" si="140"/>
        <v>2-Actifs</v>
      </c>
      <c r="R148" s="653" t="str">
        <f t="shared" si="141"/>
        <v>1700</v>
      </c>
      <c r="S148" s="654">
        <f t="shared" si="142"/>
        <v>0</v>
      </c>
      <c r="T148" s="656" t="str">
        <f>+VLOOKUP($L148,Data_Validation!$A:$D,1,0)</f>
        <v>1773</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213" t="s">
        <v>895</v>
      </c>
      <c r="B149" s="1213" t="s">
        <v>1621</v>
      </c>
      <c r="C149" s="1215">
        <v>170676.74</v>
      </c>
      <c r="D149" s="1215">
        <v>7008.3</v>
      </c>
      <c r="E149" s="1215">
        <v>177685.04</v>
      </c>
      <c r="F149" s="1213" t="s">
        <v>816</v>
      </c>
      <c r="G149" s="1213" t="s">
        <v>885</v>
      </c>
      <c r="H149" s="650"/>
      <c r="I149" s="663"/>
      <c r="J149" s="663"/>
      <c r="K149" s="663"/>
      <c r="L149" s="653" t="str">
        <f t="shared" si="138"/>
        <v>1786</v>
      </c>
      <c r="M149" s="654" t="str">
        <f t="shared" si="139"/>
        <v>EQUIPEMENT INFORMATIQUE</v>
      </c>
      <c r="N149" s="655">
        <f>+IF(OR($Q149=Parametres!$G$2,$Q149=Parametres!$G$3),I149,C149)</f>
        <v>170676.74</v>
      </c>
      <c r="O149" s="655">
        <f>+IF(OR($Q149=Parametres!$G$2,$Q149=Parametres!$G$3),J149,D149)</f>
        <v>7008.3</v>
      </c>
      <c r="P149" s="655">
        <f>+IF(OR($Q149=Parametres!$G$2,$Q149=Parametres!$G$3),K149,E149)</f>
        <v>177685.04</v>
      </c>
      <c r="Q149" s="654" t="str">
        <f t="shared" si="140"/>
        <v>2-Actifs</v>
      </c>
      <c r="R149" s="653" t="str">
        <f t="shared" si="141"/>
        <v>1700</v>
      </c>
      <c r="S149" s="654">
        <f t="shared" si="142"/>
        <v>0</v>
      </c>
      <c r="T149" s="656" t="str">
        <f>+VLOOKUP($L149,Data_Validation!$A:$D,1,0)</f>
        <v>1786</v>
      </c>
      <c r="U149" s="656" t="str">
        <f>+VLOOKUP($L149,Data_Validation!$A:$D,3,0)</f>
        <v>Bilan</v>
      </c>
      <c r="V149" s="656" t="str">
        <f>+VLOOKUP($L149,Data_Validation!$A:$D,4,0)</f>
        <v>Équipements Informatique</v>
      </c>
      <c r="W149" s="656" t="str">
        <f>+VLOOKUP($L149,Data_Validation!$A:$E,5,0)</f>
        <v>$</v>
      </c>
      <c r="X149" s="656">
        <f>+VLOOKUP($L149,Data_Validation!$A:$F,6,0)</f>
        <v>0</v>
      </c>
    </row>
    <row r="150" spans="1:24" ht="15" customHeight="1">
      <c r="A150" s="1213" t="s">
        <v>896</v>
      </c>
      <c r="B150" s="1213" t="s">
        <v>1624</v>
      </c>
      <c r="C150" s="1215">
        <v>-132562.45000000001</v>
      </c>
      <c r="D150" s="1215">
        <v>3326.21</v>
      </c>
      <c r="E150" s="1215">
        <v>-129236.24</v>
      </c>
      <c r="F150" s="1213" t="s">
        <v>816</v>
      </c>
      <c r="G150" s="1213" t="s">
        <v>885</v>
      </c>
      <c r="H150" s="650"/>
      <c r="I150" s="652"/>
      <c r="J150" s="652"/>
      <c r="K150" s="652"/>
      <c r="L150" s="653" t="str">
        <f t="shared" si="138"/>
        <v>1787</v>
      </c>
      <c r="M150" s="654" t="str">
        <f t="shared" si="139"/>
        <v>AMORTISS.EQUIP.INFORMATIQUES</v>
      </c>
      <c r="N150" s="655">
        <f>+IF(OR($Q150=Parametres!$G$2,$Q150=Parametres!$G$3),I150,C150)</f>
        <v>-132562.45000000001</v>
      </c>
      <c r="O150" s="655">
        <f>+IF(OR($Q150=Parametres!$G$2,$Q150=Parametres!$G$3),J150,D150)</f>
        <v>3326.21</v>
      </c>
      <c r="P150" s="655">
        <f>+IF(OR($Q150=Parametres!$G$2,$Q150=Parametres!$G$3),K150,E150)</f>
        <v>-129236.24</v>
      </c>
      <c r="Q150" s="654" t="str">
        <f t="shared" si="140"/>
        <v>2-Actifs</v>
      </c>
      <c r="R150" s="653" t="str">
        <f t="shared" si="141"/>
        <v>1700</v>
      </c>
      <c r="S150" s="654">
        <f t="shared" si="142"/>
        <v>0</v>
      </c>
      <c r="T150" s="656" t="str">
        <f>+VLOOKUP($L150,Data_Validation!$A:$D,1,0)</f>
        <v>1787</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213" t="s">
        <v>897</v>
      </c>
      <c r="B151" s="1213" t="s">
        <v>1627</v>
      </c>
      <c r="C151" s="1215">
        <v>119393.66</v>
      </c>
      <c r="D151" s="1215">
        <v>0</v>
      </c>
      <c r="E151" s="1215">
        <v>119393.66</v>
      </c>
      <c r="F151" s="1213" t="s">
        <v>816</v>
      </c>
      <c r="G151" s="1213" t="s">
        <v>885</v>
      </c>
      <c r="H151" s="651"/>
      <c r="I151" s="652"/>
      <c r="J151" s="652"/>
      <c r="K151" s="652"/>
      <c r="L151" s="653" t="str">
        <f t="shared" si="138"/>
        <v>1792</v>
      </c>
      <c r="M151" s="654" t="str">
        <f t="shared" si="139"/>
        <v>ENSEIGNES</v>
      </c>
      <c r="N151" s="655">
        <f>+IF(OR($Q151=Parametres!$G$2,$Q151=Parametres!$G$3),I151,C151)</f>
        <v>119393.66</v>
      </c>
      <c r="O151" s="655">
        <f>+IF(OR($Q151=Parametres!$G$2,$Q151=Parametres!$G$3),J151,D151)</f>
        <v>0</v>
      </c>
      <c r="P151" s="655">
        <f>+IF(OR($Q151=Parametres!$G$2,$Q151=Parametres!$G$3),K151,E151)</f>
        <v>119393.66</v>
      </c>
      <c r="Q151" s="654" t="str">
        <f t="shared" si="140"/>
        <v>2-Actifs</v>
      </c>
      <c r="R151" s="653" t="str">
        <f t="shared" si="141"/>
        <v>1700</v>
      </c>
      <c r="S151" s="654">
        <f t="shared" si="142"/>
        <v>0</v>
      </c>
      <c r="T151" s="656" t="str">
        <f>+VLOOKUP($L151,Data_Validation!$A:$D,1,0)</f>
        <v>1792</v>
      </c>
      <c r="U151" s="656" t="str">
        <f>+VLOOKUP($L151,Data_Validation!$A:$D,3,0)</f>
        <v>Bilan</v>
      </c>
      <c r="V151" s="656" t="str">
        <f>+VLOOKUP($L151,Data_Validation!$A:$D,4,0)</f>
        <v>Enseigne</v>
      </c>
      <c r="W151" s="656" t="str">
        <f>+VLOOKUP($L151,Data_Validation!$A:$E,5,0)</f>
        <v>$</v>
      </c>
      <c r="X151" s="656">
        <f>+VLOOKUP($L151,Data_Validation!$A:$F,6,0)</f>
        <v>0</v>
      </c>
    </row>
    <row r="152" spans="1:24" ht="15" customHeight="1">
      <c r="A152" s="1213" t="s">
        <v>898</v>
      </c>
      <c r="B152" s="1213" t="s">
        <v>1630</v>
      </c>
      <c r="C152" s="1215">
        <v>-119393.65</v>
      </c>
      <c r="D152" s="1215">
        <v>0</v>
      </c>
      <c r="E152" s="1215">
        <v>-119393.65</v>
      </c>
      <c r="F152" s="1213" t="s">
        <v>816</v>
      </c>
      <c r="G152" s="1213" t="s">
        <v>885</v>
      </c>
      <c r="H152" s="651"/>
      <c r="I152" s="651"/>
      <c r="J152" s="651"/>
      <c r="K152" s="651"/>
      <c r="L152" s="653" t="str">
        <f t="shared" si="132"/>
        <v>1793</v>
      </c>
      <c r="M152" s="654" t="str">
        <f t="shared" si="0"/>
        <v>AMORT. CUM. ENSEIGNES</v>
      </c>
      <c r="N152" s="655">
        <f>+IF(OR($Q152=Parametres!$G$2,$Q152=Parametres!$G$3),I152,C152)</f>
        <v>-119393.65</v>
      </c>
      <c r="O152" s="655">
        <f>+IF(OR($Q152=Parametres!$G$2,$Q152=Parametres!$G$3),J152,D152)</f>
        <v>0</v>
      </c>
      <c r="P152" s="655">
        <f>+IF(OR($Q152=Parametres!$G$2,$Q152=Parametres!$G$3),K152,E152)</f>
        <v>-119393.65</v>
      </c>
      <c r="Q152" s="654" t="str">
        <f t="shared" ref="Q152:S152" si="143">+F152</f>
        <v>2-Actifs</v>
      </c>
      <c r="R152" s="653" t="str">
        <f t="shared" si="143"/>
        <v>1700</v>
      </c>
      <c r="S152" s="654">
        <f t="shared" si="143"/>
        <v>0</v>
      </c>
      <c r="T152" s="656" t="str">
        <f>+VLOOKUP($L152,Data_Validation!$A:$D,1,0)</f>
        <v>1793</v>
      </c>
      <c r="U152" s="656" t="str">
        <f>+VLOOKUP($L152,Data_Validation!$A:$D,3,0)</f>
        <v>Bilan</v>
      </c>
      <c r="V152" s="656" t="str">
        <f>+VLOOKUP($L152,Data_Validation!$A:$D,4,0)</f>
        <v>Enseigne</v>
      </c>
      <c r="W152" s="656" t="str">
        <f>+VLOOKUP($L152,Data_Validation!$A:$E,5,0)</f>
        <v>$</v>
      </c>
      <c r="X152" s="656">
        <f>+VLOOKUP($L152,Data_Validation!$A:$F,6,0)</f>
        <v>0</v>
      </c>
    </row>
    <row r="153" spans="1:24" ht="15" hidden="1" customHeight="1">
      <c r="A153" s="1213" t="s">
        <v>3336</v>
      </c>
      <c r="B153" s="1213" t="s">
        <v>899</v>
      </c>
      <c r="C153" s="1215">
        <v>723600</v>
      </c>
      <c r="D153" s="1215">
        <v>1000000</v>
      </c>
      <c r="E153" s="1215">
        <v>1723600</v>
      </c>
      <c r="F153" s="1213" t="s">
        <v>816</v>
      </c>
      <c r="G153" s="1213" t="s">
        <v>899</v>
      </c>
      <c r="H153" s="651"/>
      <c r="I153" s="652"/>
      <c r="J153" s="652"/>
      <c r="K153" s="652"/>
      <c r="L153" s="653" t="str">
        <f t="shared" si="132"/>
        <v>1804</v>
      </c>
      <c r="M153" s="654" t="str">
        <f t="shared" si="0"/>
        <v>AVANCES COMPLEXE INTERCO</v>
      </c>
      <c r="N153" s="655">
        <f>+IF(OR($Q153=Parametres!$G$2,$Q153=Parametres!$G$3),I153,C153)</f>
        <v>723600</v>
      </c>
      <c r="O153" s="655">
        <f>+IF(OR($Q153=Parametres!$G$2,$Q153=Parametres!$G$3),J153,D153)</f>
        <v>1000000</v>
      </c>
      <c r="P153" s="655">
        <f>+IF(OR($Q153=Parametres!$G$2,$Q153=Parametres!$G$3),K153,E153)</f>
        <v>1723600</v>
      </c>
      <c r="Q153" s="654" t="str">
        <f t="shared" ref="Q153:S153" si="144">+F153</f>
        <v>2-Actifs</v>
      </c>
      <c r="R153" s="653" t="str">
        <f t="shared" si="144"/>
        <v>1804</v>
      </c>
      <c r="S153" s="654">
        <f t="shared" si="144"/>
        <v>0</v>
      </c>
      <c r="T153" s="656" t="str">
        <f>+VLOOKUP($L153,Data_Validation!$A:$D,1,0)</f>
        <v>1804</v>
      </c>
      <c r="U153" s="656" t="str">
        <f>+VLOOKUP($L153,Data_Validation!$A:$D,3,0)</f>
        <v>Bilan</v>
      </c>
      <c r="V153" s="656" t="str">
        <f>+VLOOKUP($L153,Data_Validation!$A:$D,4,0)</f>
        <v>Avances à Recevoir Long Terme</v>
      </c>
      <c r="W153" s="656" t="str">
        <f>+VLOOKUP($L153,Data_Validation!$A:$E,5,0)</f>
        <v>$</v>
      </c>
      <c r="X153" s="656">
        <f>+VLOOKUP($L153,Data_Validation!$A:$F,6,0)</f>
        <v>0</v>
      </c>
    </row>
    <row r="154" spans="1:24" ht="15" hidden="1" customHeight="1">
      <c r="A154" s="1213" t="s">
        <v>900</v>
      </c>
      <c r="B154" s="1213" t="s">
        <v>1635</v>
      </c>
      <c r="C154" s="1215">
        <v>3574.04</v>
      </c>
      <c r="D154" s="1215">
        <v>462.86</v>
      </c>
      <c r="E154" s="1215">
        <v>4036.9</v>
      </c>
      <c r="F154" s="1213" t="s">
        <v>816</v>
      </c>
      <c r="G154" s="1213" t="s">
        <v>821</v>
      </c>
      <c r="H154" s="651"/>
      <c r="I154" s="651"/>
      <c r="J154" s="651"/>
      <c r="K154" s="651"/>
      <c r="L154" s="653" t="str">
        <f t="shared" si="132"/>
        <v>1806</v>
      </c>
      <c r="M154" s="654" t="str">
        <f t="shared" si="0"/>
        <v>FINANCEMENT RECEVABLE</v>
      </c>
      <c r="N154" s="655">
        <f>+IF(OR($Q154=Parametres!$G$2,$Q154=Parametres!$G$3),I154,C154)</f>
        <v>3574.04</v>
      </c>
      <c r="O154" s="655">
        <f>+IF(OR($Q154=Parametres!$G$2,$Q154=Parametres!$G$3),J154,D154)</f>
        <v>462.86</v>
      </c>
      <c r="P154" s="655">
        <f>+IF(OR($Q154=Parametres!$G$2,$Q154=Parametres!$G$3),K154,E154)</f>
        <v>4036.9</v>
      </c>
      <c r="Q154" s="654" t="str">
        <f t="shared" ref="Q154:S154" si="145">+F154</f>
        <v>2-Actifs</v>
      </c>
      <c r="R154" s="653" t="str">
        <f t="shared" si="145"/>
        <v>1382</v>
      </c>
      <c r="S154" s="654">
        <f t="shared" si="145"/>
        <v>0</v>
      </c>
      <c r="T154" s="656" t="str">
        <f>+VLOOKUP($L154,Data_Validation!$A:$D,1,0)</f>
        <v>1806</v>
      </c>
      <c r="U154" s="656" t="str">
        <f>+VLOOKUP($L154,Data_Validation!$A:$D,3,0)</f>
        <v>Bilan</v>
      </c>
      <c r="V154" s="656" t="str">
        <f>+VLOOKUP($L154,Data_Validation!$A:$D,4,0)</f>
        <v>Recevables Autres</v>
      </c>
      <c r="W154" s="656" t="str">
        <f>+VLOOKUP($L154,Data_Validation!$A:$E,5,0)</f>
        <v>$</v>
      </c>
      <c r="X154" s="656">
        <f>+VLOOKUP($L154,Data_Validation!$A:$F,6,0)</f>
        <v>0</v>
      </c>
    </row>
    <row r="155" spans="1:24" ht="15.75" hidden="1" customHeight="1">
      <c r="A155" s="1213" t="s">
        <v>901</v>
      </c>
      <c r="B155" s="1213" t="s">
        <v>903</v>
      </c>
      <c r="C155" s="1215">
        <v>-8442342.6099999994</v>
      </c>
      <c r="D155" s="1215">
        <v>1554124.95</v>
      </c>
      <c r="E155" s="1215">
        <v>-6888217.6600000001</v>
      </c>
      <c r="F155" s="1213" t="s">
        <v>902</v>
      </c>
      <c r="G155" s="1213" t="s">
        <v>903</v>
      </c>
      <c r="H155" s="651"/>
      <c r="I155" s="652"/>
      <c r="J155" s="652"/>
      <c r="K155" s="652"/>
      <c r="L155" s="653" t="str">
        <f t="shared" si="132"/>
        <v>2101</v>
      </c>
      <c r="M155" s="654" t="str">
        <f t="shared" si="0"/>
        <v>NOTE A PAYER VEH. NEUFS VOLKS</v>
      </c>
      <c r="N155" s="655">
        <f>+IF(OR($Q155=Parametres!$G$2,$Q155=Parametres!$G$3),I155,C155)</f>
        <v>-8442342.6099999994</v>
      </c>
      <c r="O155" s="655">
        <f>+IF(OR($Q155=Parametres!$G$2,$Q155=Parametres!$G$3),J155,D155)</f>
        <v>1554124.95</v>
      </c>
      <c r="P155" s="655">
        <f>+IF(OR($Q155=Parametres!$G$2,$Q155=Parametres!$G$3),K155,E155)</f>
        <v>-6888217.6600000001</v>
      </c>
      <c r="Q155" s="654" t="str">
        <f t="shared" ref="Q155:S155" si="146">+F155</f>
        <v>3-Passifs</v>
      </c>
      <c r="R155" s="653" t="str">
        <f t="shared" si="146"/>
        <v>2101</v>
      </c>
      <c r="S155" s="654">
        <f t="shared" si="146"/>
        <v>0</v>
      </c>
      <c r="T155" s="656" t="str">
        <f>+VLOOKUP($L155,Data_Validation!$A:$D,1,0)</f>
        <v>2101</v>
      </c>
      <c r="U155" s="656" t="str">
        <f>+VLOOKUP($L155,Data_Validation!$A:$D,3,0)</f>
        <v>Bilan</v>
      </c>
      <c r="V155" s="656" t="str">
        <f>+VLOOKUP($L155,Data_Validation!$A:$D,4,0)</f>
        <v>Effet à Payer Véhicules Neufs</v>
      </c>
      <c r="W155" s="656" t="str">
        <f>+VLOOKUP($L155,Data_Validation!$A:$E,5,0)</f>
        <v>$</v>
      </c>
      <c r="X155" s="656">
        <f>+VLOOKUP($L155,Data_Validation!$A:$F,6,0)</f>
        <v>0</v>
      </c>
    </row>
    <row r="156" spans="1:24" ht="15" hidden="1" customHeight="1">
      <c r="A156" s="1213" t="s">
        <v>904</v>
      </c>
      <c r="B156" s="1213" t="s">
        <v>905</v>
      </c>
      <c r="C156" s="1215">
        <v>-362100.6</v>
      </c>
      <c r="D156" s="1215">
        <v>-94744.17</v>
      </c>
      <c r="E156" s="1215">
        <v>-456844.77</v>
      </c>
      <c r="F156" s="1213" t="s">
        <v>902</v>
      </c>
      <c r="G156" s="1213" t="s">
        <v>905</v>
      </c>
      <c r="H156" s="651"/>
      <c r="I156" s="651"/>
      <c r="J156" s="651"/>
      <c r="K156" s="651"/>
      <c r="L156" s="653" t="str">
        <f t="shared" si="132"/>
        <v>2103</v>
      </c>
      <c r="M156" s="654" t="str">
        <f t="shared" si="0"/>
        <v>NOTE PAYABLE-FIN. VEH. USAG.</v>
      </c>
      <c r="N156" s="655">
        <f>+IF(OR($Q156=Parametres!$G$2,$Q156=Parametres!$G$3),I156,C156)</f>
        <v>-362100.6</v>
      </c>
      <c r="O156" s="655">
        <f>+IF(OR($Q156=Parametres!$G$2,$Q156=Parametres!$G$3),J156,D156)</f>
        <v>-94744.17</v>
      </c>
      <c r="P156" s="655">
        <f>+IF(OR($Q156=Parametres!$G$2,$Q156=Parametres!$G$3),K156,E156)</f>
        <v>-456844.77</v>
      </c>
      <c r="Q156" s="654" t="str">
        <f t="shared" ref="Q156:S156" si="147">+F156</f>
        <v>3-Passifs</v>
      </c>
      <c r="R156" s="653" t="str">
        <f t="shared" si="147"/>
        <v>2103</v>
      </c>
      <c r="S156" s="654">
        <f t="shared" si="147"/>
        <v>0</v>
      </c>
      <c r="T156" s="656" t="str">
        <f>+VLOOKUP($L156,Data_Validation!$A:$D,1,0)</f>
        <v>2103</v>
      </c>
      <c r="U156" s="656" t="str">
        <f>+VLOOKUP($L156,Data_Validation!$A:$D,3,0)</f>
        <v>Bilan</v>
      </c>
      <c r="V156" s="656" t="str">
        <f>+VLOOKUP($L156,Data_Validation!$A:$D,4,0)</f>
        <v>Effet à Payer Véhicules Usagés</v>
      </c>
      <c r="W156" s="656" t="str">
        <f>+VLOOKUP($L156,Data_Validation!$A:$E,5,0)</f>
        <v>$</v>
      </c>
      <c r="X156" s="656">
        <f>+VLOOKUP($L156,Data_Validation!$A:$F,6,0)</f>
        <v>0</v>
      </c>
    </row>
    <row r="157" spans="1:24" ht="15" hidden="1" customHeight="1">
      <c r="A157" s="1213" t="s">
        <v>908</v>
      </c>
      <c r="B157" s="1213" t="s">
        <v>909</v>
      </c>
      <c r="C157" s="1215">
        <v>0</v>
      </c>
      <c r="D157" s="1215">
        <v>-269.38</v>
      </c>
      <c r="E157" s="1215">
        <v>-269.38</v>
      </c>
      <c r="F157" s="1213" t="s">
        <v>902</v>
      </c>
      <c r="G157" s="1213" t="s">
        <v>909</v>
      </c>
      <c r="H157" s="650"/>
      <c r="I157" s="652"/>
      <c r="J157" s="652"/>
      <c r="K157" s="652"/>
      <c r="L157" s="653" t="str">
        <f t="shared" si="132"/>
        <v>2220</v>
      </c>
      <c r="M157" s="654" t="str">
        <f t="shared" si="0"/>
        <v>TPA A PAYER</v>
      </c>
      <c r="N157" s="655">
        <f>+IF(OR($Q157=Parametres!$G$2,$Q157=Parametres!$G$3),I157,C157)</f>
        <v>0</v>
      </c>
      <c r="O157" s="655">
        <f>+IF(OR($Q157=Parametres!$G$2,$Q157=Parametres!$G$3),J157,D157)</f>
        <v>-269.38</v>
      </c>
      <c r="P157" s="655">
        <f>+IF(OR($Q157=Parametres!$G$2,$Q157=Parametres!$G$3),K157,E157)</f>
        <v>-269.38</v>
      </c>
      <c r="Q157" s="654" t="str">
        <f t="shared" ref="Q157:S157" si="148">+F157</f>
        <v>3-Passifs</v>
      </c>
      <c r="R157" s="653" t="str">
        <f t="shared" si="148"/>
        <v>2220</v>
      </c>
      <c r="S157" s="654">
        <f t="shared" si="148"/>
        <v>0</v>
      </c>
      <c r="T157" s="656" t="str">
        <f>+VLOOKUP($L157,Data_Validation!$A:$D,1,0)</f>
        <v>2220</v>
      </c>
      <c r="U157" s="656" t="str">
        <f>+VLOOKUP($L157,Data_Validation!$A:$D,3,0)</f>
        <v>Bilan</v>
      </c>
      <c r="V157" s="656" t="str">
        <f>+VLOOKUP($L157,Data_Validation!$A:$D,4,0)</f>
        <v>Taxes de Vente à Payer</v>
      </c>
      <c r="W157" s="656" t="str">
        <f>+VLOOKUP($L157,Data_Validation!$A:$E,5,0)</f>
        <v>$</v>
      </c>
      <c r="X157" s="656">
        <f>+VLOOKUP($L157,Data_Validation!$A:$F,6,0)</f>
        <v>0</v>
      </c>
    </row>
    <row r="158" spans="1:24" ht="15" hidden="1" customHeight="1">
      <c r="A158" s="1213" t="s">
        <v>910</v>
      </c>
      <c r="B158" s="1213" t="s">
        <v>911</v>
      </c>
      <c r="C158" s="1215">
        <v>-129669.36</v>
      </c>
      <c r="D158" s="1215">
        <v>44521.29</v>
      </c>
      <c r="E158" s="1215">
        <v>-85148.07</v>
      </c>
      <c r="F158" s="1213" t="s">
        <v>902</v>
      </c>
      <c r="G158" s="1213" t="s">
        <v>911</v>
      </c>
      <c r="H158" s="650"/>
      <c r="I158" s="663"/>
      <c r="J158" s="663"/>
      <c r="K158" s="663"/>
      <c r="L158" s="653" t="str">
        <f t="shared" si="132"/>
        <v>2221</v>
      </c>
      <c r="M158" s="654" t="str">
        <f t="shared" si="0"/>
        <v>TVQ A PAYER</v>
      </c>
      <c r="N158" s="655">
        <f>+IF(OR($Q158=Parametres!$G$2,$Q158=Parametres!$G$3),I158,C158)</f>
        <v>-129669.36</v>
      </c>
      <c r="O158" s="655">
        <f>+IF(OR($Q158=Parametres!$G$2,$Q158=Parametres!$G$3),J158,D158)</f>
        <v>44521.29</v>
      </c>
      <c r="P158" s="655">
        <f>+IF(OR($Q158=Parametres!$G$2,$Q158=Parametres!$G$3),K158,E158)</f>
        <v>-85148.07</v>
      </c>
      <c r="Q158" s="654" t="str">
        <f t="shared" ref="Q158:S158" si="149">+F158</f>
        <v>3-Passifs</v>
      </c>
      <c r="R158" s="653" t="str">
        <f t="shared" si="149"/>
        <v>2221</v>
      </c>
      <c r="S158" s="654">
        <f t="shared" si="149"/>
        <v>0</v>
      </c>
      <c r="T158" s="656" t="str">
        <f>+VLOOKUP($L158,Data_Validation!$A:$D,1,0)</f>
        <v>2221</v>
      </c>
      <c r="U158" s="656" t="str">
        <f>+VLOOKUP($L158,Data_Validation!$A:$D,3,0)</f>
        <v>Bilan</v>
      </c>
      <c r="V158" s="656" t="str">
        <f>+VLOOKUP($L158,Data_Validation!$A:$D,4,0)</f>
        <v>Taxes de Vente à Payer</v>
      </c>
      <c r="W158" s="656" t="str">
        <f>+VLOOKUP($L158,Data_Validation!$A:$E,5,0)</f>
        <v>$</v>
      </c>
      <c r="X158" s="656">
        <f>+VLOOKUP($L158,Data_Validation!$A:$F,6,0)</f>
        <v>0</v>
      </c>
    </row>
    <row r="159" spans="1:24" ht="15.75" hidden="1" customHeight="1">
      <c r="A159" s="1213" t="s">
        <v>912</v>
      </c>
      <c r="B159" s="1213" t="s">
        <v>1652</v>
      </c>
      <c r="C159" s="1215">
        <v>69436.929999999993</v>
      </c>
      <c r="D159" s="1215">
        <v>-2149.58</v>
      </c>
      <c r="E159" s="1215">
        <v>67287.350000000006</v>
      </c>
      <c r="F159" s="1213" t="s">
        <v>902</v>
      </c>
      <c r="G159" s="1213" t="s">
        <v>911</v>
      </c>
      <c r="H159" s="650"/>
      <c r="I159" s="664"/>
      <c r="J159" s="664"/>
      <c r="K159" s="664"/>
      <c r="L159" s="653" t="str">
        <f t="shared" si="132"/>
        <v>2222</v>
      </c>
      <c r="M159" s="654" t="str">
        <f t="shared" si="0"/>
        <v>TVQ A RECEVOIR</v>
      </c>
      <c r="N159" s="655">
        <f>+IF(OR($Q159=Parametres!$G$2,$Q159=Parametres!$G$3),I159,C159)</f>
        <v>69436.929999999993</v>
      </c>
      <c r="O159" s="655">
        <f>+IF(OR($Q159=Parametres!$G$2,$Q159=Parametres!$G$3),J159,D159)</f>
        <v>-2149.58</v>
      </c>
      <c r="P159" s="655">
        <f>+IF(OR($Q159=Parametres!$G$2,$Q159=Parametres!$G$3),K159,E159)</f>
        <v>67287.350000000006</v>
      </c>
      <c r="Q159" s="654" t="str">
        <f t="shared" ref="Q159:S159" si="150">+F159</f>
        <v>3-Passifs</v>
      </c>
      <c r="R159" s="653" t="str">
        <f t="shared" si="150"/>
        <v>2221</v>
      </c>
      <c r="S159" s="654">
        <f t="shared" si="150"/>
        <v>0</v>
      </c>
      <c r="T159" s="656" t="str">
        <f>+VLOOKUP($L159,Data_Validation!$A:$D,1,0)</f>
        <v>2222</v>
      </c>
      <c r="U159" s="656" t="str">
        <f>+VLOOKUP($L159,Data_Validation!$A:$D,3,0)</f>
        <v>Bilan</v>
      </c>
      <c r="V159" s="656" t="str">
        <f>+VLOOKUP($L159,Data_Validation!$A:$D,4,0)</f>
        <v>Taxes de Vente à Payer</v>
      </c>
      <c r="W159" s="656" t="str">
        <f>+VLOOKUP($L159,Data_Validation!$A:$E,5,0)</f>
        <v>$</v>
      </c>
      <c r="X159" s="656">
        <f>+VLOOKUP($L159,Data_Validation!$A:$F,6,0)</f>
        <v>0</v>
      </c>
    </row>
    <row r="160" spans="1:24" ht="15" hidden="1" customHeight="1">
      <c r="A160" s="1213" t="s">
        <v>913</v>
      </c>
      <c r="B160" s="1213" t="s">
        <v>914</v>
      </c>
      <c r="C160" s="1215">
        <v>-231138.56</v>
      </c>
      <c r="D160" s="1215">
        <v>41339.46</v>
      </c>
      <c r="E160" s="1215">
        <v>-189799.1</v>
      </c>
      <c r="F160" s="1213" t="s">
        <v>902</v>
      </c>
      <c r="G160" s="1213" t="s">
        <v>914</v>
      </c>
      <c r="H160" s="650"/>
      <c r="I160" s="663"/>
      <c r="J160" s="663"/>
      <c r="K160" s="663"/>
      <c r="L160" s="653" t="str">
        <f t="shared" si="132"/>
        <v>2223</v>
      </c>
      <c r="M160" s="654" t="str">
        <f t="shared" si="0"/>
        <v>TPS A PAYER</v>
      </c>
      <c r="N160" s="655">
        <f>+IF(OR($Q160=Parametres!$G$2,$Q160=Parametres!$G$3),I160,C160)</f>
        <v>-231138.56</v>
      </c>
      <c r="O160" s="655">
        <f>+IF(OR($Q160=Parametres!$G$2,$Q160=Parametres!$G$3),J160,D160)</f>
        <v>41339.46</v>
      </c>
      <c r="P160" s="655">
        <f>+IF(OR($Q160=Parametres!$G$2,$Q160=Parametres!$G$3),K160,E160)</f>
        <v>-189799.1</v>
      </c>
      <c r="Q160" s="654" t="str">
        <f t="shared" ref="Q160:S160" si="151">+F160</f>
        <v>3-Passifs</v>
      </c>
      <c r="R160" s="653" t="str">
        <f t="shared" si="151"/>
        <v>2223</v>
      </c>
      <c r="S160" s="654">
        <f t="shared" si="151"/>
        <v>0</v>
      </c>
      <c r="T160" s="656" t="str">
        <f>+VLOOKUP($L160,Data_Validation!$A:$D,1,0)</f>
        <v>2223</v>
      </c>
      <c r="U160" s="656" t="str">
        <f>+VLOOKUP($L160,Data_Validation!$A:$D,3,0)</f>
        <v>Bilan</v>
      </c>
      <c r="V160" s="656" t="str">
        <f>+VLOOKUP($L160,Data_Validation!$A:$D,4,0)</f>
        <v>Taxes de Vente à Payer</v>
      </c>
      <c r="W160" s="656" t="str">
        <f>+VLOOKUP($L160,Data_Validation!$A:$E,5,0)</f>
        <v>$</v>
      </c>
      <c r="X160" s="656">
        <f>+VLOOKUP($L160,Data_Validation!$A:$F,6,0)</f>
        <v>0</v>
      </c>
    </row>
    <row r="161" spans="1:24" ht="15" hidden="1" customHeight="1">
      <c r="A161" s="1213" t="s">
        <v>915</v>
      </c>
      <c r="B161" s="1213" t="s">
        <v>1657</v>
      </c>
      <c r="C161" s="1215">
        <v>162152.07999999999</v>
      </c>
      <c r="D161" s="1215">
        <v>-45429.06</v>
      </c>
      <c r="E161" s="1215">
        <v>116723.02</v>
      </c>
      <c r="F161" s="1213" t="s">
        <v>902</v>
      </c>
      <c r="G161" s="1213" t="s">
        <v>914</v>
      </c>
      <c r="H161" s="650"/>
      <c r="I161" s="664"/>
      <c r="J161" s="664"/>
      <c r="K161" s="664"/>
      <c r="L161" s="653" t="str">
        <f t="shared" si="132"/>
        <v>2224</v>
      </c>
      <c r="M161" s="654" t="str">
        <f t="shared" si="0"/>
        <v>TPS A RECEVOIR</v>
      </c>
      <c r="N161" s="655">
        <f>+IF(OR($Q161=Parametres!$G$2,$Q161=Parametres!$G$3),I161,C161)</f>
        <v>162152.07999999999</v>
      </c>
      <c r="O161" s="655">
        <f>+IF(OR($Q161=Parametres!$G$2,$Q161=Parametres!$G$3),J161,D161)</f>
        <v>-45429.06</v>
      </c>
      <c r="P161" s="655">
        <f>+IF(OR($Q161=Parametres!$G$2,$Q161=Parametres!$G$3),K161,E161)</f>
        <v>116723.02</v>
      </c>
      <c r="Q161" s="654" t="str">
        <f t="shared" ref="Q161:S161" si="152">+F161</f>
        <v>3-Passifs</v>
      </c>
      <c r="R161" s="653" t="str">
        <f t="shared" si="152"/>
        <v>2223</v>
      </c>
      <c r="S161" s="654">
        <f t="shared" si="152"/>
        <v>0</v>
      </c>
      <c r="T161" s="656" t="str">
        <f>+VLOOKUP($L161,Data_Validation!$A:$D,1,0)</f>
        <v>2224</v>
      </c>
      <c r="U161" s="656" t="str">
        <f>+VLOOKUP($L161,Data_Validation!$A:$D,3,0)</f>
        <v>Bilan</v>
      </c>
      <c r="V161" s="656" t="str">
        <f>+VLOOKUP($L161,Data_Validation!$A:$D,4,0)</f>
        <v>Taxes de Vente à Payer</v>
      </c>
      <c r="W161" s="656" t="str">
        <f>+VLOOKUP($L161,Data_Validation!$A:$E,5,0)</f>
        <v>$</v>
      </c>
      <c r="X161" s="656">
        <f>+VLOOKUP($L161,Data_Validation!$A:$F,6,0)</f>
        <v>0</v>
      </c>
    </row>
    <row r="162" spans="1:24" ht="15" hidden="1" customHeight="1">
      <c r="A162" s="1213" t="s">
        <v>916</v>
      </c>
      <c r="B162" s="1213" t="s">
        <v>1660</v>
      </c>
      <c r="C162" s="1215">
        <v>-1890</v>
      </c>
      <c r="D162" s="1215">
        <v>499.5</v>
      </c>
      <c r="E162" s="1215">
        <v>-1390.5</v>
      </c>
      <c r="F162" s="1213" t="s">
        <v>902</v>
      </c>
      <c r="G162" s="1213" t="s">
        <v>911</v>
      </c>
      <c r="H162" s="651"/>
      <c r="I162" s="652"/>
      <c r="J162" s="652"/>
      <c r="K162" s="652"/>
      <c r="L162" s="653" t="str">
        <f t="shared" si="132"/>
        <v>2225</v>
      </c>
      <c r="M162" s="654" t="str">
        <f t="shared" si="0"/>
        <v>DROIT SUR PNEUS</v>
      </c>
      <c r="N162" s="655">
        <f>+IF(OR($Q162=Parametres!$G$2,$Q162=Parametres!$G$3),I162,C162)</f>
        <v>-1890</v>
      </c>
      <c r="O162" s="655">
        <f>+IF(OR($Q162=Parametres!$G$2,$Q162=Parametres!$G$3),J162,D162)</f>
        <v>499.5</v>
      </c>
      <c r="P162" s="655">
        <f>+IF(OR($Q162=Parametres!$G$2,$Q162=Parametres!$G$3),K162,E162)</f>
        <v>-1390.5</v>
      </c>
      <c r="Q162" s="654" t="str">
        <f t="shared" ref="Q162:S162" si="153">+F162</f>
        <v>3-Passifs</v>
      </c>
      <c r="R162" s="653" t="str">
        <f t="shared" si="153"/>
        <v>2221</v>
      </c>
      <c r="S162" s="654">
        <f t="shared" si="153"/>
        <v>0</v>
      </c>
      <c r="T162" s="656" t="str">
        <f>+VLOOKUP($L162,Data_Validation!$A:$D,1,0)</f>
        <v>2225</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hidden="1" customHeight="1">
      <c r="A163" s="1213" t="s">
        <v>917</v>
      </c>
      <c r="B163" s="1213" t="s">
        <v>1663</v>
      </c>
      <c r="C163" s="1215">
        <v>-157705.89000000001</v>
      </c>
      <c r="D163" s="1215">
        <v>129045.81</v>
      </c>
      <c r="E163" s="1215">
        <v>-28660.080000000002</v>
      </c>
      <c r="F163" s="1213" t="s">
        <v>902</v>
      </c>
      <c r="G163" s="1213" t="s">
        <v>918</v>
      </c>
      <c r="H163" s="651"/>
      <c r="I163" s="660"/>
      <c r="J163" s="651"/>
      <c r="K163" s="660"/>
      <c r="L163" s="653" t="str">
        <f t="shared" si="132"/>
        <v>2281</v>
      </c>
      <c r="M163" s="654" t="str">
        <f t="shared" si="0"/>
        <v>LIEN A PAYER</v>
      </c>
      <c r="N163" s="655">
        <f>+IF(OR($Q163=Parametres!$G$2,$Q163=Parametres!$G$3),I163,C163)</f>
        <v>-157705.89000000001</v>
      </c>
      <c r="O163" s="655">
        <f>+IF(OR($Q163=Parametres!$G$2,$Q163=Parametres!$G$3),J163,D163)</f>
        <v>129045.81</v>
      </c>
      <c r="P163" s="655">
        <f>+IF(OR($Q163=Parametres!$G$2,$Q163=Parametres!$G$3),K163,E163)</f>
        <v>-28660.080000000002</v>
      </c>
      <c r="Q163" s="654" t="str">
        <f t="shared" ref="Q163:S163" si="154">+F163</f>
        <v>3-Passifs</v>
      </c>
      <c r="R163" s="653" t="str">
        <f t="shared" si="154"/>
        <v>2283</v>
      </c>
      <c r="S163" s="654">
        <f t="shared" si="154"/>
        <v>0</v>
      </c>
      <c r="T163" s="656" t="str">
        <f>+VLOOKUP($L163,Data_Validation!$A:$D,1,0)</f>
        <v>2281</v>
      </c>
      <c r="U163" s="656" t="str">
        <f>+VLOOKUP($L163,Data_Validation!$A:$D,3,0)</f>
        <v>Bilan</v>
      </c>
      <c r="V163" s="656" t="str">
        <f>+VLOOKUP($L163,Data_Validation!$A:$D,4,0)</f>
        <v>Autres Comptes à Payer</v>
      </c>
      <c r="W163" s="656" t="str">
        <f>+VLOOKUP($L163,Data_Validation!$A:$E,5,0)</f>
        <v>$</v>
      </c>
      <c r="X163" s="656">
        <f>+VLOOKUP($L163,Data_Validation!$A:$F,6,0)</f>
        <v>0</v>
      </c>
    </row>
    <row r="164" spans="1:24" ht="15" hidden="1" customHeight="1">
      <c r="A164" s="1213" t="s">
        <v>919</v>
      </c>
      <c r="B164" s="1213" t="s">
        <v>918</v>
      </c>
      <c r="C164" s="1215">
        <v>-9420.5400000000009</v>
      </c>
      <c r="D164" s="1215">
        <v>9420.5400000000009</v>
      </c>
      <c r="E164" s="1215">
        <v>0</v>
      </c>
      <c r="F164" s="1213" t="s">
        <v>902</v>
      </c>
      <c r="G164" s="1213" t="s">
        <v>918</v>
      </c>
      <c r="H164" s="651"/>
      <c r="I164" s="651"/>
      <c r="J164" s="651"/>
      <c r="K164" s="651"/>
      <c r="L164" s="653" t="str">
        <f t="shared" si="132"/>
        <v>2283</v>
      </c>
      <c r="M164" s="654" t="str">
        <f t="shared" si="0"/>
        <v>PLAQUE A PAYER</v>
      </c>
      <c r="N164" s="655">
        <f>+IF(OR($Q164=Parametres!$G$2,$Q164=Parametres!$G$3),I164,C164)</f>
        <v>-9420.5400000000009</v>
      </c>
      <c r="O164" s="655">
        <f>+IF(OR($Q164=Parametres!$G$2,$Q164=Parametres!$G$3),J164,D164)</f>
        <v>9420.5400000000009</v>
      </c>
      <c r="P164" s="655">
        <f>+IF(OR($Q164=Parametres!$G$2,$Q164=Parametres!$G$3),K164,E164)</f>
        <v>0</v>
      </c>
      <c r="Q164" s="654" t="str">
        <f t="shared" ref="Q164:S164" si="155">+F164</f>
        <v>3-Passifs</v>
      </c>
      <c r="R164" s="653" t="str">
        <f t="shared" si="155"/>
        <v>2283</v>
      </c>
      <c r="S164" s="654">
        <f t="shared" si="155"/>
        <v>0</v>
      </c>
      <c r="T164" s="656" t="str">
        <f>+VLOOKUP($L164,Data_Validation!$A:$D,1,0)</f>
        <v>2283</v>
      </c>
      <c r="U164" s="656" t="str">
        <f>+VLOOKUP($L164,Data_Validation!$A:$D,3,0)</f>
        <v>Bilan</v>
      </c>
      <c r="V164" s="656" t="str">
        <f>+VLOOKUP($L164,Data_Validation!$A:$D,4,0)</f>
        <v>Autres Comptes à Payer</v>
      </c>
      <c r="W164" s="656" t="str">
        <f>+VLOOKUP($L164,Data_Validation!$A:$E,5,0)</f>
        <v>$</v>
      </c>
      <c r="X164" s="656">
        <f>+VLOOKUP($L164,Data_Validation!$A:$F,6,0)</f>
        <v>0</v>
      </c>
    </row>
    <row r="165" spans="1:24" ht="15" hidden="1" customHeight="1">
      <c r="A165" s="1213" t="s">
        <v>920</v>
      </c>
      <c r="B165" s="1213" t="s">
        <v>1668</v>
      </c>
      <c r="C165" s="1215">
        <v>-59172.53</v>
      </c>
      <c r="D165" s="1215">
        <v>10788.33</v>
      </c>
      <c r="E165" s="1215">
        <v>-48384.2</v>
      </c>
      <c r="F165" s="1213" t="s">
        <v>902</v>
      </c>
      <c r="G165" s="1213" t="s">
        <v>918</v>
      </c>
      <c r="H165" s="651"/>
      <c r="I165" s="660"/>
      <c r="J165" s="660"/>
      <c r="K165" s="660"/>
      <c r="L165" s="653" t="str">
        <f t="shared" si="132"/>
        <v>2285</v>
      </c>
      <c r="M165" s="654" t="str">
        <f t="shared" si="0"/>
        <v>PROTECTIONS A PAYER</v>
      </c>
      <c r="N165" s="655">
        <f>+IF(OR($Q165=Parametres!$G$2,$Q165=Parametres!$G$3),I165,C165)</f>
        <v>-59172.53</v>
      </c>
      <c r="O165" s="655">
        <f>+IF(OR($Q165=Parametres!$G$2,$Q165=Parametres!$G$3),J165,D165)</f>
        <v>10788.33</v>
      </c>
      <c r="P165" s="655">
        <f>+IF(OR($Q165=Parametres!$G$2,$Q165=Parametres!$G$3),K165,E165)</f>
        <v>-48384.2</v>
      </c>
      <c r="Q165" s="654" t="str">
        <f t="shared" ref="Q165:S165" si="156">+F165</f>
        <v>3-Passifs</v>
      </c>
      <c r="R165" s="653" t="str">
        <f t="shared" si="156"/>
        <v>2283</v>
      </c>
      <c r="S165" s="654">
        <f t="shared" si="156"/>
        <v>0</v>
      </c>
      <c r="T165" s="656" t="str">
        <f>+VLOOKUP($L165,Data_Validation!$A:$D,1,0)</f>
        <v>2285</v>
      </c>
      <c r="U165" s="656" t="str">
        <f>+VLOOKUP($L165,Data_Validation!$A:$D,3,0)</f>
        <v>Bilan</v>
      </c>
      <c r="V165" s="656" t="str">
        <f>+VLOOKUP($L165,Data_Validation!$A:$D,4,0)</f>
        <v>Autres Comptes à Payer</v>
      </c>
      <c r="W165" s="656" t="str">
        <f>+VLOOKUP($L165,Data_Validation!$A:$E,5,0)</f>
        <v>$</v>
      </c>
      <c r="X165" s="656">
        <f>+VLOOKUP($L165,Data_Validation!$A:$F,6,0)</f>
        <v>0</v>
      </c>
    </row>
    <row r="166" spans="1:24" ht="15" hidden="1" customHeight="1">
      <c r="A166" s="1213" t="s">
        <v>921</v>
      </c>
      <c r="B166" s="1213" t="s">
        <v>1671</v>
      </c>
      <c r="C166" s="1215">
        <v>-3501.62</v>
      </c>
      <c r="D166" s="1215">
        <v>1810.24</v>
      </c>
      <c r="E166" s="1215">
        <v>-1691.38</v>
      </c>
      <c r="F166" s="1213" t="s">
        <v>902</v>
      </c>
      <c r="G166" s="1213" t="s">
        <v>918</v>
      </c>
      <c r="H166" s="650"/>
      <c r="I166" s="665"/>
      <c r="J166" s="665"/>
      <c r="K166" s="665"/>
      <c r="L166" s="653" t="str">
        <f t="shared" si="132"/>
        <v>2287</v>
      </c>
      <c r="M166" s="654" t="str">
        <f t="shared" si="0"/>
        <v>A PAYER INVAPLAN</v>
      </c>
      <c r="N166" s="655">
        <f>+IF(OR($Q166=Parametres!$G$2,$Q166=Parametres!$G$3),I166,C166)</f>
        <v>-3501.62</v>
      </c>
      <c r="O166" s="655">
        <f>+IF(OR($Q166=Parametres!$G$2,$Q166=Parametres!$G$3),J166,D166)</f>
        <v>1810.24</v>
      </c>
      <c r="P166" s="655">
        <f>+IF(OR($Q166=Parametres!$G$2,$Q166=Parametres!$G$3),K166,E166)</f>
        <v>-1691.38</v>
      </c>
      <c r="Q166" s="654" t="str">
        <f t="shared" ref="Q166:S166" si="157">+F166</f>
        <v>3-Passifs</v>
      </c>
      <c r="R166" s="653" t="str">
        <f t="shared" si="157"/>
        <v>2283</v>
      </c>
      <c r="S166" s="654">
        <f t="shared" si="157"/>
        <v>0</v>
      </c>
      <c r="T166" s="656" t="str">
        <f>+VLOOKUP($L166,Data_Validation!$A:$D,1,0)</f>
        <v>2287</v>
      </c>
      <c r="U166" s="656" t="str">
        <f>+VLOOKUP($L166,Data_Validation!$A:$D,3,0)</f>
        <v>Bilan</v>
      </c>
      <c r="V166" s="656" t="str">
        <f>+VLOOKUP($L166,Data_Validation!$A:$D,4,0)</f>
        <v>Autres Comptes à Payer</v>
      </c>
      <c r="W166" s="656" t="str">
        <f>+VLOOKUP($L166,Data_Validation!$A:$E,5,0)</f>
        <v>$</v>
      </c>
      <c r="X166" s="656">
        <f>+VLOOKUP($L166,Data_Validation!$A:$F,6,0)</f>
        <v>0</v>
      </c>
    </row>
    <row r="167" spans="1:24" ht="15" hidden="1" customHeight="1">
      <c r="A167" s="1213" t="s">
        <v>922</v>
      </c>
      <c r="B167" s="1213" t="s">
        <v>923</v>
      </c>
      <c r="C167" s="1215">
        <v>-481122.76</v>
      </c>
      <c r="D167" s="1215">
        <v>-13796.96</v>
      </c>
      <c r="E167" s="1215">
        <v>-494919.72</v>
      </c>
      <c r="F167" s="1213" t="s">
        <v>902</v>
      </c>
      <c r="G167" s="1213" t="s">
        <v>923</v>
      </c>
      <c r="H167" s="650"/>
      <c r="I167" s="665"/>
      <c r="J167" s="665"/>
      <c r="K167" s="665"/>
      <c r="L167" s="653" t="str">
        <f t="shared" si="132"/>
        <v>2291</v>
      </c>
      <c r="M167" s="654" t="str">
        <f t="shared" si="0"/>
        <v>COMPTES FOURNISSEURS</v>
      </c>
      <c r="N167" s="655">
        <f>+IF(OR($Q167=Parametres!$G$2,$Q167=Parametres!$G$3),I167,C167)</f>
        <v>-481122.76</v>
      </c>
      <c r="O167" s="655">
        <f>+IF(OR($Q167=Parametres!$G$2,$Q167=Parametres!$G$3),J167,D167)</f>
        <v>-13796.96</v>
      </c>
      <c r="P167" s="655">
        <f>+IF(OR($Q167=Parametres!$G$2,$Q167=Parametres!$G$3),K167,E167)</f>
        <v>-494919.72</v>
      </c>
      <c r="Q167" s="654" t="str">
        <f t="shared" ref="Q167:S167" si="158">+F167</f>
        <v>3-Passifs</v>
      </c>
      <c r="R167" s="653" t="str">
        <f t="shared" si="158"/>
        <v>2291</v>
      </c>
      <c r="S167" s="654">
        <f t="shared" si="158"/>
        <v>0</v>
      </c>
      <c r="T167" s="656" t="str">
        <f>+VLOOKUP($L167,Data_Validation!$A:$D,1,0)</f>
        <v>2291</v>
      </c>
      <c r="U167" s="656" t="str">
        <f>+VLOOKUP($L167,Data_Validation!$A:$D,3,0)</f>
        <v>Bilan</v>
      </c>
      <c r="V167" s="656" t="str">
        <f>+VLOOKUP($L167,Data_Validation!$A:$D,4,0)</f>
        <v>Comptes à Payer Fournisseurs</v>
      </c>
      <c r="W167" s="656" t="str">
        <f>+VLOOKUP($L167,Data_Validation!$A:$E,5,0)</f>
        <v>$</v>
      </c>
      <c r="X167" s="656">
        <f>+VLOOKUP($L167,Data_Validation!$A:$F,6,0)</f>
        <v>0</v>
      </c>
    </row>
    <row r="168" spans="1:24" ht="15.75" hidden="1" customHeight="1">
      <c r="A168" s="1213" t="s">
        <v>924</v>
      </c>
      <c r="B168" s="1213" t="s">
        <v>1679</v>
      </c>
      <c r="C168" s="1215">
        <v>-129445.85</v>
      </c>
      <c r="D168" s="1215">
        <v>74530.05</v>
      </c>
      <c r="E168" s="1215">
        <v>-54915.8</v>
      </c>
      <c r="F168" s="1213" t="s">
        <v>902</v>
      </c>
      <c r="G168" s="1213" t="s">
        <v>923</v>
      </c>
      <c r="H168" s="650"/>
      <c r="I168" s="665"/>
      <c r="J168" s="665"/>
      <c r="K168" s="665"/>
      <c r="L168" s="653" t="str">
        <f t="shared" si="132"/>
        <v>2292</v>
      </c>
      <c r="M168" s="654" t="str">
        <f t="shared" si="0"/>
        <v>ECHANGE ENTRE CONCESSIONNAIRES</v>
      </c>
      <c r="N168" s="655">
        <f>+IF(OR($Q168=Parametres!$G$2,$Q168=Parametres!$G$3),I168,C168)</f>
        <v>-129445.85</v>
      </c>
      <c r="O168" s="655">
        <f>+IF(OR($Q168=Parametres!$G$2,$Q168=Parametres!$G$3),J168,D168)</f>
        <v>74530.05</v>
      </c>
      <c r="P168" s="655">
        <f>+IF(OR($Q168=Parametres!$G$2,$Q168=Parametres!$G$3),K168,E168)</f>
        <v>-54915.8</v>
      </c>
      <c r="Q168" s="654" t="str">
        <f t="shared" ref="Q168:S168" si="159">+F168</f>
        <v>3-Passifs</v>
      </c>
      <c r="R168" s="653" t="str">
        <f t="shared" si="159"/>
        <v>2291</v>
      </c>
      <c r="S168" s="654">
        <f t="shared" si="159"/>
        <v>0</v>
      </c>
      <c r="T168" s="656" t="str">
        <f>+VLOOKUP($L168,Data_Validation!$A:$D,1,0)</f>
        <v>2292</v>
      </c>
      <c r="U168" s="656" t="str">
        <f>+VLOOKUP($L168,Data_Validation!$A:$D,3,0)</f>
        <v>Bilan</v>
      </c>
      <c r="V168" s="656" t="str">
        <f>+VLOOKUP($L168,Data_Validation!$A:$D,4,0)</f>
        <v>Autres Comptes à Payer</v>
      </c>
      <c r="W168" s="656" t="str">
        <f>+VLOOKUP($L168,Data_Validation!$A:$E,5,0)</f>
        <v>$</v>
      </c>
      <c r="X168" s="656">
        <f>+VLOOKUP($L168,Data_Validation!$A:$F,6,0)</f>
        <v>0</v>
      </c>
    </row>
    <row r="169" spans="1:24" ht="15" hidden="1" customHeight="1">
      <c r="A169" s="1213" t="s">
        <v>925</v>
      </c>
      <c r="B169" s="1213" t="s">
        <v>928</v>
      </c>
      <c r="C169" s="1215">
        <v>-27981.02</v>
      </c>
      <c r="D169" s="1215">
        <v>7981.02</v>
      </c>
      <c r="E169" s="1215">
        <v>-20000</v>
      </c>
      <c r="F169" s="1213" t="s">
        <v>902</v>
      </c>
      <c r="G169" s="1213" t="s">
        <v>918</v>
      </c>
      <c r="H169" s="651"/>
      <c r="I169" s="666"/>
      <c r="J169" s="666"/>
      <c r="K169" s="666"/>
      <c r="L169" s="653" t="str">
        <f t="shared" si="132"/>
        <v>2293</v>
      </c>
      <c r="M169" s="654" t="str">
        <f t="shared" si="0"/>
        <v>PROVISIONS GARANTIES USAGEES</v>
      </c>
      <c r="N169" s="655">
        <f>+IF(OR($Q169=Parametres!$G$2,$Q169=Parametres!$G$3),I169,C169)</f>
        <v>-27981.02</v>
      </c>
      <c r="O169" s="655">
        <f>+IF(OR($Q169=Parametres!$G$2,$Q169=Parametres!$G$3),J169,D169)</f>
        <v>7981.02</v>
      </c>
      <c r="P169" s="655">
        <f>+IF(OR($Q169=Parametres!$G$2,$Q169=Parametres!$G$3),K169,E169)</f>
        <v>-20000</v>
      </c>
      <c r="Q169" s="654" t="str">
        <f t="shared" ref="Q169:S169" si="160">+F169</f>
        <v>3-Passifs</v>
      </c>
      <c r="R169" s="653" t="str">
        <f t="shared" si="160"/>
        <v>2283</v>
      </c>
      <c r="S169" s="654">
        <f t="shared" si="160"/>
        <v>0</v>
      </c>
      <c r="T169" s="656" t="str">
        <f>+VLOOKUP($L169,Data_Validation!$A:$D,1,0)</f>
        <v>2293</v>
      </c>
      <c r="U169" s="656" t="str">
        <f>+VLOOKUP($L169,Data_Validation!$A:$D,3,0)</f>
        <v>Bilan</v>
      </c>
      <c r="V169" s="656" t="str">
        <f>+VLOOKUP($L169,Data_Validation!$A:$D,4,0)</f>
        <v>Autres Courus</v>
      </c>
      <c r="W169" s="656" t="str">
        <f>+VLOOKUP($L169,Data_Validation!$A:$E,5,0)</f>
        <v>$</v>
      </c>
      <c r="X169" s="656">
        <f>+VLOOKUP($L169,Data_Validation!$A:$F,6,0)</f>
        <v>0</v>
      </c>
    </row>
    <row r="170" spans="1:24" ht="15" hidden="1" customHeight="1">
      <c r="A170" s="1213" t="s">
        <v>926</v>
      </c>
      <c r="B170" s="1213" t="s">
        <v>3377</v>
      </c>
      <c r="C170" s="1215">
        <v>1343.25</v>
      </c>
      <c r="D170" s="1215">
        <v>0</v>
      </c>
      <c r="E170" s="1215">
        <v>1343.25</v>
      </c>
      <c r="F170" s="1213" t="s">
        <v>902</v>
      </c>
      <c r="G170" s="1213" t="s">
        <v>918</v>
      </c>
      <c r="H170" s="651"/>
      <c r="I170" s="666"/>
      <c r="J170" s="666"/>
      <c r="K170" s="666"/>
      <c r="L170" s="653" t="str">
        <f t="shared" si="132"/>
        <v>2294</v>
      </c>
      <c r="M170" s="654" t="str">
        <f t="shared" si="0"/>
        <v>Volks RESERVE PROMO SAISONNIERE</v>
      </c>
      <c r="N170" s="655">
        <f>+IF(OR($Q170=Parametres!$G$2,$Q170=Parametres!$G$3),I170,C170)</f>
        <v>1343.25</v>
      </c>
      <c r="O170" s="655">
        <f>+IF(OR($Q170=Parametres!$G$2,$Q170=Parametres!$G$3),J170,D170)</f>
        <v>0</v>
      </c>
      <c r="P170" s="655">
        <f>+IF(OR($Q170=Parametres!$G$2,$Q170=Parametres!$G$3),K170,E170)</f>
        <v>1343.25</v>
      </c>
      <c r="Q170" s="654" t="str">
        <f t="shared" ref="Q170:S170" si="161">+F170</f>
        <v>3-Passifs</v>
      </c>
      <c r="R170" s="653" t="str">
        <f t="shared" si="161"/>
        <v>2283</v>
      </c>
      <c r="S170" s="654">
        <f t="shared" si="161"/>
        <v>0</v>
      </c>
      <c r="T170" s="656" t="str">
        <f>+VLOOKUP($L170,Data_Validation!$A:$D,1,0)</f>
        <v>2294</v>
      </c>
      <c r="U170" s="656" t="str">
        <f>+VLOOKUP($L170,Data_Validation!$A:$D,3,0)</f>
        <v>Bilan</v>
      </c>
      <c r="V170" s="656" t="str">
        <f>+VLOOKUP($L170,Data_Validation!$A:$D,4,0)</f>
        <v>Autres Courus</v>
      </c>
      <c r="W170" s="656" t="str">
        <f>+VLOOKUP($L170,Data_Validation!$A:$E,5,0)</f>
        <v>$</v>
      </c>
      <c r="X170" s="656">
        <f>+VLOOKUP($L170,Data_Validation!$A:$F,6,0)</f>
        <v>0</v>
      </c>
    </row>
    <row r="171" spans="1:24" ht="15" hidden="1" customHeight="1">
      <c r="A171" s="1213" t="s">
        <v>929</v>
      </c>
      <c r="B171" s="1213" t="s">
        <v>3378</v>
      </c>
      <c r="C171" s="1215">
        <v>-90304.29</v>
      </c>
      <c r="D171" s="1215">
        <v>-26143.58</v>
      </c>
      <c r="E171" s="1215">
        <v>-116447.87</v>
      </c>
      <c r="F171" s="1213" t="s">
        <v>902</v>
      </c>
      <c r="G171" s="1213" t="s">
        <v>923</v>
      </c>
      <c r="H171" s="651"/>
      <c r="I171" s="666"/>
      <c r="J171" s="666"/>
      <c r="K171" s="666"/>
      <c r="L171" s="653" t="str">
        <f t="shared" si="132"/>
        <v>2296</v>
      </c>
      <c r="M171" s="654" t="str">
        <f t="shared" si="0"/>
        <v>COMPTE FOURNISSEURS INTERCO</v>
      </c>
      <c r="N171" s="655">
        <f>+IF(OR($Q171=Parametres!$G$2,$Q171=Parametres!$G$3),I171,C171)</f>
        <v>-90304.29</v>
      </c>
      <c r="O171" s="655">
        <f>+IF(OR($Q171=Parametres!$G$2,$Q171=Parametres!$G$3),J171,D171)</f>
        <v>-26143.58</v>
      </c>
      <c r="P171" s="655">
        <f>+IF(OR($Q171=Parametres!$G$2,$Q171=Parametres!$G$3),K171,E171)</f>
        <v>-116447.87</v>
      </c>
      <c r="Q171" s="654" t="str">
        <f t="shared" ref="Q171:S171" si="162">+F171</f>
        <v>3-Passifs</v>
      </c>
      <c r="R171" s="653" t="str">
        <f t="shared" si="162"/>
        <v>2291</v>
      </c>
      <c r="S171" s="654">
        <f t="shared" si="162"/>
        <v>0</v>
      </c>
      <c r="T171" s="656" t="str">
        <f>+VLOOKUP($L171,Data_Validation!$A:$D,1,0)</f>
        <v>2296</v>
      </c>
      <c r="U171" s="656" t="str">
        <f>+VLOOKUP($L171,Data_Validation!$A:$D,3,0)</f>
        <v>Bilan</v>
      </c>
      <c r="V171" s="656" t="str">
        <f>+VLOOKUP($L171,Data_Validation!$A:$D,4,0)</f>
        <v>Payables Intercos</v>
      </c>
      <c r="W171" s="656" t="str">
        <f>+VLOOKUP($L171,Data_Validation!$A:$E,5,0)</f>
        <v>$</v>
      </c>
      <c r="X171" s="656">
        <f>+VLOOKUP($L171,Data_Validation!$A:$F,6,0)</f>
        <v>0</v>
      </c>
    </row>
    <row r="172" spans="1:24" ht="15.75" hidden="1" customHeight="1">
      <c r="A172" s="1213" t="s">
        <v>930</v>
      </c>
      <c r="B172" s="1213" t="s">
        <v>1687</v>
      </c>
      <c r="C172" s="1215">
        <v>-58040</v>
      </c>
      <c r="D172" s="1215">
        <v>58040</v>
      </c>
      <c r="E172" s="1215">
        <v>0</v>
      </c>
      <c r="F172" s="1213" t="s">
        <v>902</v>
      </c>
      <c r="G172" s="1213" t="s">
        <v>918</v>
      </c>
      <c r="H172" s="651"/>
      <c r="I172" s="666"/>
      <c r="J172" s="666"/>
      <c r="K172" s="666"/>
      <c r="L172" s="653" t="str">
        <f t="shared" si="132"/>
        <v>2297</v>
      </c>
      <c r="M172" s="654" t="str">
        <f t="shared" si="0"/>
        <v>RESERVE RENOUVELLEMENT</v>
      </c>
      <c r="N172" s="655">
        <f>+IF(OR($Q172=Parametres!$G$2,$Q172=Parametres!$G$3),I172,C172)</f>
        <v>-58040</v>
      </c>
      <c r="O172" s="655">
        <f>+IF(OR($Q172=Parametres!$G$2,$Q172=Parametres!$G$3),J172,D172)</f>
        <v>58040</v>
      </c>
      <c r="P172" s="655">
        <f>+IF(OR($Q172=Parametres!$G$2,$Q172=Parametres!$G$3),K172,E172)</f>
        <v>0</v>
      </c>
      <c r="Q172" s="654" t="str">
        <f t="shared" ref="Q172:S172" si="163">+F172</f>
        <v>3-Passifs</v>
      </c>
      <c r="R172" s="653" t="str">
        <f t="shared" si="163"/>
        <v>2283</v>
      </c>
      <c r="S172" s="654">
        <f t="shared" si="163"/>
        <v>0</v>
      </c>
      <c r="T172" s="656" t="str">
        <f>+VLOOKUP($L172,Data_Validation!$A:$D,1,0)</f>
        <v>2297</v>
      </c>
      <c r="U172" s="656" t="str">
        <f>+VLOOKUP($L172,Data_Validation!$A:$D,3,0)</f>
        <v>Bilan</v>
      </c>
      <c r="V172" s="656" t="str">
        <f>+VLOOKUP($L172,Data_Validation!$A:$D,4,0)</f>
        <v>Autres Courus</v>
      </c>
      <c r="W172" s="656" t="str">
        <f>+VLOOKUP($L172,Data_Validation!$A:$E,5,0)</f>
        <v>$</v>
      </c>
      <c r="X172" s="656">
        <f>+VLOOKUP($L172,Data_Validation!$A:$F,6,0)</f>
        <v>0</v>
      </c>
    </row>
    <row r="173" spans="1:24" ht="15" hidden="1" customHeight="1">
      <c r="A173" s="1213" t="s">
        <v>3337</v>
      </c>
      <c r="B173" s="1213" t="s">
        <v>3338</v>
      </c>
      <c r="C173" s="1215">
        <v>27.79</v>
      </c>
      <c r="D173" s="1215">
        <v>0</v>
      </c>
      <c r="E173" s="1215">
        <v>27.79</v>
      </c>
      <c r="F173" s="1213" t="s">
        <v>902</v>
      </c>
      <c r="G173" s="1213" t="s">
        <v>3338</v>
      </c>
      <c r="H173" s="651"/>
      <c r="I173" s="666"/>
      <c r="J173" s="666"/>
      <c r="K173" s="666"/>
      <c r="L173" s="653" t="str">
        <f t="shared" si="132"/>
        <v>2305</v>
      </c>
      <c r="M173" s="654" t="str">
        <f t="shared" si="0"/>
        <v>FUTA ASSURANCE EMPLOYE</v>
      </c>
      <c r="N173" s="655">
        <f>+IF(OR($Q173=Parametres!$G$2,$Q173=Parametres!$G$3),I173,C173)</f>
        <v>27.79</v>
      </c>
      <c r="O173" s="655">
        <f>+IF(OR($Q173=Parametres!$G$2,$Q173=Parametres!$G$3),J173,D173)</f>
        <v>0</v>
      </c>
      <c r="P173" s="655">
        <f>+IF(OR($Q173=Parametres!$G$2,$Q173=Parametres!$G$3),K173,E173)</f>
        <v>27.79</v>
      </c>
      <c r="Q173" s="654" t="str">
        <f t="shared" ref="Q173:S173" si="164">+F173</f>
        <v>3-Passifs</v>
      </c>
      <c r="R173" s="653" t="str">
        <f t="shared" si="164"/>
        <v>2305</v>
      </c>
      <c r="S173" s="654">
        <f t="shared" si="164"/>
        <v>0</v>
      </c>
      <c r="T173" s="656" t="str">
        <f>+VLOOKUP($L173,Data_Validation!$A:$D,1,0)</f>
        <v>2305</v>
      </c>
      <c r="U173" s="656" t="str">
        <f>+VLOOKUP($L173,Data_Validation!$A:$D,3,0)</f>
        <v>Bilan</v>
      </c>
      <c r="V173" s="656" t="str">
        <f>+VLOOKUP($L173,Data_Validation!$A:$D,4,0)</f>
        <v>DAS à Payer</v>
      </c>
      <c r="W173" s="656" t="str">
        <f>+VLOOKUP($L173,Data_Validation!$A:$E,5,0)</f>
        <v>$</v>
      </c>
      <c r="X173" s="656">
        <f>+VLOOKUP($L173,Data_Validation!$A:$F,6,0)</f>
        <v>0</v>
      </c>
    </row>
    <row r="174" spans="1:24" ht="15" hidden="1" customHeight="1">
      <c r="A174" s="1213" t="s">
        <v>931</v>
      </c>
      <c r="B174" s="1213" t="s">
        <v>932</v>
      </c>
      <c r="C174" s="1215">
        <v>30563.02</v>
      </c>
      <c r="D174" s="1215">
        <v>2323.1</v>
      </c>
      <c r="E174" s="1215">
        <v>32886.120000000003</v>
      </c>
      <c r="F174" s="1213" t="s">
        <v>902</v>
      </c>
      <c r="G174" s="1213" t="s">
        <v>932</v>
      </c>
      <c r="H174" s="651"/>
      <c r="I174" s="666"/>
      <c r="J174" s="666"/>
      <c r="K174" s="666"/>
      <c r="L174" s="653" t="str">
        <f t="shared" si="132"/>
        <v>2315</v>
      </c>
      <c r="M174" s="654" t="str">
        <f t="shared" si="0"/>
        <v>PRIME ASSURANCE GROUPE</v>
      </c>
      <c r="N174" s="655">
        <f>+IF(OR($Q174=Parametres!$G$2,$Q174=Parametres!$G$3),I174,C174)</f>
        <v>30563.02</v>
      </c>
      <c r="O174" s="655">
        <f>+IF(OR($Q174=Parametres!$G$2,$Q174=Parametres!$G$3),J174,D174)</f>
        <v>2323.1</v>
      </c>
      <c r="P174" s="655">
        <f>+IF(OR($Q174=Parametres!$G$2,$Q174=Parametres!$G$3),K174,E174)</f>
        <v>32886.120000000003</v>
      </c>
      <c r="Q174" s="654" t="str">
        <f t="shared" ref="Q174:S174" si="165">+F174</f>
        <v>3-Passifs</v>
      </c>
      <c r="R174" s="653" t="str">
        <f t="shared" si="165"/>
        <v>2315</v>
      </c>
      <c r="S174" s="654">
        <f t="shared" si="165"/>
        <v>0</v>
      </c>
      <c r="T174" s="656" t="str">
        <f>+VLOOKUP($L174,Data_Validation!$A:$D,1,0)</f>
        <v>2315</v>
      </c>
      <c r="U174" s="656" t="str">
        <f>+VLOOKUP($L174,Data_Validation!$A:$D,3,0)</f>
        <v>Bilan</v>
      </c>
      <c r="V174" s="656" t="str">
        <f>+VLOOKUP($L174,Data_Validation!$A:$D,4,0)</f>
        <v>DAS à Payer</v>
      </c>
      <c r="W174" s="656" t="str">
        <f>+VLOOKUP($L174,Data_Validation!$A:$E,5,0)</f>
        <v>$</v>
      </c>
      <c r="X174" s="656">
        <f>+VLOOKUP($L174,Data_Validation!$A:$F,6,0)</f>
        <v>0</v>
      </c>
    </row>
    <row r="175" spans="1:24" ht="15" hidden="1" customHeight="1">
      <c r="A175" s="1213" t="s">
        <v>933</v>
      </c>
      <c r="B175" s="1213" t="s">
        <v>1695</v>
      </c>
      <c r="C175" s="1215">
        <v>52.35</v>
      </c>
      <c r="D175" s="1215">
        <v>0</v>
      </c>
      <c r="E175" s="1215">
        <v>52.35</v>
      </c>
      <c r="F175" s="1213" t="s">
        <v>902</v>
      </c>
      <c r="G175" s="1213" t="s">
        <v>932</v>
      </c>
      <c r="H175" s="650"/>
      <c r="I175" s="665"/>
      <c r="J175" s="665"/>
      <c r="K175" s="665"/>
      <c r="L175" s="653" t="str">
        <f t="shared" si="132"/>
        <v>2335</v>
      </c>
      <c r="M175" s="654" t="str">
        <f t="shared" si="0"/>
        <v>COMITE SOCIAL</v>
      </c>
      <c r="N175" s="655">
        <f>+IF(OR($Q175=Parametres!$G$2,$Q175=Parametres!$G$3),I175,C175)</f>
        <v>52.35</v>
      </c>
      <c r="O175" s="655">
        <f>+IF(OR($Q175=Parametres!$G$2,$Q175=Parametres!$G$3),J175,D175)</f>
        <v>0</v>
      </c>
      <c r="P175" s="655">
        <f>+IF(OR($Q175=Parametres!$G$2,$Q175=Parametres!$G$3),K175,E175)</f>
        <v>52.35</v>
      </c>
      <c r="Q175" s="654" t="str">
        <f t="shared" ref="Q175:S175" si="166">+F175</f>
        <v>3-Passifs</v>
      </c>
      <c r="R175" s="653" t="str">
        <f t="shared" si="166"/>
        <v>2315</v>
      </c>
      <c r="S175" s="654">
        <f t="shared" si="166"/>
        <v>0</v>
      </c>
      <c r="T175" s="656" t="str">
        <f>+VLOOKUP($L175,Data_Validation!$A:$D,1,0)</f>
        <v>2335</v>
      </c>
      <c r="U175" s="656" t="str">
        <f>+VLOOKUP($L175,Data_Validation!$A:$D,3,0)</f>
        <v>Bilan</v>
      </c>
      <c r="V175" s="656" t="str">
        <f>+VLOOKUP($L175,Data_Validation!$A:$D,4,0)</f>
        <v>DAS à Payer</v>
      </c>
      <c r="W175" s="656" t="str">
        <f>+VLOOKUP($L175,Data_Validation!$A:$E,5,0)</f>
        <v>$</v>
      </c>
      <c r="X175" s="656">
        <f>+VLOOKUP($L175,Data_Validation!$A:$F,6,0)</f>
        <v>0</v>
      </c>
    </row>
    <row r="176" spans="1:24" ht="15.75" hidden="1" customHeight="1">
      <c r="A176" s="1213" t="s">
        <v>934</v>
      </c>
      <c r="B176" s="1213" t="s">
        <v>1701</v>
      </c>
      <c r="C176" s="1215">
        <v>-31115.55</v>
      </c>
      <c r="D176" s="1215">
        <v>7574.03</v>
      </c>
      <c r="E176" s="1215">
        <v>-23541.52</v>
      </c>
      <c r="F176" s="1213" t="s">
        <v>902</v>
      </c>
      <c r="G176" s="1213" t="s">
        <v>932</v>
      </c>
      <c r="H176" s="650"/>
      <c r="I176" s="667"/>
      <c r="J176" s="667"/>
      <c r="K176" s="667"/>
      <c r="L176" s="653" t="str">
        <f t="shared" si="132"/>
        <v>2342</v>
      </c>
      <c r="M176" s="654" t="str">
        <f t="shared" si="0"/>
        <v>REER STANDARD LIFE</v>
      </c>
      <c r="N176" s="655">
        <f>+IF(OR($Q176=Parametres!$G$2,$Q176=Parametres!$G$3),I176,C176)</f>
        <v>-31115.55</v>
      </c>
      <c r="O176" s="655">
        <f>+IF(OR($Q176=Parametres!$G$2,$Q176=Parametres!$G$3),J176,D176)</f>
        <v>7574.03</v>
      </c>
      <c r="P176" s="655">
        <f>+IF(OR($Q176=Parametres!$G$2,$Q176=Parametres!$G$3),K176,E176)</f>
        <v>-23541.52</v>
      </c>
      <c r="Q176" s="654" t="str">
        <f t="shared" ref="Q176:S176" si="167">+F176</f>
        <v>3-Passifs</v>
      </c>
      <c r="R176" s="653" t="str">
        <f t="shared" si="167"/>
        <v>2315</v>
      </c>
      <c r="S176" s="654">
        <f t="shared" si="167"/>
        <v>0</v>
      </c>
      <c r="T176" s="656" t="str">
        <f>+VLOOKUP($L176,Data_Validation!$A:$D,1,0)</f>
        <v>2342</v>
      </c>
      <c r="U176" s="656" t="str">
        <f>+VLOOKUP($L176,Data_Validation!$A:$D,3,0)</f>
        <v>Bilan</v>
      </c>
      <c r="V176" s="656" t="str">
        <f>+VLOOKUP($L176,Data_Validation!$A:$D,4,0)</f>
        <v>DAS à Payer</v>
      </c>
      <c r="W176" s="656" t="str">
        <f>+VLOOKUP($L176,Data_Validation!$A:$E,5,0)</f>
        <v>$</v>
      </c>
      <c r="X176" s="656">
        <f>+VLOOKUP($L176,Data_Validation!$A:$F,6,0)</f>
        <v>0</v>
      </c>
    </row>
    <row r="177" spans="1:24" ht="15" hidden="1" customHeight="1">
      <c r="A177" s="1213" t="s">
        <v>935</v>
      </c>
      <c r="B177" s="1213" t="s">
        <v>1704</v>
      </c>
      <c r="C177" s="1215">
        <v>-982.88</v>
      </c>
      <c r="D177" s="1215">
        <v>1111.78</v>
      </c>
      <c r="E177" s="1215">
        <v>128.9</v>
      </c>
      <c r="F177" s="1213" t="s">
        <v>902</v>
      </c>
      <c r="G177" s="1213" t="s">
        <v>932</v>
      </c>
      <c r="H177" s="651"/>
      <c r="I177" s="666"/>
      <c r="J177" s="666"/>
      <c r="K177" s="666"/>
      <c r="L177" s="653" t="str">
        <f t="shared" si="132"/>
        <v>2343</v>
      </c>
      <c r="M177" s="654" t="str">
        <f t="shared" si="0"/>
        <v>COMITE PARITAIRE</v>
      </c>
      <c r="N177" s="655">
        <f>+IF(OR($Q177=Parametres!$G$2,$Q177=Parametres!$G$3),I177,C177)</f>
        <v>-982.88</v>
      </c>
      <c r="O177" s="655">
        <f>+IF(OR($Q177=Parametres!$G$2,$Q177=Parametres!$G$3),J177,D177)</f>
        <v>1111.78</v>
      </c>
      <c r="P177" s="655">
        <f>+IF(OR($Q177=Parametres!$G$2,$Q177=Parametres!$G$3),K177,E177)</f>
        <v>128.9</v>
      </c>
      <c r="Q177" s="654" t="str">
        <f t="shared" ref="Q177:S177" si="168">+F177</f>
        <v>3-Passifs</v>
      </c>
      <c r="R177" s="653" t="str">
        <f t="shared" si="168"/>
        <v>2315</v>
      </c>
      <c r="S177" s="654">
        <f t="shared" si="168"/>
        <v>0</v>
      </c>
      <c r="T177" s="656" t="str">
        <f>+VLOOKUP($L177,Data_Validation!$A:$D,1,0)</f>
        <v>2343</v>
      </c>
      <c r="U177" s="656" t="str">
        <f>+VLOOKUP($L177,Data_Validation!$A:$D,3,0)</f>
        <v>Bilan</v>
      </c>
      <c r="V177" s="656" t="str">
        <f>+VLOOKUP($L177,Data_Validation!$A:$D,4,0)</f>
        <v>DAS à Payer</v>
      </c>
      <c r="W177" s="656" t="str">
        <f>+VLOOKUP($L177,Data_Validation!$A:$E,5,0)</f>
        <v>$</v>
      </c>
      <c r="X177" s="656">
        <f>+VLOOKUP($L177,Data_Validation!$A:$F,6,0)</f>
        <v>0</v>
      </c>
    </row>
    <row r="178" spans="1:24" ht="15" hidden="1" customHeight="1">
      <c r="A178" s="1213" t="s">
        <v>936</v>
      </c>
      <c r="B178" s="1213" t="s">
        <v>1707</v>
      </c>
      <c r="C178" s="1215">
        <v>-501.08</v>
      </c>
      <c r="D178" s="1215">
        <v>-297.83999999999997</v>
      </c>
      <c r="E178" s="1215">
        <v>-798.92</v>
      </c>
      <c r="F178" s="1213" t="s">
        <v>902</v>
      </c>
      <c r="G178" s="1213" t="s">
        <v>932</v>
      </c>
      <c r="H178" s="651"/>
      <c r="I178" s="666"/>
      <c r="J178" s="666"/>
      <c r="K178" s="666"/>
      <c r="L178" s="653" t="str">
        <f t="shared" si="132"/>
        <v>2344</v>
      </c>
      <c r="M178" s="668" t="str">
        <f t="shared" si="0"/>
        <v>CENTRAIDE</v>
      </c>
      <c r="N178" s="655">
        <f>+IF(OR($Q178=Parametres!$G$2,$Q178=Parametres!$G$3),I178,C178)</f>
        <v>-501.08</v>
      </c>
      <c r="O178" s="659">
        <f>+IF(OR($Q178=Parametres!$G$2,$Q178=Parametres!$G$3),J178,D178)</f>
        <v>-297.83999999999997</v>
      </c>
      <c r="P178" s="669">
        <f>+IF(OR($Q178=Parametres!$G$2,$Q178=Parametres!$G$3),K178,E178)</f>
        <v>-798.92</v>
      </c>
      <c r="Q178" s="654" t="str">
        <f t="shared" ref="Q178:S178" si="169">+F178</f>
        <v>3-Passifs</v>
      </c>
      <c r="R178" s="653" t="str">
        <f t="shared" si="169"/>
        <v>2315</v>
      </c>
      <c r="S178" s="654">
        <f t="shared" si="169"/>
        <v>0</v>
      </c>
      <c r="T178" s="656" t="str">
        <f>+VLOOKUP($L178,Data_Validation!$A:$D,1,0)</f>
        <v>2344</v>
      </c>
      <c r="U178" s="656" t="str">
        <f>+VLOOKUP($L178,Data_Validation!$A:$D,3,0)</f>
        <v>Bilan</v>
      </c>
      <c r="V178" s="656" t="str">
        <f>+VLOOKUP($L178,Data_Validation!$A:$D,4,0)</f>
        <v>DAS à Payer</v>
      </c>
      <c r="W178" s="656" t="str">
        <f>+VLOOKUP($L178,Data_Validation!$A:$E,5,0)</f>
        <v>$</v>
      </c>
      <c r="X178" s="656">
        <f>+VLOOKUP($L178,Data_Validation!$A:$F,6,0)</f>
        <v>0</v>
      </c>
    </row>
    <row r="179" spans="1:24" ht="15" hidden="1" customHeight="1">
      <c r="A179" s="1213" t="s">
        <v>937</v>
      </c>
      <c r="B179" s="1213" t="s">
        <v>938</v>
      </c>
      <c r="C179" s="1215">
        <v>-31050</v>
      </c>
      <c r="D179" s="1215">
        <v>7750</v>
      </c>
      <c r="E179" s="1215">
        <v>-23300</v>
      </c>
      <c r="F179" s="1213" t="s">
        <v>902</v>
      </c>
      <c r="G179" s="1213" t="s">
        <v>938</v>
      </c>
      <c r="H179" s="651"/>
      <c r="I179" s="666"/>
      <c r="J179" s="666"/>
      <c r="K179" s="666"/>
      <c r="L179" s="653" t="str">
        <f t="shared" si="132"/>
        <v>2401</v>
      </c>
      <c r="M179" s="654" t="str">
        <f t="shared" si="0"/>
        <v>DEPOTS FIDUCIE-VENTE CLIENTS</v>
      </c>
      <c r="N179" s="655">
        <f>+IF(OR($Q179=Parametres!$G$2,$Q179=Parametres!$G$3),I179,C179)</f>
        <v>-31050</v>
      </c>
      <c r="O179" s="655">
        <f>+IF(OR($Q179=Parametres!$G$2,$Q179=Parametres!$G$3),J179,D179)</f>
        <v>7750</v>
      </c>
      <c r="P179" s="655">
        <f>+IF(OR($Q179=Parametres!$G$2,$Q179=Parametres!$G$3),K179,E179)</f>
        <v>-23300</v>
      </c>
      <c r="Q179" s="654" t="str">
        <f t="shared" ref="Q179:S179" si="170">+F179</f>
        <v>3-Passifs</v>
      </c>
      <c r="R179" s="653" t="str">
        <f t="shared" si="170"/>
        <v>2401</v>
      </c>
      <c r="S179" s="654">
        <f t="shared" si="170"/>
        <v>0</v>
      </c>
      <c r="T179" s="656" t="str">
        <f>+VLOOKUP($L179,Data_Validation!$A:$D,1,0)</f>
        <v>2401</v>
      </c>
      <c r="U179" s="656" t="str">
        <f>+VLOOKUP($L179,Data_Validation!$A:$D,3,0)</f>
        <v>Bilan</v>
      </c>
      <c r="V179" s="656" t="str">
        <f>+VLOOKUP($L179,Data_Validation!$A:$D,4,0)</f>
        <v>Dépôts de Client</v>
      </c>
      <c r="W179" s="656" t="str">
        <f>+VLOOKUP($L179,Data_Validation!$A:$E,5,0)</f>
        <v>$</v>
      </c>
      <c r="X179" s="656">
        <f>+VLOOKUP($L179,Data_Validation!$A:$F,6,0)</f>
        <v>0</v>
      </c>
    </row>
    <row r="180" spans="1:24" ht="15" hidden="1" customHeight="1">
      <c r="A180" s="1213" t="s">
        <v>939</v>
      </c>
      <c r="B180" s="1213" t="s">
        <v>940</v>
      </c>
      <c r="C180" s="1215">
        <v>-5688.19</v>
      </c>
      <c r="D180" s="1215">
        <v>-9303.84</v>
      </c>
      <c r="E180" s="1215">
        <v>-14992.03</v>
      </c>
      <c r="F180" s="1213" t="s">
        <v>902</v>
      </c>
      <c r="G180" s="1213" t="s">
        <v>940</v>
      </c>
      <c r="H180" s="651"/>
      <c r="I180" s="666"/>
      <c r="J180" s="666"/>
      <c r="K180" s="666"/>
      <c r="L180" s="653" t="str">
        <f t="shared" ref="L180:L243" si="171">TEXT(B180,0)</f>
        <v>2501</v>
      </c>
      <c r="M180" s="654" t="str">
        <f t="shared" ref="M180:M243" si="172">+A180</f>
        <v>COMMISSION A PAYER</v>
      </c>
      <c r="N180" s="655">
        <f>+IF(OR($Q180=Parametres!$G$2,$Q180=Parametres!$G$3),I180,C180)</f>
        <v>-5688.19</v>
      </c>
      <c r="O180" s="659">
        <f>+IF(OR($Q180=Parametres!$G$2,$Q180=Parametres!$G$3),J180,D180)</f>
        <v>-9303.84</v>
      </c>
      <c r="P180" s="655">
        <f>+IF(OR($Q180=Parametres!$G$2,$Q180=Parametres!$G$3),K180,E180)</f>
        <v>-14992.03</v>
      </c>
      <c r="Q180" s="654" t="str">
        <f t="shared" ref="Q180:Q243" si="173">+F180</f>
        <v>3-Passifs</v>
      </c>
      <c r="R180" s="653" t="str">
        <f t="shared" ref="R180:R243" si="174">+G180</f>
        <v>2501</v>
      </c>
      <c r="S180" s="654">
        <f t="shared" ref="S180:S243" si="175">+H180</f>
        <v>0</v>
      </c>
      <c r="T180" s="656" t="str">
        <f>+VLOOKUP($L180,Data_Validation!$A:$D,1,0)</f>
        <v>2501</v>
      </c>
      <c r="U180" s="656" t="str">
        <f>+VLOOKUP($L180,Data_Validation!$A:$D,3,0)</f>
        <v>Bilan</v>
      </c>
      <c r="V180" s="656" t="str">
        <f>+VLOOKUP($L180,Data_Validation!$A:$D,4,0)</f>
        <v>Salaires à Payer</v>
      </c>
      <c r="W180" s="656" t="str">
        <f>+VLOOKUP($L180,Data_Validation!$A:$E,5,0)</f>
        <v>$</v>
      </c>
      <c r="X180" s="656">
        <f>+VLOOKUP($L180,Data_Validation!$A:$F,6,0)</f>
        <v>0</v>
      </c>
    </row>
    <row r="181" spans="1:24" ht="15.75" hidden="1" customHeight="1">
      <c r="A181" s="1213" t="s">
        <v>941</v>
      </c>
      <c r="B181" s="1213" t="s">
        <v>3379</v>
      </c>
      <c r="C181" s="1215">
        <v>-2663.5</v>
      </c>
      <c r="D181" s="1215">
        <v>6624.56</v>
      </c>
      <c r="E181" s="1215">
        <v>3961.06</v>
      </c>
      <c r="F181" s="1213" t="s">
        <v>902</v>
      </c>
      <c r="G181" s="1213" t="s">
        <v>942</v>
      </c>
      <c r="H181" s="651"/>
      <c r="I181" s="666"/>
      <c r="J181" s="666"/>
      <c r="K181" s="666"/>
      <c r="L181" s="653" t="str">
        <f t="shared" si="171"/>
        <v>2502</v>
      </c>
      <c r="M181" s="654" t="str">
        <f t="shared" si="172"/>
        <v>Compte de depense a payer</v>
      </c>
      <c r="N181" s="655">
        <f>+IF(OR($Q181=Parametres!$G$2,$Q181=Parametres!$G$3),I181,C181)</f>
        <v>-2663.5</v>
      </c>
      <c r="O181" s="655">
        <f>+IF(OR($Q181=Parametres!$G$2,$Q181=Parametres!$G$3),J181,D181)</f>
        <v>6624.56</v>
      </c>
      <c r="P181" s="655">
        <f>+IF(OR($Q181=Parametres!$G$2,$Q181=Parametres!$G$3),K181,E181)</f>
        <v>3961.06</v>
      </c>
      <c r="Q181" s="654" t="str">
        <f t="shared" si="173"/>
        <v>3-Passifs</v>
      </c>
      <c r="R181" s="653" t="str">
        <f t="shared" si="174"/>
        <v>250</v>
      </c>
      <c r="S181" s="654">
        <f t="shared" si="175"/>
        <v>0</v>
      </c>
      <c r="T181" s="656" t="str">
        <f>+VLOOKUP($L181,Data_Validation!$A:$D,1,0)</f>
        <v>2502</v>
      </c>
      <c r="U181" s="656" t="str">
        <f>+VLOOKUP($L181,Data_Validation!$A:$D,3,0)</f>
        <v>Bilan</v>
      </c>
      <c r="V181" s="656" t="str">
        <f>+VLOOKUP($L181,Data_Validation!$A:$D,4,0)</f>
        <v>Salaires à Payer</v>
      </c>
      <c r="W181" s="656" t="str">
        <f>+VLOOKUP($L181,Data_Validation!$A:$E,5,0)</f>
        <v>$</v>
      </c>
      <c r="X181" s="656">
        <f>+VLOOKUP($L181,Data_Validation!$A:$F,6,0)</f>
        <v>0</v>
      </c>
    </row>
    <row r="182" spans="1:24" ht="15.75" hidden="1" customHeight="1">
      <c r="A182" s="1213" t="s">
        <v>943</v>
      </c>
      <c r="B182" s="1213" t="s">
        <v>944</v>
      </c>
      <c r="C182" s="1215">
        <v>-200818.52</v>
      </c>
      <c r="D182" s="1215">
        <v>79899.64</v>
      </c>
      <c r="E182" s="1215">
        <v>-120918.88</v>
      </c>
      <c r="F182" s="1213" t="s">
        <v>902</v>
      </c>
      <c r="G182" s="1213" t="s">
        <v>944</v>
      </c>
      <c r="H182" s="651"/>
      <c r="I182" s="666"/>
      <c r="J182" s="666"/>
      <c r="K182" s="666"/>
      <c r="L182" s="653" t="str">
        <f t="shared" si="171"/>
        <v>2503</v>
      </c>
      <c r="M182" s="654" t="str">
        <f t="shared" si="172"/>
        <v>SALAIRES DES EMPLOYES</v>
      </c>
      <c r="N182" s="655">
        <f>+IF(OR($Q182=Parametres!$G$2,$Q182=Parametres!$G$3),I182,C182)</f>
        <v>-200818.52</v>
      </c>
      <c r="O182" s="655">
        <f>+IF(OR($Q182=Parametres!$G$2,$Q182=Parametres!$G$3),J182,D182)</f>
        <v>79899.64</v>
      </c>
      <c r="P182" s="655">
        <f>+IF(OR($Q182=Parametres!$G$2,$Q182=Parametres!$G$3),K182,E182)</f>
        <v>-120918.88</v>
      </c>
      <c r="Q182" s="654" t="str">
        <f t="shared" si="173"/>
        <v>3-Passifs</v>
      </c>
      <c r="R182" s="653" t="str">
        <f t="shared" si="174"/>
        <v>2503</v>
      </c>
      <c r="S182" s="654">
        <f t="shared" si="175"/>
        <v>0</v>
      </c>
      <c r="T182" s="656" t="str">
        <f>+VLOOKUP($L182,Data_Validation!$A:$D,1,0)</f>
        <v>2503</v>
      </c>
      <c r="U182" s="656" t="str">
        <f>+VLOOKUP($L182,Data_Validation!$A:$D,3,0)</f>
        <v>Bilan</v>
      </c>
      <c r="V182" s="656" t="str">
        <f>+VLOOKUP($L182,Data_Validation!$A:$D,4,0)</f>
        <v>Salaires à Payer</v>
      </c>
      <c r="W182" s="656" t="str">
        <f>+VLOOKUP($L182,Data_Validation!$A:$E,5,0)</f>
        <v>$</v>
      </c>
      <c r="X182" s="656">
        <f>+VLOOKUP($L182,Data_Validation!$A:$F,6,0)</f>
        <v>0</v>
      </c>
    </row>
    <row r="183" spans="1:24" ht="15.75" hidden="1" customHeight="1">
      <c r="A183" s="1213" t="s">
        <v>946</v>
      </c>
      <c r="B183" s="1213" t="s">
        <v>1740</v>
      </c>
      <c r="C183" s="1215">
        <v>-223500.56</v>
      </c>
      <c r="D183" s="1215">
        <v>-10189.94</v>
      </c>
      <c r="E183" s="1215">
        <v>-233690.5</v>
      </c>
      <c r="F183" s="1213" t="s">
        <v>902</v>
      </c>
      <c r="G183" s="1213" t="s">
        <v>944</v>
      </c>
      <c r="H183" s="651"/>
      <c r="I183" s="666"/>
      <c r="J183" s="666"/>
      <c r="K183" s="666"/>
      <c r="L183" s="653" t="str">
        <f t="shared" si="171"/>
        <v>2509</v>
      </c>
      <c r="M183" s="654" t="str">
        <f t="shared" si="172"/>
        <v>SALAIRES DE VACANCES</v>
      </c>
      <c r="N183" s="655">
        <f>+IF(OR($Q183=Parametres!$G$2,$Q183=Parametres!$G$3),I183,C183)</f>
        <v>-223500.56</v>
      </c>
      <c r="O183" s="655">
        <f>+IF(OR($Q183=Parametres!$G$2,$Q183=Parametres!$G$3),J183,D183)</f>
        <v>-10189.94</v>
      </c>
      <c r="P183" s="655">
        <f>+IF(OR($Q183=Parametres!$G$2,$Q183=Parametres!$G$3),K183,E183)</f>
        <v>-233690.5</v>
      </c>
      <c r="Q183" s="654" t="str">
        <f t="shared" si="173"/>
        <v>3-Passifs</v>
      </c>
      <c r="R183" s="653" t="str">
        <f t="shared" si="174"/>
        <v>2503</v>
      </c>
      <c r="S183" s="654">
        <f t="shared" si="175"/>
        <v>0</v>
      </c>
      <c r="T183" s="656" t="str">
        <f>+VLOOKUP($L183,Data_Validation!$A:$D,1,0)</f>
        <v>2509</v>
      </c>
      <c r="U183" s="656" t="str">
        <f>+VLOOKUP($L183,Data_Validation!$A:$D,3,0)</f>
        <v>Bilan</v>
      </c>
      <c r="V183" s="656" t="str">
        <f>+VLOOKUP($L183,Data_Validation!$A:$D,4,0)</f>
        <v>Salaires à Payer</v>
      </c>
      <c r="W183" s="656" t="str">
        <f>+VLOOKUP($L183,Data_Validation!$A:$E,5,0)</f>
        <v>$</v>
      </c>
      <c r="X183" s="656">
        <f>+VLOOKUP($L183,Data_Validation!$A:$F,6,0)</f>
        <v>0</v>
      </c>
    </row>
    <row r="184" spans="1:24" ht="15.75" hidden="1" customHeight="1">
      <c r="A184" s="1213" t="s">
        <v>947</v>
      </c>
      <c r="B184" s="1213" t="s">
        <v>1743</v>
      </c>
      <c r="C184" s="1215">
        <v>-10921.49</v>
      </c>
      <c r="D184" s="1215">
        <v>-3781.14</v>
      </c>
      <c r="E184" s="1215">
        <v>-14702.63</v>
      </c>
      <c r="F184" s="1213" t="s">
        <v>902</v>
      </c>
      <c r="G184" s="1213" t="s">
        <v>944</v>
      </c>
      <c r="H184" s="651"/>
      <c r="I184" s="667"/>
      <c r="J184" s="667"/>
      <c r="K184" s="667"/>
      <c r="L184" s="653" t="str">
        <f t="shared" si="171"/>
        <v>2511</v>
      </c>
      <c r="M184" s="654" t="str">
        <f t="shared" si="172"/>
        <v>JOURNEE MALADIE</v>
      </c>
      <c r="N184" s="655">
        <f>+IF(OR($Q184=Parametres!$G$2,$Q184=Parametres!$G$3),I184,C184)</f>
        <v>-10921.49</v>
      </c>
      <c r="O184" s="659">
        <f>+IF(OR($Q184=Parametres!$G$2,$Q184=Parametres!$G$3),J184,D184)</f>
        <v>-3781.14</v>
      </c>
      <c r="P184" s="655">
        <f>+IF(OR($Q184=Parametres!$G$2,$Q184=Parametres!$G$3),K184,E184)</f>
        <v>-14702.63</v>
      </c>
      <c r="Q184" s="654" t="str">
        <f t="shared" si="173"/>
        <v>3-Passifs</v>
      </c>
      <c r="R184" s="653" t="str">
        <f t="shared" si="174"/>
        <v>2503</v>
      </c>
      <c r="S184" s="654">
        <f t="shared" si="175"/>
        <v>0</v>
      </c>
      <c r="T184" s="656" t="str">
        <f>+VLOOKUP($L184,Data_Validation!$A:$D,1,0)</f>
        <v>2511</v>
      </c>
      <c r="U184" s="656" t="str">
        <f>+VLOOKUP($L184,Data_Validation!$A:$D,3,0)</f>
        <v>Bilan</v>
      </c>
      <c r="V184" s="656" t="str">
        <f>+VLOOKUP($L184,Data_Validation!$A:$D,4,0)</f>
        <v>Salaires à Payer</v>
      </c>
      <c r="W184" s="656" t="str">
        <f>+VLOOKUP($L184,Data_Validation!$A:$E,5,0)</f>
        <v>$</v>
      </c>
      <c r="X184" s="656">
        <f>+VLOOKUP($L184,Data_Validation!$A:$F,6,0)</f>
        <v>0</v>
      </c>
    </row>
    <row r="185" spans="1:24" ht="15.75" hidden="1" customHeight="1">
      <c r="A185" s="1213" t="s">
        <v>948</v>
      </c>
      <c r="B185" s="1213" t="s">
        <v>949</v>
      </c>
      <c r="C185" s="1215">
        <v>-195487</v>
      </c>
      <c r="D185" s="1215">
        <v>32334</v>
      </c>
      <c r="E185" s="1215">
        <v>-163153</v>
      </c>
      <c r="F185" s="1213" t="s">
        <v>902</v>
      </c>
      <c r="G185" s="1213" t="s">
        <v>949</v>
      </c>
      <c r="H185" s="651"/>
      <c r="I185" s="666"/>
      <c r="J185" s="666"/>
      <c r="K185" s="666"/>
      <c r="L185" s="653" t="str">
        <f t="shared" si="171"/>
        <v>2561</v>
      </c>
      <c r="M185" s="654" t="str">
        <f t="shared" si="172"/>
        <v>REVENUE HOLDBACK DIFFERE</v>
      </c>
      <c r="N185" s="655">
        <f>+IF(OR($Q185=Parametres!$G$2,$Q185=Parametres!$G$3),I185,C185)</f>
        <v>-195487</v>
      </c>
      <c r="O185" s="655">
        <f>+IF(OR($Q185=Parametres!$G$2,$Q185=Parametres!$G$3),J185,D185)</f>
        <v>32334</v>
      </c>
      <c r="P185" s="655">
        <f>+IF(OR($Q185=Parametres!$G$2,$Q185=Parametres!$G$3),K185,E185)</f>
        <v>-163153</v>
      </c>
      <c r="Q185" s="654" t="str">
        <f t="shared" si="173"/>
        <v>3-Passifs</v>
      </c>
      <c r="R185" s="653" t="str">
        <f t="shared" si="174"/>
        <v>2561</v>
      </c>
      <c r="S185" s="654">
        <f t="shared" si="175"/>
        <v>0</v>
      </c>
      <c r="T185" s="656" t="str">
        <f>+VLOOKUP($L185,Data_Validation!$A:$D,1,0)</f>
        <v>2561</v>
      </c>
      <c r="U185" s="656" t="str">
        <f>+VLOOKUP($L185,Data_Validation!$A:$D,3,0)</f>
        <v>Bilan</v>
      </c>
      <c r="V185" s="656" t="str">
        <f>+VLOOKUP($L185,Data_Validation!$A:$D,4,0)</f>
        <v>Autres Courus</v>
      </c>
      <c r="W185" s="656" t="str">
        <f>+VLOOKUP($L185,Data_Validation!$A:$E,5,0)</f>
        <v>$</v>
      </c>
      <c r="X185" s="656">
        <f>+VLOOKUP($L185,Data_Validation!$A:$F,6,0)</f>
        <v>0</v>
      </c>
    </row>
    <row r="186" spans="1:24" ht="15.75" hidden="1" customHeight="1">
      <c r="A186" s="1213" t="s">
        <v>950</v>
      </c>
      <c r="B186" s="1213" t="s">
        <v>3380</v>
      </c>
      <c r="C186" s="1215">
        <v>-242566.15</v>
      </c>
      <c r="D186" s="1215">
        <v>0</v>
      </c>
      <c r="E186" s="1215">
        <v>-242566.15</v>
      </c>
      <c r="F186" s="1213" t="s">
        <v>902</v>
      </c>
      <c r="G186" s="1213" t="s">
        <v>951</v>
      </c>
      <c r="H186" s="651"/>
      <c r="I186" s="667"/>
      <c r="J186" s="667"/>
      <c r="K186" s="667"/>
      <c r="L186" s="653" t="str">
        <f t="shared" si="171"/>
        <v>2562</v>
      </c>
      <c r="M186" s="654" t="str">
        <f t="shared" si="172"/>
        <v>PROVISIONS QG</v>
      </c>
      <c r="N186" s="655">
        <f>+IF(OR($Q186=Parametres!$G$2,$Q186=Parametres!$G$3),I186,C186)</f>
        <v>-242566.15</v>
      </c>
      <c r="O186" s="659">
        <f>+IF(OR($Q186=Parametres!$G$2,$Q186=Parametres!$G$3),J186,D186)</f>
        <v>0</v>
      </c>
      <c r="P186" s="655">
        <f>+IF(OR($Q186=Parametres!$G$2,$Q186=Parametres!$G$3),K186,E186)</f>
        <v>-242566.15</v>
      </c>
      <c r="Q186" s="654" t="str">
        <f t="shared" si="173"/>
        <v>3-Passifs</v>
      </c>
      <c r="R186" s="653" t="str">
        <f t="shared" si="174"/>
        <v>256</v>
      </c>
      <c r="S186" s="654">
        <f t="shared" si="175"/>
        <v>0</v>
      </c>
      <c r="T186" s="656" t="str">
        <f>+VLOOKUP($L186,Data_Validation!$A:$D,1,0)</f>
        <v>2562</v>
      </c>
      <c r="U186" s="656" t="str">
        <f>+VLOOKUP($L186,Data_Validation!$A:$D,3,0)</f>
        <v>Bilan</v>
      </c>
      <c r="V186" s="656" t="str">
        <f>+VLOOKUP($L186,Data_Validation!$A:$D,4,0)</f>
        <v>Autres Courus</v>
      </c>
      <c r="W186" s="656" t="str">
        <f>+VLOOKUP($L186,Data_Validation!$A:$E,5,0)</f>
        <v>$</v>
      </c>
      <c r="X186" s="656">
        <f>+VLOOKUP($L186,Data_Validation!$A:$F,6,0)</f>
        <v>0</v>
      </c>
    </row>
    <row r="187" spans="1:24" ht="15" hidden="1" customHeight="1">
      <c r="A187" s="1213" t="s">
        <v>956</v>
      </c>
      <c r="B187" s="1213" t="s">
        <v>958</v>
      </c>
      <c r="C187" s="1215">
        <v>-2350000</v>
      </c>
      <c r="D187" s="1215">
        <v>0</v>
      </c>
      <c r="E187" s="1215">
        <v>-2350000</v>
      </c>
      <c r="F187" s="1213" t="s">
        <v>957</v>
      </c>
      <c r="G187" s="1213" t="s">
        <v>958</v>
      </c>
      <c r="H187" s="651"/>
      <c r="I187" s="666"/>
      <c r="J187" s="666"/>
      <c r="K187" s="666"/>
      <c r="L187" s="653" t="str">
        <f t="shared" si="171"/>
        <v>3001</v>
      </c>
      <c r="M187" s="654" t="str">
        <f t="shared" si="172"/>
        <v>ACTIONS CATEGORIE 1</v>
      </c>
      <c r="N187" s="655">
        <f>+IF(OR($Q187=Parametres!$G$2,$Q187=Parametres!$G$3),I187,C187)</f>
        <v>-2350000</v>
      </c>
      <c r="O187" s="655">
        <f>+IF(OR($Q187=Parametres!$G$2,$Q187=Parametres!$G$3),J187,D187)</f>
        <v>0</v>
      </c>
      <c r="P187" s="655">
        <f>+IF(OR($Q187=Parametres!$G$2,$Q187=Parametres!$G$3),K187,E187)</f>
        <v>-2350000</v>
      </c>
      <c r="Q187" s="654" t="str">
        <f t="shared" si="173"/>
        <v>4-Valeur nette</v>
      </c>
      <c r="R187" s="653" t="str">
        <f t="shared" si="174"/>
        <v>3001</v>
      </c>
      <c r="S187" s="654">
        <f t="shared" si="175"/>
        <v>0</v>
      </c>
      <c r="T187" s="656" t="str">
        <f>+VLOOKUP($L187,Data_Validation!$A:$D,1,0)</f>
        <v>3001</v>
      </c>
      <c r="U187" s="656" t="str">
        <f>+VLOOKUP($L187,Data_Validation!$A:$D,3,0)</f>
        <v>Bilan</v>
      </c>
      <c r="V187" s="656" t="str">
        <f>+VLOOKUP($L187,Data_Validation!$A:$D,4,0)</f>
        <v>Capital Actions</v>
      </c>
      <c r="W187" s="656" t="str">
        <f>+VLOOKUP($L187,Data_Validation!$A:$E,5,0)</f>
        <v>$</v>
      </c>
      <c r="X187" s="656">
        <f>+VLOOKUP($L187,Data_Validation!$A:$F,6,0)</f>
        <v>0</v>
      </c>
    </row>
    <row r="188" spans="1:24" ht="15" hidden="1" customHeight="1">
      <c r="A188" s="1213" t="s">
        <v>959</v>
      </c>
      <c r="B188" s="1213" t="s">
        <v>1768</v>
      </c>
      <c r="C188" s="1215">
        <v>-1723617</v>
      </c>
      <c r="D188" s="1215">
        <v>0</v>
      </c>
      <c r="E188" s="1215">
        <v>-1723617</v>
      </c>
      <c r="F188" s="1213" t="s">
        <v>957</v>
      </c>
      <c r="G188" s="1213" t="s">
        <v>958</v>
      </c>
      <c r="H188" s="651"/>
      <c r="I188" s="652"/>
      <c r="J188" s="652"/>
      <c r="K188" s="652"/>
      <c r="L188" s="653" t="str">
        <f t="shared" si="171"/>
        <v>3003</v>
      </c>
      <c r="M188" s="654" t="str">
        <f t="shared" si="172"/>
        <v>APPORT / RETRAIT</v>
      </c>
      <c r="N188" s="655">
        <f>+IF(OR($Q188=Parametres!$G$2,$Q188=Parametres!$G$3),I188,C188)</f>
        <v>-1723617</v>
      </c>
      <c r="O188" s="655">
        <f>+IF(OR($Q188=Parametres!$G$2,$Q188=Parametres!$G$3),J188,D188)</f>
        <v>0</v>
      </c>
      <c r="P188" s="655">
        <f>+IF(OR($Q188=Parametres!$G$2,$Q188=Parametres!$G$3),K188,E188)</f>
        <v>-1723617</v>
      </c>
      <c r="Q188" s="654" t="str">
        <f t="shared" si="173"/>
        <v>4-Valeur nette</v>
      </c>
      <c r="R188" s="653" t="str">
        <f t="shared" si="174"/>
        <v>3001</v>
      </c>
      <c r="S188" s="654">
        <f t="shared" si="175"/>
        <v>0</v>
      </c>
      <c r="T188" s="656" t="str">
        <f>+VLOOKUP($L188,Data_Validation!$A:$D,1,0)</f>
        <v>3003</v>
      </c>
      <c r="U188" s="656" t="str">
        <f>+VLOOKUP($L188,Data_Validation!$A:$D,3,0)</f>
        <v>Bilan</v>
      </c>
      <c r="V188" s="656" t="str">
        <f>+VLOOKUP($L188,Data_Validation!$A:$D,4,0)</f>
        <v>Apport</v>
      </c>
      <c r="W188" s="656" t="str">
        <f>+VLOOKUP($L188,Data_Validation!$A:$E,5,0)</f>
        <v>$</v>
      </c>
      <c r="X188" s="656">
        <f>+VLOOKUP($L188,Data_Validation!$A:$F,6,0)</f>
        <v>0</v>
      </c>
    </row>
    <row r="189" spans="1:24" ht="15" hidden="1" customHeight="1">
      <c r="A189" s="1213" t="s">
        <v>960</v>
      </c>
      <c r="B189" s="1213" t="s">
        <v>1771</v>
      </c>
      <c r="C189" s="1215">
        <v>-347547.5</v>
      </c>
      <c r="D189" s="1215">
        <v>0</v>
      </c>
      <c r="E189" s="1215">
        <v>-347547.5</v>
      </c>
      <c r="F189" s="1213" t="s">
        <v>957</v>
      </c>
      <c r="G189" s="1213" t="s">
        <v>958</v>
      </c>
      <c r="H189" s="651"/>
      <c r="I189" s="651"/>
      <c r="J189" s="651"/>
      <c r="K189" s="651"/>
      <c r="L189" s="653" t="str">
        <f t="shared" si="171"/>
        <v>3007</v>
      </c>
      <c r="M189" s="654" t="str">
        <f t="shared" si="172"/>
        <v>ACTIONS PARTICIPANTES</v>
      </c>
      <c r="N189" s="655">
        <f>+IF(OR($Q189=Parametres!$G$2,$Q189=Parametres!$G$3),I189,C189)</f>
        <v>-347547.5</v>
      </c>
      <c r="O189" s="655">
        <f>+IF(OR($Q189=Parametres!$G$2,$Q189=Parametres!$G$3),J189,D189)</f>
        <v>0</v>
      </c>
      <c r="P189" s="655">
        <f>+IF(OR($Q189=Parametres!$G$2,$Q189=Parametres!$G$3),K189,E189)</f>
        <v>-347547.5</v>
      </c>
      <c r="Q189" s="654" t="str">
        <f t="shared" si="173"/>
        <v>4-Valeur nette</v>
      </c>
      <c r="R189" s="653" t="str">
        <f t="shared" si="174"/>
        <v>3001</v>
      </c>
      <c r="S189" s="654">
        <f t="shared" si="175"/>
        <v>0</v>
      </c>
      <c r="T189" s="656" t="str">
        <f>+VLOOKUP($L189,Data_Validation!$A:$D,1,0)</f>
        <v>3007</v>
      </c>
      <c r="U189" s="656" t="str">
        <f>+VLOOKUP($L189,Data_Validation!$A:$D,3,0)</f>
        <v>Bilan</v>
      </c>
      <c r="V189" s="656" t="str">
        <f>+VLOOKUP($L189,Data_Validation!$A:$D,4,0)</f>
        <v>Capital Actions</v>
      </c>
      <c r="W189" s="656">
        <f>+VLOOKUP($L189,Data_Validation!$A:$E,5,0)</f>
        <v>0</v>
      </c>
      <c r="X189" s="656">
        <f>+VLOOKUP($L189,Data_Validation!$A:$F,6,0)</f>
        <v>0</v>
      </c>
    </row>
    <row r="190" spans="1:24" ht="15" hidden="1" customHeight="1">
      <c r="A190" s="1213" t="s">
        <v>961</v>
      </c>
      <c r="B190" s="1213" t="s">
        <v>1795</v>
      </c>
      <c r="C190" s="1215">
        <v>-7046263.96</v>
      </c>
      <c r="D190" s="1215">
        <v>0</v>
      </c>
      <c r="E190" s="1215">
        <v>-7046263.96</v>
      </c>
      <c r="F190" s="1213" t="s">
        <v>957</v>
      </c>
      <c r="G190" s="1213" t="s">
        <v>958</v>
      </c>
      <c r="H190" s="651"/>
      <c r="I190" s="652"/>
      <c r="J190" s="652"/>
      <c r="K190" s="652"/>
      <c r="L190" s="653" t="str">
        <f t="shared" si="171"/>
        <v>3201</v>
      </c>
      <c r="M190" s="654" t="str">
        <f t="shared" si="172"/>
        <v>BENEFICES NON-REPARTIS</v>
      </c>
      <c r="N190" s="655">
        <f>+IF(OR($Q190=Parametres!$G$2,$Q190=Parametres!$G$3),I190,C190)</f>
        <v>-7046263.96</v>
      </c>
      <c r="O190" s="655">
        <f>+IF(OR($Q190=Parametres!$G$2,$Q190=Parametres!$G$3),J190,D190)</f>
        <v>0</v>
      </c>
      <c r="P190" s="655">
        <f>+IF(OR($Q190=Parametres!$G$2,$Q190=Parametres!$G$3),K190,E190)</f>
        <v>-7046263.96</v>
      </c>
      <c r="Q190" s="654" t="str">
        <f t="shared" si="173"/>
        <v>4-Valeur nette</v>
      </c>
      <c r="R190" s="653" t="str">
        <f t="shared" si="174"/>
        <v>3001</v>
      </c>
      <c r="S190" s="654">
        <f t="shared" si="175"/>
        <v>0</v>
      </c>
      <c r="T190" s="656" t="str">
        <f>+VLOOKUP($L190,Data_Validation!$A:$D,1,0)</f>
        <v>3201</v>
      </c>
      <c r="U190" s="656" t="str">
        <f>+VLOOKUP($L190,Data_Validation!$A:$D,3,0)</f>
        <v>Bilan</v>
      </c>
      <c r="V190" s="656" t="str">
        <f>+VLOOKUP($L190,Data_Validation!$A:$D,4,0)</f>
        <v>Bénéfices non répartis</v>
      </c>
      <c r="W190" s="656" t="str">
        <f>+VLOOKUP($L190,Data_Validation!$A:$E,5,0)</f>
        <v>$</v>
      </c>
      <c r="X190" s="656">
        <f>+VLOOKUP($L190,Data_Validation!$A:$F,6,0)</f>
        <v>0</v>
      </c>
    </row>
    <row r="191" spans="1:24" ht="15" hidden="1" customHeight="1">
      <c r="A191" s="1213" t="s">
        <v>962</v>
      </c>
      <c r="B191" s="1213" t="s">
        <v>964</v>
      </c>
      <c r="C191" s="1215">
        <v>-2446593.7200000002</v>
      </c>
      <c r="D191" s="1215">
        <v>-140023.26999999999</v>
      </c>
      <c r="E191" s="1215">
        <v>-2586616.9900000002</v>
      </c>
      <c r="F191" s="1213" t="s">
        <v>963</v>
      </c>
      <c r="G191" s="1213" t="s">
        <v>964</v>
      </c>
      <c r="H191" s="651"/>
      <c r="I191" s="651"/>
      <c r="J191" s="651"/>
      <c r="K191" s="670"/>
      <c r="L191" s="653" t="str">
        <f t="shared" si="171"/>
        <v>4100</v>
      </c>
      <c r="M191" s="654" t="str">
        <f t="shared" si="172"/>
        <v>VTE - RACHAT BAIL VW</v>
      </c>
      <c r="N191" s="655">
        <f>+IF(OR($Q191=Parametres!$G$2,$Q191=Parametres!$G$3),I191,C191)</f>
        <v>-2446593.7200000002</v>
      </c>
      <c r="O191" s="655">
        <f>+IF(OR($Q191=Parametres!$G$2,$Q191=Parametres!$G$3),J191,D191)</f>
        <v>-140023.26999999999</v>
      </c>
      <c r="P191" s="655">
        <f>+IF(OR($Q191=Parametres!$G$2,$Q191=Parametres!$G$3),K191,E191)</f>
        <v>-2586616.9900000002</v>
      </c>
      <c r="Q191" s="654" t="str">
        <f t="shared" si="173"/>
        <v>5-Ventes</v>
      </c>
      <c r="R191" s="653" t="str">
        <f t="shared" si="174"/>
        <v>4100</v>
      </c>
      <c r="S191" s="654">
        <f t="shared" si="175"/>
        <v>0</v>
      </c>
      <c r="T191" s="656" t="str">
        <f>+VLOOKUP($L191,Data_Validation!$A:$D,1,0)</f>
        <v>4100</v>
      </c>
      <c r="U191" s="656" t="str">
        <f>+VLOOKUP($L191,Data_Validation!$A:$D,3,0)</f>
        <v>Véhicules neufs</v>
      </c>
      <c r="V191" s="656" t="str">
        <f>+VLOOKUP($L191,Data_Validation!$A:$D,4,0)</f>
        <v>Rachat bail</v>
      </c>
      <c r="W191" s="656" t="str">
        <f>+VLOOKUP($L191,Data_Validation!$A:$E,5,0)</f>
        <v>$</v>
      </c>
      <c r="X191" s="656" t="str">
        <f>+VLOOKUP($L191,Data_Validation!$A:$F,6,0)</f>
        <v>Oui</v>
      </c>
    </row>
    <row r="192" spans="1:24" ht="15" hidden="1" customHeight="1">
      <c r="A192" s="1213" t="s">
        <v>967</v>
      </c>
      <c r="B192" s="1213" t="s">
        <v>968</v>
      </c>
      <c r="C192" s="1215">
        <v>-1531957.15</v>
      </c>
      <c r="D192" s="1215">
        <v>-53421.67</v>
      </c>
      <c r="E192" s="1215">
        <v>-1585378.82</v>
      </c>
      <c r="F192" s="1213" t="s">
        <v>963</v>
      </c>
      <c r="G192" s="1213" t="s">
        <v>968</v>
      </c>
      <c r="H192" s="651"/>
      <c r="I192" s="652"/>
      <c r="J192" s="652"/>
      <c r="K192" s="652"/>
      <c r="L192" s="653" t="str">
        <f t="shared" si="171"/>
        <v>4109</v>
      </c>
      <c r="M192" s="654" t="str">
        <f t="shared" si="172"/>
        <v>VTE - GOLF R</v>
      </c>
      <c r="N192" s="655">
        <f>+IF(OR($Q192=Parametres!$G$2,$Q192=Parametres!$G$3),I192,C192)</f>
        <v>-1531957.15</v>
      </c>
      <c r="O192" s="655">
        <f>+IF(OR($Q192=Parametres!$G$2,$Q192=Parametres!$G$3),J192,D192)</f>
        <v>-53421.67</v>
      </c>
      <c r="P192" s="655">
        <f>+IF(OR($Q192=Parametres!$G$2,$Q192=Parametres!$G$3),K192,E192)</f>
        <v>-1585378.82</v>
      </c>
      <c r="Q192" s="654" t="str">
        <f t="shared" si="173"/>
        <v>5-Ventes</v>
      </c>
      <c r="R192" s="653" t="str">
        <f t="shared" si="174"/>
        <v>4109</v>
      </c>
      <c r="S192" s="654">
        <f t="shared" si="175"/>
        <v>0</v>
      </c>
      <c r="T192" s="656" t="str">
        <f>+VLOOKUP($L192,Data_Validation!$A:$D,1,0)</f>
        <v>4109</v>
      </c>
      <c r="U192" s="656" t="str">
        <f>+VLOOKUP($L192,Data_Validation!$A:$D,3,0)</f>
        <v>Véhicules neufs</v>
      </c>
      <c r="V192" s="656" t="str">
        <f>+VLOOKUP($L192,Data_Validation!$A:$D,4,0)</f>
        <v>Autos détail</v>
      </c>
      <c r="W192" s="656" t="str">
        <f>+VLOOKUP($L192,Data_Validation!$A:$E,5,0)</f>
        <v>$</v>
      </c>
      <c r="X192" s="656" t="str">
        <f>+VLOOKUP($L192,Data_Validation!$A:$F,6,0)</f>
        <v>Oui</v>
      </c>
    </row>
    <row r="193" spans="1:24" ht="15" hidden="1" customHeight="1">
      <c r="A193" s="1213" t="s">
        <v>971</v>
      </c>
      <c r="B193" s="1213" t="s">
        <v>972</v>
      </c>
      <c r="C193" s="1215">
        <v>-2202575.2200000002</v>
      </c>
      <c r="D193" s="1215">
        <v>-96866.06</v>
      </c>
      <c r="E193" s="1215">
        <v>-2299441.2799999998</v>
      </c>
      <c r="F193" s="1213" t="s">
        <v>963</v>
      </c>
      <c r="G193" s="1213" t="s">
        <v>972</v>
      </c>
      <c r="H193" s="651"/>
      <c r="I193" s="651"/>
      <c r="J193" s="651"/>
      <c r="K193" s="670"/>
      <c r="L193" s="653" t="str">
        <f t="shared" si="171"/>
        <v>4111</v>
      </c>
      <c r="M193" s="654" t="str">
        <f t="shared" si="172"/>
        <v>JETTA/ JETTA GLI</v>
      </c>
      <c r="N193" s="655">
        <f>+IF(OR($Q193=Parametres!$G$2,$Q193=Parametres!$G$3),I193,C193)</f>
        <v>-2202575.2200000002</v>
      </c>
      <c r="O193" s="655">
        <f>+IF(OR($Q193=Parametres!$G$2,$Q193=Parametres!$G$3),J193,D193)</f>
        <v>-96866.06</v>
      </c>
      <c r="P193" s="655">
        <f>+IF(OR($Q193=Parametres!$G$2,$Q193=Parametres!$G$3),K193,E193)</f>
        <v>-2299441.2799999998</v>
      </c>
      <c r="Q193" s="654" t="str">
        <f t="shared" si="173"/>
        <v>5-Ventes</v>
      </c>
      <c r="R193" s="653" t="str">
        <f t="shared" si="174"/>
        <v>4111</v>
      </c>
      <c r="S193" s="654">
        <f t="shared" si="175"/>
        <v>0</v>
      </c>
      <c r="T193" s="656" t="str">
        <f>+VLOOKUP($L193,Data_Validation!$A:$D,1,0)</f>
        <v>4111</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hidden="1" customHeight="1">
      <c r="A194" s="1213" t="s">
        <v>974</v>
      </c>
      <c r="B194" s="1213" t="s">
        <v>3381</v>
      </c>
      <c r="C194" s="1215">
        <v>-5241673.43</v>
      </c>
      <c r="D194" s="1215">
        <v>-199205.81</v>
      </c>
      <c r="E194" s="1215">
        <v>-5440879.2400000002</v>
      </c>
      <c r="F194" s="1213" t="s">
        <v>963</v>
      </c>
      <c r="G194" s="1213" t="s">
        <v>975</v>
      </c>
      <c r="H194" s="651"/>
      <c r="I194" s="652"/>
      <c r="J194" s="652"/>
      <c r="K194" s="652"/>
      <c r="L194" s="653" t="str">
        <f t="shared" si="171"/>
        <v>4118</v>
      </c>
      <c r="M194" s="654" t="str">
        <f t="shared" si="172"/>
        <v>VTES -TAOS</v>
      </c>
      <c r="N194" s="655">
        <f>+IF(OR($Q194=Parametres!$G$2,$Q194=Parametres!$G$3),I194,C194)</f>
        <v>-5241673.43</v>
      </c>
      <c r="O194" s="655">
        <f>+IF(OR($Q194=Parametres!$G$2,$Q194=Parametres!$G$3),J194,D194)</f>
        <v>-199205.81</v>
      </c>
      <c r="P194" s="655">
        <f>+IF(OR($Q194=Parametres!$G$2,$Q194=Parametres!$G$3),K194,E194)</f>
        <v>-5440879.2400000002</v>
      </c>
      <c r="Q194" s="654" t="str">
        <f t="shared" si="173"/>
        <v>5-Ventes</v>
      </c>
      <c r="R194" s="653" t="str">
        <f t="shared" si="174"/>
        <v>4117</v>
      </c>
      <c r="S194" s="654">
        <f t="shared" si="175"/>
        <v>0</v>
      </c>
      <c r="T194" s="656" t="str">
        <f>+VLOOKUP($L194,Data_Validation!$A:$D,1,0)</f>
        <v>4118</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hidden="1" customHeight="1">
      <c r="A195" s="1213" t="s">
        <v>979</v>
      </c>
      <c r="B195" s="1213" t="s">
        <v>980</v>
      </c>
      <c r="C195" s="1215">
        <v>-4044598.12</v>
      </c>
      <c r="D195" s="1215">
        <v>-184176.44</v>
      </c>
      <c r="E195" s="1215">
        <v>-4228774.5599999996</v>
      </c>
      <c r="F195" s="1213" t="s">
        <v>963</v>
      </c>
      <c r="G195" s="1213" t="s">
        <v>980</v>
      </c>
      <c r="H195" s="651"/>
      <c r="I195" s="670"/>
      <c r="J195" s="651"/>
      <c r="K195" s="670"/>
      <c r="L195" s="653" t="str">
        <f t="shared" si="171"/>
        <v>4119</v>
      </c>
      <c r="M195" s="654" t="str">
        <f t="shared" si="172"/>
        <v>VTE - ATLAS</v>
      </c>
      <c r="N195" s="655">
        <f>+IF(OR($Q195=Parametres!$G$2,$Q195=Parametres!$G$3),I195,C195)</f>
        <v>-4044598.12</v>
      </c>
      <c r="O195" s="655">
        <f>+IF(OR($Q195=Parametres!$G$2,$Q195=Parametres!$G$3),J195,D195)</f>
        <v>-184176.44</v>
      </c>
      <c r="P195" s="655">
        <f>+IF(OR($Q195=Parametres!$G$2,$Q195=Parametres!$G$3),K195,E195)</f>
        <v>-4228774.5599999996</v>
      </c>
      <c r="Q195" s="654" t="str">
        <f t="shared" si="173"/>
        <v>5-Ventes</v>
      </c>
      <c r="R195" s="653" t="str">
        <f t="shared" si="174"/>
        <v>4119</v>
      </c>
      <c r="S195" s="654">
        <f t="shared" si="175"/>
        <v>0</v>
      </c>
      <c r="T195" s="656" t="str">
        <f>+VLOOKUP($L195,Data_Validation!$A:$D,1,0)</f>
        <v>4119</v>
      </c>
      <c r="U195" s="656" t="str">
        <f>+VLOOKUP($L195,Data_Validation!$A:$D,3,0)</f>
        <v>Véhicules neufs</v>
      </c>
      <c r="V195" s="656" t="str">
        <f>+VLOOKUP($L195,Data_Validation!$A:$D,4,0)</f>
        <v>Camions détail</v>
      </c>
      <c r="W195" s="656" t="str">
        <f>+VLOOKUP($L195,Data_Validation!$A:$E,5,0)</f>
        <v>$</v>
      </c>
      <c r="X195" s="656" t="str">
        <f>+VLOOKUP($L195,Data_Validation!$A:$F,6,0)</f>
        <v>Oui</v>
      </c>
    </row>
    <row r="196" spans="1:24" ht="15" hidden="1" customHeight="1">
      <c r="A196" s="1213" t="s">
        <v>983</v>
      </c>
      <c r="B196" s="1213" t="s">
        <v>3350</v>
      </c>
      <c r="C196" s="1215">
        <v>-231335</v>
      </c>
      <c r="D196" s="1215">
        <v>-56470</v>
      </c>
      <c r="E196" s="1215">
        <v>-287805</v>
      </c>
      <c r="F196" s="1213" t="s">
        <v>963</v>
      </c>
      <c r="G196" s="1213" t="s">
        <v>3350</v>
      </c>
      <c r="H196" s="651"/>
      <c r="I196" s="652"/>
      <c r="J196" s="652"/>
      <c r="K196" s="652"/>
      <c r="L196" s="653" t="str">
        <f t="shared" si="171"/>
        <v>4121</v>
      </c>
      <c r="M196" s="654" t="str">
        <f t="shared" si="172"/>
        <v>VTES -VTE - ATLAS CROSS SPORT</v>
      </c>
      <c r="N196" s="655">
        <f>+IF(OR($Q196=Parametres!$G$2,$Q196=Parametres!$G$3),I196,C196)</f>
        <v>-231335</v>
      </c>
      <c r="O196" s="655">
        <f>+IF(OR($Q196=Parametres!$G$2,$Q196=Parametres!$G$3),J196,D196)</f>
        <v>-56470</v>
      </c>
      <c r="P196" s="655">
        <f>+IF(OR($Q196=Parametres!$G$2,$Q196=Parametres!$G$3),K196,E196)</f>
        <v>-287805</v>
      </c>
      <c r="Q196" s="654" t="str">
        <f t="shared" si="173"/>
        <v>5-Ventes</v>
      </c>
      <c r="R196" s="653" t="str">
        <f t="shared" si="174"/>
        <v>4121</v>
      </c>
      <c r="S196" s="654">
        <f t="shared" si="175"/>
        <v>0</v>
      </c>
      <c r="T196" s="656" t="str">
        <f>+VLOOKUP($L196,Data_Validation!$A:$D,1,0)</f>
        <v>4121</v>
      </c>
      <c r="U196" s="656" t="str">
        <f>+VLOOKUP($L196,Data_Validation!$A:$D,3,0)</f>
        <v>Véhicules neufs</v>
      </c>
      <c r="V196" s="656" t="str">
        <f>+VLOOKUP($L196,Data_Validation!$A:$D,4,0)</f>
        <v>Camions détail</v>
      </c>
      <c r="W196" s="656" t="str">
        <f>+VLOOKUP($L196,Data_Validation!$A:$E,5,0)</f>
        <v>$</v>
      </c>
      <c r="X196" s="656" t="str">
        <f>+VLOOKUP($L196,Data_Validation!$A:$F,6,0)</f>
        <v>oui</v>
      </c>
    </row>
    <row r="197" spans="1:24" ht="15" hidden="1" customHeight="1">
      <c r="A197" s="1213" t="s">
        <v>986</v>
      </c>
      <c r="B197" s="1213" t="s">
        <v>987</v>
      </c>
      <c r="C197" s="1215">
        <v>-2409560.2000000002</v>
      </c>
      <c r="D197" s="1215">
        <v>-38945</v>
      </c>
      <c r="E197" s="1215">
        <v>-2448505.2000000002</v>
      </c>
      <c r="F197" s="1213" t="s">
        <v>963</v>
      </c>
      <c r="G197" s="1213" t="s">
        <v>987</v>
      </c>
      <c r="H197" s="651"/>
      <c r="I197" s="651"/>
      <c r="J197" s="651"/>
      <c r="K197" s="670"/>
      <c r="L197" s="653" t="str">
        <f t="shared" si="171"/>
        <v>4127</v>
      </c>
      <c r="M197" s="654" t="str">
        <f t="shared" si="172"/>
        <v>VTE - GOLF GTI</v>
      </c>
      <c r="N197" s="655">
        <f>+IF(OR($Q197=Parametres!$G$2,$Q197=Parametres!$G$3),I197,C197)</f>
        <v>-2409560.2000000002</v>
      </c>
      <c r="O197" s="659">
        <f>+IF(OR($Q197=Parametres!$G$2,$Q197=Parametres!$G$3),J197,D197)</f>
        <v>-38945</v>
      </c>
      <c r="P197" s="655">
        <f>+IF(OR($Q197=Parametres!$G$2,$Q197=Parametres!$G$3),K197,E197)</f>
        <v>-2448505.2000000002</v>
      </c>
      <c r="Q197" s="654" t="str">
        <f t="shared" si="173"/>
        <v>5-Ventes</v>
      </c>
      <c r="R197" s="653" t="str">
        <f t="shared" si="174"/>
        <v>4127</v>
      </c>
      <c r="S197" s="654">
        <f t="shared" si="175"/>
        <v>0</v>
      </c>
      <c r="T197" s="656" t="str">
        <f>+VLOOKUP($L197,Data_Validation!$A:$D,1,0)</f>
        <v>4127</v>
      </c>
      <c r="U197" s="656" t="str">
        <f>+VLOOKUP($L197,Data_Validation!$A:$D,3,0)</f>
        <v>Véhicules neufs</v>
      </c>
      <c r="V197" s="656" t="str">
        <f>+VLOOKUP($L197,Data_Validation!$A:$D,4,0)</f>
        <v>Autos détail</v>
      </c>
      <c r="W197" s="656" t="str">
        <f>+VLOOKUP($L197,Data_Validation!$A:$E,5,0)</f>
        <v>$</v>
      </c>
      <c r="X197" s="656" t="str">
        <f>+VLOOKUP($L197,Data_Validation!$A:$F,6,0)</f>
        <v>Oui</v>
      </c>
    </row>
    <row r="198" spans="1:24" ht="15" hidden="1" customHeight="1">
      <c r="A198" s="1213" t="s">
        <v>990</v>
      </c>
      <c r="B198" s="1213" t="s">
        <v>991</v>
      </c>
      <c r="C198" s="1215">
        <v>-4413011.1500000004</v>
      </c>
      <c r="D198" s="1215">
        <v>-181699.15</v>
      </c>
      <c r="E198" s="1215">
        <v>-4594710.3</v>
      </c>
      <c r="F198" s="1213" t="s">
        <v>963</v>
      </c>
      <c r="G198" s="1213" t="s">
        <v>991</v>
      </c>
      <c r="H198" s="651"/>
      <c r="I198" s="652"/>
      <c r="J198" s="652"/>
      <c r="K198" s="652"/>
      <c r="L198" s="653" t="str">
        <f t="shared" si="171"/>
        <v>4131</v>
      </c>
      <c r="M198" s="654" t="str">
        <f t="shared" si="172"/>
        <v>VTE - TIGUAN LWB</v>
      </c>
      <c r="N198" s="655">
        <f>+IF(OR($Q198=Parametres!$G$2,$Q198=Parametres!$G$3),I198,C198)</f>
        <v>-4413011.1500000004</v>
      </c>
      <c r="O198" s="655">
        <f>+IF(OR($Q198=Parametres!$G$2,$Q198=Parametres!$G$3),J198,D198)</f>
        <v>-181699.15</v>
      </c>
      <c r="P198" s="655">
        <f>+IF(OR($Q198=Parametres!$G$2,$Q198=Parametres!$G$3),K198,E198)</f>
        <v>-4594710.3</v>
      </c>
      <c r="Q198" s="654" t="str">
        <f t="shared" si="173"/>
        <v>5-Ventes</v>
      </c>
      <c r="R198" s="653" t="str">
        <f t="shared" si="174"/>
        <v>4131</v>
      </c>
      <c r="S198" s="654">
        <f t="shared" si="175"/>
        <v>0</v>
      </c>
      <c r="T198" s="656" t="str">
        <f>+VLOOKUP($L198,Data_Validation!$A:$D,1,0)</f>
        <v>4131</v>
      </c>
      <c r="U198" s="656" t="str">
        <f>+VLOOKUP($L198,Data_Validation!$A:$D,3,0)</f>
        <v>Véhicules neufs</v>
      </c>
      <c r="V198" s="656" t="str">
        <f>+VLOOKUP($L198,Data_Validation!$A:$D,4,0)</f>
        <v>Camions détail</v>
      </c>
      <c r="W198" s="656" t="str">
        <f>+VLOOKUP($L198,Data_Validation!$A:$E,5,0)</f>
        <v>$</v>
      </c>
      <c r="X198" s="656" t="str">
        <f>+VLOOKUP($L198,Data_Validation!$A:$F,6,0)</f>
        <v>Oui</v>
      </c>
    </row>
    <row r="199" spans="1:24" ht="15.75" hidden="1" customHeight="1">
      <c r="A199" s="1213" t="s">
        <v>994</v>
      </c>
      <c r="B199" s="1213" t="s">
        <v>995</v>
      </c>
      <c r="C199" s="1215">
        <v>-616048.41</v>
      </c>
      <c r="D199" s="1215">
        <v>-259140.04</v>
      </c>
      <c r="E199" s="1215">
        <v>-875188.45</v>
      </c>
      <c r="F199" s="1213" t="s">
        <v>963</v>
      </c>
      <c r="G199" s="1213" t="s">
        <v>995</v>
      </c>
      <c r="H199" s="651"/>
      <c r="I199" s="670"/>
      <c r="J199" s="651"/>
      <c r="K199" s="670"/>
      <c r="L199" s="653" t="str">
        <f t="shared" si="171"/>
        <v>4137</v>
      </c>
      <c r="M199" s="654" t="str">
        <f t="shared" si="172"/>
        <v>VTE - VW-FLOTTE/VENTES ENTR/EMPLOYE/VEH DEMON</v>
      </c>
      <c r="N199" s="655">
        <f>+IF(OR($Q199=Parametres!$G$2,$Q199=Parametres!$G$3),I199,C199)</f>
        <v>-616048.41</v>
      </c>
      <c r="O199" s="655">
        <f>+IF(OR($Q199=Parametres!$G$2,$Q199=Parametres!$G$3),J199,D199)</f>
        <v>-259140.04</v>
      </c>
      <c r="P199" s="655">
        <f>+IF(OR($Q199=Parametres!$G$2,$Q199=Parametres!$G$3),K199,E199)</f>
        <v>-875188.45</v>
      </c>
      <c r="Q199" s="654" t="str">
        <f t="shared" si="173"/>
        <v>5-Ventes</v>
      </c>
      <c r="R199" s="653" t="str">
        <f t="shared" si="174"/>
        <v>4137</v>
      </c>
      <c r="S199" s="654">
        <f t="shared" si="175"/>
        <v>0</v>
      </c>
      <c r="T199" s="656" t="str">
        <f>+VLOOKUP($L199,Data_Validation!$A:$D,1,0)</f>
        <v>4137</v>
      </c>
      <c r="U199" s="656" t="str">
        <f>+VLOOKUP($L199,Data_Validation!$A:$D,3,0)</f>
        <v>Véhicules neufs</v>
      </c>
      <c r="V199" s="656" t="str">
        <f>+VLOOKUP($L199,Data_Validation!$A:$D,4,0)</f>
        <v>Flottes</v>
      </c>
      <c r="W199" s="656" t="str">
        <f>+VLOOKUP($L199,Data_Validation!$A:$E,5,0)</f>
        <v>$</v>
      </c>
      <c r="X199" s="656" t="str">
        <f>+VLOOKUP($L199,Data_Validation!$A:$F,6,0)</f>
        <v>Oui</v>
      </c>
    </row>
    <row r="200" spans="1:24" ht="15" hidden="1" customHeight="1">
      <c r="A200" s="1213" t="s">
        <v>998</v>
      </c>
      <c r="B200" s="1213" t="s">
        <v>999</v>
      </c>
      <c r="C200" s="1215">
        <v>-1699279.49</v>
      </c>
      <c r="D200" s="1215">
        <v>-177820.44</v>
      </c>
      <c r="E200" s="1215">
        <v>-1877099.93</v>
      </c>
      <c r="F200" s="1213" t="s">
        <v>963</v>
      </c>
      <c r="G200" s="1213" t="s">
        <v>999</v>
      </c>
      <c r="H200" s="651"/>
      <c r="I200" s="652"/>
      <c r="J200" s="652"/>
      <c r="K200" s="652"/>
      <c r="L200" s="653" t="str">
        <f t="shared" si="171"/>
        <v>4139</v>
      </c>
      <c r="M200" s="654" t="str">
        <f t="shared" si="172"/>
        <v>VTE - VW FLOTTE/VENTE ENTR/EMPLOYE/VEH DEMONS</v>
      </c>
      <c r="N200" s="655">
        <f>+IF(OR($Q200=Parametres!$G$2,$Q200=Parametres!$G$3),I200,C200)</f>
        <v>-1699279.49</v>
      </c>
      <c r="O200" s="655">
        <f>+IF(OR($Q200=Parametres!$G$2,$Q200=Parametres!$G$3),J200,D200)</f>
        <v>-177820.44</v>
      </c>
      <c r="P200" s="655">
        <f>+IF(OR($Q200=Parametres!$G$2,$Q200=Parametres!$G$3),K200,E200)</f>
        <v>-1877099.93</v>
      </c>
      <c r="Q200" s="654" t="str">
        <f t="shared" si="173"/>
        <v>5-Ventes</v>
      </c>
      <c r="R200" s="653" t="str">
        <f t="shared" si="174"/>
        <v>4139</v>
      </c>
      <c r="S200" s="654">
        <f t="shared" si="175"/>
        <v>0</v>
      </c>
      <c r="T200" s="656" t="str">
        <f>+VLOOKUP($L200,Data_Validation!$A:$D,1,0)</f>
        <v>4139</v>
      </c>
      <c r="U200" s="656" t="str">
        <f>+VLOOKUP($L200,Data_Validation!$A:$D,3,0)</f>
        <v>Véhicules neufs</v>
      </c>
      <c r="V200" s="656" t="str">
        <f>+VLOOKUP($L200,Data_Validation!$A:$D,4,0)</f>
        <v>Ex-Démos et courtoisies</v>
      </c>
      <c r="W200" s="656" t="str">
        <f>+VLOOKUP($L200,Data_Validation!$A:$E,5,0)</f>
        <v>$</v>
      </c>
      <c r="X200" s="656" t="str">
        <f>+VLOOKUP($L200,Data_Validation!$A:$F,6,0)</f>
        <v>Oui</v>
      </c>
    </row>
    <row r="201" spans="1:24" ht="15" hidden="1" customHeight="1">
      <c r="A201" s="1213" t="s">
        <v>3911</v>
      </c>
      <c r="B201" s="1213" t="s">
        <v>3912</v>
      </c>
      <c r="C201" s="1215">
        <v>-9852708.1500000004</v>
      </c>
      <c r="D201" s="1215">
        <v>-693350.08</v>
      </c>
      <c r="E201" s="1215">
        <v>-10546058.23</v>
      </c>
      <c r="F201" s="1213" t="s">
        <v>963</v>
      </c>
      <c r="G201" s="1213" t="s">
        <v>3912</v>
      </c>
      <c r="H201" s="650"/>
      <c r="I201" s="652"/>
      <c r="J201" s="652"/>
      <c r="K201" s="652"/>
      <c r="L201" s="653" t="str">
        <f t="shared" si="171"/>
        <v>4141</v>
      </c>
      <c r="M201" s="654" t="str">
        <f t="shared" si="172"/>
        <v>VTES -VTE - ID4</v>
      </c>
      <c r="N201" s="655">
        <f>+IF(OR($Q201=Parametres!$G$2,$Q201=Parametres!$G$3),I201,C201)</f>
        <v>-9852708.1500000004</v>
      </c>
      <c r="O201" s="655">
        <f>+IF(OR($Q201=Parametres!$G$2,$Q201=Parametres!$G$3),J201,D201)</f>
        <v>-693350.08</v>
      </c>
      <c r="P201" s="655">
        <f>+IF(OR($Q201=Parametres!$G$2,$Q201=Parametres!$G$3),K201,E201)</f>
        <v>-10546058.23</v>
      </c>
      <c r="Q201" s="654" t="str">
        <f t="shared" si="173"/>
        <v>5-Ventes</v>
      </c>
      <c r="R201" s="653" t="str">
        <f t="shared" si="174"/>
        <v>4141</v>
      </c>
      <c r="S201" s="654">
        <f t="shared" si="175"/>
        <v>0</v>
      </c>
      <c r="T201" s="656" t="str">
        <f>+VLOOKUP($L201,Data_Validation!$A:$D,1,0)</f>
        <v>4141</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hidden="1" customHeight="1">
      <c r="A202" s="1213" t="s">
        <v>1002</v>
      </c>
      <c r="B202" s="1213" t="s">
        <v>3382</v>
      </c>
      <c r="C202" s="1215">
        <v>-736951.19</v>
      </c>
      <c r="D202" s="1215">
        <v>-41054.949999999997</v>
      </c>
      <c r="E202" s="1215">
        <v>-778006.14</v>
      </c>
      <c r="F202" s="1213" t="s">
        <v>963</v>
      </c>
      <c r="G202" s="1213" t="s">
        <v>1003</v>
      </c>
      <c r="H202" s="650"/>
      <c r="I202" s="652"/>
      <c r="J202" s="652"/>
      <c r="K202" s="652"/>
      <c r="L202" s="653" t="str">
        <f t="shared" si="171"/>
        <v>4144</v>
      </c>
      <c r="M202" s="654" t="str">
        <f t="shared" si="172"/>
        <v>VTES -JETTA GLI</v>
      </c>
      <c r="N202" s="655">
        <f>+IF(OR($Q202=Parametres!$G$2,$Q202=Parametres!$G$3),I202,C202)</f>
        <v>-736951.19</v>
      </c>
      <c r="O202" s="655">
        <f>+IF(OR($Q202=Parametres!$G$2,$Q202=Parametres!$G$3),J202,D202)</f>
        <v>-41054.949999999997</v>
      </c>
      <c r="P202" s="655">
        <f>+IF(OR($Q202=Parametres!$G$2,$Q202=Parametres!$G$3),K202,E202)</f>
        <v>-778006.14</v>
      </c>
      <c r="Q202" s="654" t="str">
        <f t="shared" si="173"/>
        <v>5-Ventes</v>
      </c>
      <c r="R202" s="653" t="str">
        <f t="shared" si="174"/>
        <v>414</v>
      </c>
      <c r="S202" s="654">
        <f t="shared" si="175"/>
        <v>0</v>
      </c>
      <c r="T202" s="656" t="str">
        <f>+VLOOKUP($L202,Data_Validation!$A:$D,1,0)</f>
        <v>4144</v>
      </c>
      <c r="U202" s="656" t="str">
        <f>+VLOOKUP($L202,Data_Validation!$A:$D,3,0)</f>
        <v>Véhicules neufs</v>
      </c>
      <c r="V202" s="656" t="str">
        <f>+VLOOKUP($L202,Data_Validation!$A:$D,4,0)</f>
        <v>Autos détail</v>
      </c>
      <c r="W202" s="656" t="str">
        <f>+VLOOKUP($L202,Data_Validation!$A:$E,5,0)</f>
        <v>$</v>
      </c>
      <c r="X202" s="656" t="str">
        <f>+VLOOKUP($L202,Data_Validation!$A:$F,6,0)</f>
        <v>Oui</v>
      </c>
    </row>
    <row r="203" spans="1:24" ht="15" hidden="1" customHeight="1">
      <c r="A203" s="1213" t="s">
        <v>1006</v>
      </c>
      <c r="B203" s="1213" t="s">
        <v>1007</v>
      </c>
      <c r="C203" s="1215">
        <v>-7105150.3799999999</v>
      </c>
      <c r="D203" s="1215">
        <v>-395199.2</v>
      </c>
      <c r="E203" s="1215">
        <v>-7500349.5800000001</v>
      </c>
      <c r="F203" s="1213" t="s">
        <v>963</v>
      </c>
      <c r="G203" s="1213" t="s">
        <v>1007</v>
      </c>
      <c r="H203" s="651"/>
      <c r="I203" s="660"/>
      <c r="J203" s="660"/>
      <c r="K203" s="660"/>
      <c r="L203" s="653" t="str">
        <f t="shared" si="171"/>
        <v>4201</v>
      </c>
      <c r="M203" s="654" t="str">
        <f t="shared" si="172"/>
        <v>VTE - VEH.USAGE VW DETAIL CERTIFIE</v>
      </c>
      <c r="N203" s="655">
        <f>+IF(OR($Q203=Parametres!$G$2,$Q203=Parametres!$G$3),I203,C203)</f>
        <v>-7105150.3799999999</v>
      </c>
      <c r="O203" s="655">
        <f>+IF(OR($Q203=Parametres!$G$2,$Q203=Parametres!$G$3),J203,D203)</f>
        <v>-395199.2</v>
      </c>
      <c r="P203" s="655">
        <f>+IF(OR($Q203=Parametres!$G$2,$Q203=Parametres!$G$3),K203,E203)</f>
        <v>-7500349.5800000001</v>
      </c>
      <c r="Q203" s="654" t="str">
        <f t="shared" si="173"/>
        <v>5-Ventes</v>
      </c>
      <c r="R203" s="653" t="str">
        <f t="shared" si="174"/>
        <v>4201</v>
      </c>
      <c r="S203" s="654">
        <f t="shared" si="175"/>
        <v>0</v>
      </c>
      <c r="T203" s="656" t="str">
        <f>+VLOOKUP($L203,Data_Validation!$A:$D,1,0)</f>
        <v>4201</v>
      </c>
      <c r="U203" s="656" t="str">
        <f>+VLOOKUP($L203,Data_Validation!$A:$D,3,0)</f>
        <v>Véhicules usagés</v>
      </c>
      <c r="V203" s="656" t="str">
        <f>+VLOOKUP($L203,Data_Validation!$A:$D,4,0)</f>
        <v>Certifié</v>
      </c>
      <c r="W203" s="656" t="str">
        <f>+VLOOKUP($L203,Data_Validation!$A:$E,5,0)</f>
        <v>$</v>
      </c>
      <c r="X203" s="656" t="str">
        <f>+VLOOKUP($L203,Data_Validation!$A:$F,6,0)</f>
        <v>Oui</v>
      </c>
    </row>
    <row r="204" spans="1:24" ht="15" hidden="1" customHeight="1">
      <c r="A204" s="1213" t="s">
        <v>1010</v>
      </c>
      <c r="B204" s="1213" t="s">
        <v>1011</v>
      </c>
      <c r="C204" s="1215">
        <v>-123287.51</v>
      </c>
      <c r="D204" s="1215">
        <v>0</v>
      </c>
      <c r="E204" s="1215">
        <v>-123287.51</v>
      </c>
      <c r="F204" s="1213" t="s">
        <v>963</v>
      </c>
      <c r="G204" s="1213" t="s">
        <v>1011</v>
      </c>
      <c r="H204" s="651"/>
      <c r="I204" s="652"/>
      <c r="J204" s="652"/>
      <c r="K204" s="652"/>
      <c r="L204" s="653" t="str">
        <f t="shared" si="171"/>
        <v>4211</v>
      </c>
      <c r="M204" s="654" t="str">
        <f t="shared" si="172"/>
        <v>VTE - VW USAGES DETAIL</v>
      </c>
      <c r="N204" s="655">
        <f>+IF(OR($Q204=Parametres!$G$2,$Q204=Parametres!$G$3),I204,C204)</f>
        <v>-123287.51</v>
      </c>
      <c r="O204" s="659">
        <f>+IF(OR($Q204=Parametres!$G$2,$Q204=Parametres!$G$3),J204,D204)</f>
        <v>0</v>
      </c>
      <c r="P204" s="655">
        <f>+IF(OR($Q204=Parametres!$G$2,$Q204=Parametres!$G$3),K204,E204)</f>
        <v>-123287.51</v>
      </c>
      <c r="Q204" s="654" t="str">
        <f t="shared" si="173"/>
        <v>5-Ventes</v>
      </c>
      <c r="R204" s="653" t="str">
        <f t="shared" si="174"/>
        <v>4211</v>
      </c>
      <c r="S204" s="654">
        <f t="shared" si="175"/>
        <v>0</v>
      </c>
      <c r="T204" s="656" t="str">
        <f>+VLOOKUP($L204,Data_Validation!$A:$D,1,0)</f>
        <v>4211</v>
      </c>
      <c r="U204" s="656" t="str">
        <f>+VLOOKUP($L204,Data_Validation!$A:$D,3,0)</f>
        <v>Véhicules usagés</v>
      </c>
      <c r="V204" s="656" t="str">
        <f>+VLOOKUP($L204,Data_Validation!$A:$D,4,0)</f>
        <v>Non Certifié</v>
      </c>
      <c r="W204" s="656" t="str">
        <f>+VLOOKUP($L204,Data_Validation!$A:$E,5,0)</f>
        <v>$</v>
      </c>
      <c r="X204" s="656" t="str">
        <f>+VLOOKUP($L204,Data_Validation!$A:$F,6,0)</f>
        <v>Oui</v>
      </c>
    </row>
    <row r="205" spans="1:24" ht="15" hidden="1" customHeight="1">
      <c r="A205" s="1213" t="s">
        <v>1014</v>
      </c>
      <c r="B205" s="1213" t="s">
        <v>1933</v>
      </c>
      <c r="C205" s="1215">
        <v>-370303.8</v>
      </c>
      <c r="D205" s="1215">
        <v>-10797.6</v>
      </c>
      <c r="E205" s="1215">
        <v>-381101.4</v>
      </c>
      <c r="F205" s="1213" t="s">
        <v>963</v>
      </c>
      <c r="G205" s="1213" t="s">
        <v>1015</v>
      </c>
      <c r="H205" s="651"/>
      <c r="I205" s="670"/>
      <c r="J205" s="651"/>
      <c r="K205" s="670"/>
      <c r="L205" s="653" t="str">
        <f t="shared" si="171"/>
        <v>4285</v>
      </c>
      <c r="M205" s="654" t="str">
        <f t="shared" si="172"/>
        <v>VEH. D'OCC. AUTRE DETAIL</v>
      </c>
      <c r="N205" s="655">
        <f>+IF(OR($Q205=Parametres!$G$2,$Q205=Parametres!$G$3),I205,C205)</f>
        <v>-370303.8</v>
      </c>
      <c r="O205" s="655">
        <f>+IF(OR($Q205=Parametres!$G$2,$Q205=Parametres!$G$3),J205,D205)</f>
        <v>-10797.6</v>
      </c>
      <c r="P205" s="655">
        <f>+IF(OR($Q205=Parametres!$G$2,$Q205=Parametres!$G$3),K205,E205)</f>
        <v>-381101.4</v>
      </c>
      <c r="Q205" s="654" t="str">
        <f t="shared" si="173"/>
        <v>5-Ventes</v>
      </c>
      <c r="R205" s="653" t="str">
        <f t="shared" si="174"/>
        <v>4261</v>
      </c>
      <c r="S205" s="654">
        <f t="shared" si="175"/>
        <v>0</v>
      </c>
      <c r="T205" s="671" t="str">
        <f>+VLOOKUP($L205,Data_Validation!$A:$D,1,0)</f>
        <v>4285</v>
      </c>
      <c r="U205" s="656" t="str">
        <f>+VLOOKUP($L205,Data_Validation!$A:$D,3,0)</f>
        <v>Véhicules usagés</v>
      </c>
      <c r="V205" s="656" t="str">
        <f>+VLOOKUP($L205,Data_Validation!$A:$D,4,0)</f>
        <v>Autres Marques</v>
      </c>
      <c r="W205" s="656" t="str">
        <f>+VLOOKUP($L205,Data_Validation!$A:$E,5,0)</f>
        <v>$</v>
      </c>
      <c r="X205" s="656" t="str">
        <f>+VLOOKUP($L205,Data_Validation!$A:$F,6,0)</f>
        <v>Oui</v>
      </c>
    </row>
    <row r="206" spans="1:24" ht="15.75" hidden="1" customHeight="1">
      <c r="A206" s="1213" t="s">
        <v>1018</v>
      </c>
      <c r="B206" s="1213" t="s">
        <v>1942</v>
      </c>
      <c r="C206" s="1215">
        <v>-6288817.8600000003</v>
      </c>
      <c r="D206" s="1215">
        <v>-365310</v>
      </c>
      <c r="E206" s="1215">
        <v>-6654127.8600000003</v>
      </c>
      <c r="F206" s="1213" t="s">
        <v>963</v>
      </c>
      <c r="G206" s="1213" t="s">
        <v>1019</v>
      </c>
      <c r="H206" s="651"/>
      <c r="I206" s="652"/>
      <c r="J206" s="652"/>
      <c r="K206" s="652"/>
      <c r="L206" s="653" t="str">
        <f t="shared" si="171"/>
        <v>4291</v>
      </c>
      <c r="M206" s="654" t="str">
        <f t="shared" si="172"/>
        <v>VEH. D'OCC. AU GROS</v>
      </c>
      <c r="N206" s="655">
        <f>+IF(OR($Q206=Parametres!$G$2,$Q206=Parametres!$G$3),I206,C206)</f>
        <v>-6288817.8600000003</v>
      </c>
      <c r="O206" s="655">
        <f>+IF(OR($Q206=Parametres!$G$2,$Q206=Parametres!$G$3),J206,D206)</f>
        <v>-365310</v>
      </c>
      <c r="P206" s="655">
        <f>+IF(OR($Q206=Parametres!$G$2,$Q206=Parametres!$G$3),K206,E206)</f>
        <v>-6654127.8600000003</v>
      </c>
      <c r="Q206" s="654" t="str">
        <f t="shared" si="173"/>
        <v>5-Ventes</v>
      </c>
      <c r="R206" s="653" t="str">
        <f t="shared" si="174"/>
        <v>4281</v>
      </c>
      <c r="S206" s="654">
        <f t="shared" si="175"/>
        <v>0</v>
      </c>
      <c r="T206" s="656" t="str">
        <f>+VLOOKUP($L206,Data_Validation!$A:$D,1,0)</f>
        <v>4291</v>
      </c>
      <c r="U206" s="656" t="str">
        <f>+VLOOKUP($L206,Data_Validation!$A:$D,3,0)</f>
        <v>Véhicules usagés</v>
      </c>
      <c r="V206" s="656" t="str">
        <f>+VLOOKUP($L206,Data_Validation!$A:$D,4,0)</f>
        <v>Ventes au Gros</v>
      </c>
      <c r="W206" s="656" t="str">
        <f>+VLOOKUP($L206,Data_Validation!$A:$E,5,0)</f>
        <v>$</v>
      </c>
      <c r="X206" s="656" t="str">
        <f>+VLOOKUP($L206,Data_Validation!$A:$F,6,0)</f>
        <v>Oui</v>
      </c>
    </row>
    <row r="207" spans="1:24" ht="15" hidden="1" customHeight="1">
      <c r="A207" s="1213" t="s">
        <v>3672</v>
      </c>
      <c r="B207" s="1213" t="s">
        <v>1023</v>
      </c>
      <c r="C207" s="1215">
        <v>-1709093.5</v>
      </c>
      <c r="D207" s="1215">
        <v>-115657.77</v>
      </c>
      <c r="E207" s="1215">
        <v>-1824751.27</v>
      </c>
      <c r="F207" s="1213" t="s">
        <v>963</v>
      </c>
      <c r="G207" s="1213" t="s">
        <v>1023</v>
      </c>
      <c r="H207" s="651"/>
      <c r="I207" s="670"/>
      <c r="J207" s="651"/>
      <c r="K207" s="670"/>
      <c r="L207" s="653" t="str">
        <f t="shared" si="171"/>
        <v>4401</v>
      </c>
      <c r="M207" s="654" t="str">
        <f t="shared" si="172"/>
        <v>MAIN-D'OEUVRE - CLIENT VW - MCI</v>
      </c>
      <c r="N207" s="655">
        <f>+IF(OR($Q207=Parametres!$G$2,$Q207=Parametres!$G$3),I207,C207)</f>
        <v>-1709093.5</v>
      </c>
      <c r="O207" s="659">
        <f>+IF(OR($Q207=Parametres!$G$2,$Q207=Parametres!$G$3),J207,D207)</f>
        <v>-115657.77</v>
      </c>
      <c r="P207" s="655">
        <f>+IF(OR($Q207=Parametres!$G$2,$Q207=Parametres!$G$3),K207,E207)</f>
        <v>-1824751.27</v>
      </c>
      <c r="Q207" s="654" t="str">
        <f t="shared" si="173"/>
        <v>5-Ventes</v>
      </c>
      <c r="R207" s="653" t="str">
        <f t="shared" si="174"/>
        <v>4401</v>
      </c>
      <c r="S207" s="654">
        <f t="shared" si="175"/>
        <v>0</v>
      </c>
      <c r="T207" s="656" t="str">
        <f>+VLOOKUP($L207,Data_Validation!$A:$D,1,0)</f>
        <v>4401</v>
      </c>
      <c r="U207" s="656" t="str">
        <f>+VLOOKUP($L207,Data_Validation!$A:$D,3,0)</f>
        <v>Service</v>
      </c>
      <c r="V207" s="656" t="str">
        <f>+VLOOKUP($L207,Data_Validation!$A:$D,4,0)</f>
        <v>M/O Client</v>
      </c>
      <c r="W207" s="656" t="str">
        <f>+VLOOKUP($L207,Data_Validation!$A:$E,5,0)</f>
        <v>$</v>
      </c>
      <c r="X207" s="656" t="str">
        <f>+VLOOKUP($L207,Data_Validation!$A:$F,6,0)</f>
        <v>Oui</v>
      </c>
    </row>
    <row r="208" spans="1:24" ht="15" hidden="1" customHeight="1">
      <c r="A208" s="1213" t="s">
        <v>1025</v>
      </c>
      <c r="B208" s="1213" t="s">
        <v>1026</v>
      </c>
      <c r="C208" s="1215">
        <v>-149541.78</v>
      </c>
      <c r="D208" s="1215">
        <v>-6881.58</v>
      </c>
      <c r="E208" s="1215">
        <v>-156423.35999999999</v>
      </c>
      <c r="F208" s="1213" t="s">
        <v>963</v>
      </c>
      <c r="G208" s="1213" t="s">
        <v>1026</v>
      </c>
      <c r="H208" s="651"/>
      <c r="I208" s="652"/>
      <c r="J208" s="652"/>
      <c r="K208" s="652"/>
      <c r="L208" s="653" t="str">
        <f t="shared" si="171"/>
        <v>4402</v>
      </c>
      <c r="M208" s="654" t="str">
        <f t="shared" si="172"/>
        <v>VTE - M.O. ESTHETIQUE CLIENT</v>
      </c>
      <c r="N208" s="655">
        <f>+IF(OR($Q208=Parametres!$G$2,$Q208=Parametres!$G$3),I208,C208)</f>
        <v>-149541.78</v>
      </c>
      <c r="O208" s="655">
        <f>+IF(OR($Q208=Parametres!$G$2,$Q208=Parametres!$G$3),J208,D208)</f>
        <v>-6881.58</v>
      </c>
      <c r="P208" s="655">
        <f>+IF(OR($Q208=Parametres!$G$2,$Q208=Parametres!$G$3),K208,E208)</f>
        <v>-156423.35999999999</v>
      </c>
      <c r="Q208" s="654" t="str">
        <f t="shared" si="173"/>
        <v>5-Ventes</v>
      </c>
      <c r="R208" s="653" t="str">
        <f t="shared" si="174"/>
        <v>4402</v>
      </c>
      <c r="S208" s="654">
        <f t="shared" si="175"/>
        <v>0</v>
      </c>
      <c r="T208" s="656" t="str">
        <f>+VLOOKUP($L208,Data_Validation!$A:$D,1,0)</f>
        <v>4402</v>
      </c>
      <c r="U208" s="656" t="str">
        <f>+VLOOKUP($L208,Data_Validation!$A:$D,3,0)</f>
        <v>Service</v>
      </c>
      <c r="V208" s="656" t="str">
        <f>+VLOOKUP($L208,Data_Validation!$A:$D,4,0)</f>
        <v>M/O Esthétique</v>
      </c>
      <c r="W208" s="656" t="str">
        <f>+VLOOKUP($L208,Data_Validation!$A:$E,5,0)</f>
        <v>$</v>
      </c>
      <c r="X208" s="656" t="str">
        <f>+VLOOKUP($L208,Data_Validation!$A:$F,6,0)</f>
        <v>Oui</v>
      </c>
    </row>
    <row r="209" spans="1:24" ht="15" hidden="1" customHeight="1">
      <c r="A209" s="1213" t="s">
        <v>3673</v>
      </c>
      <c r="B209" s="1213" t="s">
        <v>1028</v>
      </c>
      <c r="C209" s="1215">
        <v>-374152.42</v>
      </c>
      <c r="D209" s="1215">
        <v>-49986.77</v>
      </c>
      <c r="E209" s="1215">
        <v>-424139.19</v>
      </c>
      <c r="F209" s="1213" t="s">
        <v>963</v>
      </c>
      <c r="G209" s="1213" t="s">
        <v>1028</v>
      </c>
      <c r="H209" s="651"/>
      <c r="I209" s="670"/>
      <c r="J209" s="651"/>
      <c r="K209" s="670"/>
      <c r="L209" s="653" t="str">
        <f t="shared" si="171"/>
        <v>4403</v>
      </c>
      <c r="M209" s="654" t="str">
        <f t="shared" si="172"/>
        <v>MAIN-D'OEUVRE - GARANTIE VW - MCI</v>
      </c>
      <c r="N209" s="655">
        <f>+IF(OR($Q209=Parametres!$G$2,$Q209=Parametres!$G$3),I209,C209)</f>
        <v>-374152.42</v>
      </c>
      <c r="O209" s="655">
        <f>+IF(OR($Q209=Parametres!$G$2,$Q209=Parametres!$G$3),J209,D209)</f>
        <v>-49986.77</v>
      </c>
      <c r="P209" s="655">
        <f>+IF(OR($Q209=Parametres!$G$2,$Q209=Parametres!$G$3),K209,E209)</f>
        <v>-424139.19</v>
      </c>
      <c r="Q209" s="654" t="str">
        <f t="shared" si="173"/>
        <v>5-Ventes</v>
      </c>
      <c r="R209" s="653" t="str">
        <f t="shared" si="174"/>
        <v>4403</v>
      </c>
      <c r="S209" s="654">
        <f t="shared" si="175"/>
        <v>0</v>
      </c>
      <c r="T209" s="671" t="str">
        <f>+VLOOKUP($L209,Data_Validation!$A:$D,1,0)</f>
        <v>4403</v>
      </c>
      <c r="U209" s="656" t="str">
        <f>+VLOOKUP($L209,Data_Validation!$A:$D,3,0)</f>
        <v>Service</v>
      </c>
      <c r="V209" s="656" t="str">
        <f>+VLOOKUP($L209,Data_Validation!$A:$D,4,0)</f>
        <v>M/O Garantie</v>
      </c>
      <c r="W209" s="656" t="str">
        <f>+VLOOKUP($L209,Data_Validation!$A:$E,5,0)</f>
        <v>$</v>
      </c>
      <c r="X209" s="656" t="str">
        <f>+VLOOKUP($L209,Data_Validation!$A:$F,6,0)</f>
        <v>Oui</v>
      </c>
    </row>
    <row r="210" spans="1:24" ht="15" hidden="1" customHeight="1">
      <c r="A210" s="1213" t="s">
        <v>3674</v>
      </c>
      <c r="B210" s="1213" t="s">
        <v>1031</v>
      </c>
      <c r="C210" s="1215">
        <v>-819757.81</v>
      </c>
      <c r="D210" s="1215">
        <v>-65724.02</v>
      </c>
      <c r="E210" s="1215">
        <v>-885481.83</v>
      </c>
      <c r="F210" s="1213" t="s">
        <v>963</v>
      </c>
      <c r="G210" s="1213" t="s">
        <v>1031</v>
      </c>
      <c r="H210" s="651"/>
      <c r="I210" s="652"/>
      <c r="J210" s="652"/>
      <c r="K210" s="652"/>
      <c r="L210" s="653" t="str">
        <f t="shared" si="171"/>
        <v>4405</v>
      </c>
      <c r="M210" s="654" t="str">
        <f t="shared" si="172"/>
        <v>MAIN-D'OEUVRE - INTERNE VW - MCI</v>
      </c>
      <c r="N210" s="655">
        <f>+IF(OR($Q210=Parametres!$G$2,$Q210=Parametres!$G$3),I210,C210)</f>
        <v>-819757.81</v>
      </c>
      <c r="O210" s="659">
        <f>+IF(OR($Q210=Parametres!$G$2,$Q210=Parametres!$G$3),J210,D210)</f>
        <v>-65724.02</v>
      </c>
      <c r="P210" s="655">
        <f>+IF(OR($Q210=Parametres!$G$2,$Q210=Parametres!$G$3),K210,E210)</f>
        <v>-885481.83</v>
      </c>
      <c r="Q210" s="654" t="str">
        <f t="shared" si="173"/>
        <v>5-Ventes</v>
      </c>
      <c r="R210" s="653" t="str">
        <f t="shared" si="174"/>
        <v>4405</v>
      </c>
      <c r="S210" s="654">
        <f t="shared" si="175"/>
        <v>0</v>
      </c>
      <c r="T210" s="656" t="str">
        <f>+VLOOKUP($L210,Data_Validation!$A:$D,1,0)</f>
        <v>4405</v>
      </c>
      <c r="U210" s="656" t="str">
        <f>+VLOOKUP($L210,Data_Validation!$A:$D,3,0)</f>
        <v>Service</v>
      </c>
      <c r="V210" s="656" t="str">
        <f>+VLOOKUP($L210,Data_Validation!$A:$D,4,0)</f>
        <v>M/O Interne</v>
      </c>
      <c r="W210" s="656" t="str">
        <f>+VLOOKUP($L210,Data_Validation!$A:$E,5,0)</f>
        <v>$</v>
      </c>
      <c r="X210" s="656" t="str">
        <f>+VLOOKUP($L210,Data_Validation!$A:$F,6,0)</f>
        <v>Oui</v>
      </c>
    </row>
    <row r="211" spans="1:24" ht="15.75" hidden="1" customHeight="1">
      <c r="A211" s="1213" t="s">
        <v>1033</v>
      </c>
      <c r="B211" s="1213" t="s">
        <v>1974</v>
      </c>
      <c r="C211" s="1215">
        <v>-266294.65999999997</v>
      </c>
      <c r="D211" s="1215">
        <v>-18305.580000000002</v>
      </c>
      <c r="E211" s="1215">
        <v>-284600.24</v>
      </c>
      <c r="F211" s="1213" t="s">
        <v>963</v>
      </c>
      <c r="G211" s="1213" t="s">
        <v>1034</v>
      </c>
      <c r="H211" s="651"/>
      <c r="I211" s="670"/>
      <c r="J211" s="651"/>
      <c r="K211" s="670"/>
      <c r="L211" s="653" t="str">
        <f t="shared" si="171"/>
        <v>4451</v>
      </c>
      <c r="M211" s="654" t="str">
        <f t="shared" si="172"/>
        <v>CARBURANT/HUILE/GRAISSE</v>
      </c>
      <c r="N211" s="655">
        <f>+IF(OR($Q211=Parametres!$G$2,$Q211=Parametres!$G$3),I211,C211)</f>
        <v>-266294.65999999997</v>
      </c>
      <c r="O211" s="655">
        <f>+IF(OR($Q211=Parametres!$G$2,$Q211=Parametres!$G$3),J211,D211)</f>
        <v>-18305.580000000002</v>
      </c>
      <c r="P211" s="655">
        <f>+IF(OR($Q211=Parametres!$G$2,$Q211=Parametres!$G$3),K211,E211)</f>
        <v>-284600.24</v>
      </c>
      <c r="Q211" s="654" t="str">
        <f t="shared" si="173"/>
        <v>5-Ventes</v>
      </c>
      <c r="R211" s="653" t="str">
        <f t="shared" si="174"/>
        <v>4782</v>
      </c>
      <c r="S211" s="654">
        <f t="shared" si="175"/>
        <v>0</v>
      </c>
      <c r="T211" s="656" t="str">
        <f>+VLOOKUP($L211,Data_Validation!$A:$D,1,0)</f>
        <v>4451</v>
      </c>
      <c r="U211" s="656" t="str">
        <f>+VLOOKUP($L211,Data_Validation!$A:$D,3,0)</f>
        <v>Pièces</v>
      </c>
      <c r="V211" s="656" t="str">
        <f>+VLOOKUP($L211,Data_Validation!$A:$D,4,0)</f>
        <v>Huiles et Graisse</v>
      </c>
      <c r="W211" s="656" t="str">
        <f>+VLOOKUP($L211,Data_Validation!$A:$E,5,0)</f>
        <v>$</v>
      </c>
      <c r="X211" s="656" t="str">
        <f>+VLOOKUP($L211,Data_Validation!$A:$F,6,0)</f>
        <v>Oui</v>
      </c>
    </row>
    <row r="212" spans="1:24" ht="15" hidden="1" customHeight="1">
      <c r="A212" s="1213" t="s">
        <v>1036</v>
      </c>
      <c r="B212" s="1213" t="s">
        <v>1037</v>
      </c>
      <c r="C212" s="1215">
        <v>-65272.68</v>
      </c>
      <c r="D212" s="1215">
        <v>-3611.26</v>
      </c>
      <c r="E212" s="1215">
        <v>-68883.94</v>
      </c>
      <c r="F212" s="1213" t="s">
        <v>963</v>
      </c>
      <c r="G212" s="1213" t="s">
        <v>1037</v>
      </c>
      <c r="H212" s="651"/>
      <c r="I212" s="652"/>
      <c r="J212" s="652"/>
      <c r="K212" s="652"/>
      <c r="L212" s="653" t="str">
        <f t="shared" si="171"/>
        <v>4491</v>
      </c>
      <c r="M212" s="654" t="str">
        <f t="shared" si="172"/>
        <v>REPARATION SOUS-LOC. - GENERAL</v>
      </c>
      <c r="N212" s="655">
        <f>+IF(OR($Q212=Parametres!$G$2,$Q212=Parametres!$G$3),I212,C212)</f>
        <v>-65272.68</v>
      </c>
      <c r="O212" s="655">
        <f>+IF(OR($Q212=Parametres!$G$2,$Q212=Parametres!$G$3),J212,D212)</f>
        <v>-3611.26</v>
      </c>
      <c r="P212" s="655">
        <f>+IF(OR($Q212=Parametres!$G$2,$Q212=Parametres!$G$3),K212,E212)</f>
        <v>-68883.94</v>
      </c>
      <c r="Q212" s="654" t="str">
        <f t="shared" si="173"/>
        <v>5-Ventes</v>
      </c>
      <c r="R212" s="653" t="str">
        <f t="shared" si="174"/>
        <v>4491</v>
      </c>
      <c r="S212" s="654">
        <f t="shared" si="175"/>
        <v>0</v>
      </c>
      <c r="T212" s="656" t="str">
        <f>+VLOOKUP($L212,Data_Validation!$A:$D,1,0)</f>
        <v>4491</v>
      </c>
      <c r="U212" s="656" t="str">
        <f>+VLOOKUP($L212,Data_Validation!$A:$D,3,0)</f>
        <v>Service</v>
      </c>
      <c r="V212" s="656" t="str">
        <f>+VLOOKUP($L212,Data_Validation!$A:$D,4,0)</f>
        <v>Sous-traitement</v>
      </c>
      <c r="W212" s="656" t="str">
        <f>+VLOOKUP($L212,Data_Validation!$A:$E,5,0)</f>
        <v>$</v>
      </c>
      <c r="X212" s="656" t="str">
        <f>+VLOOKUP($L212,Data_Validation!$A:$F,6,0)</f>
        <v>Oui</v>
      </c>
    </row>
    <row r="213" spans="1:24" ht="15" hidden="1" customHeight="1">
      <c r="A213" s="1213" t="s">
        <v>1039</v>
      </c>
      <c r="B213" s="1213" t="s">
        <v>1040</v>
      </c>
      <c r="C213" s="1215">
        <v>-11150</v>
      </c>
      <c r="D213" s="1215">
        <v>0</v>
      </c>
      <c r="E213" s="1215">
        <v>-11150</v>
      </c>
      <c r="F213" s="1213" t="s">
        <v>963</v>
      </c>
      <c r="G213" s="1213" t="s">
        <v>1040</v>
      </c>
      <c r="H213" s="651"/>
      <c r="I213" s="670"/>
      <c r="J213" s="651"/>
      <c r="K213" s="670"/>
      <c r="L213" s="653" t="str">
        <f t="shared" si="171"/>
        <v>4493</v>
      </c>
      <c r="M213" s="654" t="str">
        <f t="shared" si="172"/>
        <v>VTE - SOUS-TRAITANCE GARANTIE</v>
      </c>
      <c r="N213" s="655">
        <f>+IF(OR($Q213=Parametres!$G$2,$Q213=Parametres!$G$3),I213,C213)</f>
        <v>-11150</v>
      </c>
      <c r="O213" s="655">
        <f>+IF(OR($Q213=Parametres!$G$2,$Q213=Parametres!$G$3),J213,D213)</f>
        <v>0</v>
      </c>
      <c r="P213" s="655">
        <f>+IF(OR($Q213=Parametres!$G$2,$Q213=Parametres!$G$3),K213,E213)</f>
        <v>-11150</v>
      </c>
      <c r="Q213" s="654" t="str">
        <f t="shared" si="173"/>
        <v>5-Ventes</v>
      </c>
      <c r="R213" s="653" t="str">
        <f t="shared" si="174"/>
        <v>4493</v>
      </c>
      <c r="S213" s="654">
        <f t="shared" si="175"/>
        <v>0</v>
      </c>
      <c r="T213" s="656" t="str">
        <f>+VLOOKUP($L213,Data_Validation!$A:$D,1,0)</f>
        <v>4493</v>
      </c>
      <c r="U213" s="656" t="str">
        <f>+VLOOKUP($L213,Data_Validation!$A:$D,3,0)</f>
        <v>Service</v>
      </c>
      <c r="V213" s="656" t="str">
        <f>+VLOOKUP($L213,Data_Validation!$A:$D,4,0)</f>
        <v>Sous-traitement</v>
      </c>
      <c r="W213" s="656" t="str">
        <f>+VLOOKUP($L213,Data_Validation!$A:$E,5,0)</f>
        <v>$</v>
      </c>
      <c r="X213" s="656" t="str">
        <f>+VLOOKUP($L213,Data_Validation!$A:$F,6,0)</f>
        <v>Oui</v>
      </c>
    </row>
    <row r="214" spans="1:24" ht="15" hidden="1" customHeight="1">
      <c r="A214" s="1213" t="s">
        <v>1043</v>
      </c>
      <c r="B214" s="1213" t="s">
        <v>1044</v>
      </c>
      <c r="C214" s="1215">
        <v>-107195.75</v>
      </c>
      <c r="D214" s="1215">
        <v>-6219.57</v>
      </c>
      <c r="E214" s="1215">
        <v>-113415.32</v>
      </c>
      <c r="F214" s="1213" t="s">
        <v>963</v>
      </c>
      <c r="G214" s="1213" t="s">
        <v>1044</v>
      </c>
      <c r="H214" s="651"/>
      <c r="I214" s="652"/>
      <c r="J214" s="652"/>
      <c r="K214" s="652"/>
      <c r="L214" s="653" t="str">
        <f t="shared" si="171"/>
        <v>4495</v>
      </c>
      <c r="M214" s="654" t="str">
        <f t="shared" si="172"/>
        <v>VTE - S-TRAITANCE MEC.INTERNE VW</v>
      </c>
      <c r="N214" s="655">
        <f>+IF(OR($Q214=Parametres!$G$2,$Q214=Parametres!$G$3),I214,C214)</f>
        <v>-107195.75</v>
      </c>
      <c r="O214" s="655">
        <f>+IF(OR($Q214=Parametres!$G$2,$Q214=Parametres!$G$3),J214,D214)</f>
        <v>-6219.57</v>
      </c>
      <c r="P214" s="655">
        <f>+IF(OR($Q214=Parametres!$G$2,$Q214=Parametres!$G$3),K214,E214)</f>
        <v>-113415.32</v>
      </c>
      <c r="Q214" s="654" t="str">
        <f t="shared" si="173"/>
        <v>5-Ventes</v>
      </c>
      <c r="R214" s="653" t="str">
        <f t="shared" si="174"/>
        <v>4495</v>
      </c>
      <c r="S214" s="654">
        <f t="shared" si="175"/>
        <v>0</v>
      </c>
      <c r="T214" s="656" t="str">
        <f>+VLOOKUP($L214,Data_Validation!$A:$D,1,0)</f>
        <v>4495</v>
      </c>
      <c r="U214" s="656" t="str">
        <f>+VLOOKUP($L214,Data_Validation!$A:$D,3,0)</f>
        <v>Service</v>
      </c>
      <c r="V214" s="656" t="str">
        <f>+VLOOKUP($L214,Data_Validation!$A:$D,4,0)</f>
        <v>Sous-traitement</v>
      </c>
      <c r="W214" s="656" t="str">
        <f>+VLOOKUP($L214,Data_Validation!$A:$E,5,0)</f>
        <v>$</v>
      </c>
      <c r="X214" s="656" t="str">
        <f>+VLOOKUP($L214,Data_Validation!$A:$F,6,0)</f>
        <v>Oui</v>
      </c>
    </row>
    <row r="215" spans="1:24" ht="15.75" hidden="1" customHeight="1">
      <c r="A215" s="1213" t="s">
        <v>3427</v>
      </c>
      <c r="B215" s="1213" t="s">
        <v>3428</v>
      </c>
      <c r="C215" s="1215">
        <v>-96949.99</v>
      </c>
      <c r="D215" s="1215">
        <v>-5879.95</v>
      </c>
      <c r="E215" s="1215">
        <v>-102829.94</v>
      </c>
      <c r="F215" s="1213" t="s">
        <v>963</v>
      </c>
      <c r="G215" s="1213" t="s">
        <v>3428</v>
      </c>
      <c r="H215" s="651"/>
      <c r="I215" s="670"/>
      <c r="J215" s="670"/>
      <c r="K215" s="670"/>
      <c r="L215" s="653" t="str">
        <f t="shared" si="171"/>
        <v>4505</v>
      </c>
      <c r="M215" s="654" t="str">
        <f t="shared" si="172"/>
        <v>VTE - M.O. INTERNE CARROSSERIE</v>
      </c>
      <c r="N215" s="655">
        <f>+IF(OR($Q215=Parametres!$G$2,$Q215=Parametres!$G$3),I215,C215)</f>
        <v>-96949.99</v>
      </c>
      <c r="O215" s="655">
        <f>+IF(OR($Q215=Parametres!$G$2,$Q215=Parametres!$G$3),J215,D215)</f>
        <v>-5879.95</v>
      </c>
      <c r="P215" s="655">
        <f>+IF(OR($Q215=Parametres!$G$2,$Q215=Parametres!$G$3),K215,E215)</f>
        <v>-102829.94</v>
      </c>
      <c r="Q215" s="654" t="str">
        <f t="shared" si="173"/>
        <v>5-Ventes</v>
      </c>
      <c r="R215" s="653" t="str">
        <f t="shared" si="174"/>
        <v>4505</v>
      </c>
      <c r="S215" s="654">
        <f t="shared" si="175"/>
        <v>0</v>
      </c>
      <c r="T215" s="656" t="str">
        <f>+VLOOKUP($L215,Data_Validation!$A:$D,1,0)</f>
        <v>4505</v>
      </c>
      <c r="U215" s="656" t="str">
        <f>+VLOOKUP($L215,Data_Validation!$A:$D,3,0)</f>
        <v>Service</v>
      </c>
      <c r="V215" s="656" t="str">
        <f>+VLOOKUP($L215,Data_Validation!$A:$D,4,0)</f>
        <v>M.O. Recond. MCPA</v>
      </c>
      <c r="W215" s="656" t="str">
        <f>+VLOOKUP($L215,Data_Validation!$A:$E,5,0)</f>
        <v>$</v>
      </c>
      <c r="X215" s="656" t="str">
        <f>+VLOOKUP($L215,Data_Validation!$A:$F,6,0)</f>
        <v>Oui</v>
      </c>
    </row>
    <row r="216" spans="1:24" ht="15" hidden="1" customHeight="1">
      <c r="A216" s="1213" t="s">
        <v>1050</v>
      </c>
      <c r="B216" s="1213" t="s">
        <v>1051</v>
      </c>
      <c r="C216" s="1215">
        <v>-84735.21</v>
      </c>
      <c r="D216" s="1215">
        <v>-3967.11</v>
      </c>
      <c r="E216" s="1215">
        <v>-88702.32</v>
      </c>
      <c r="F216" s="1213" t="s">
        <v>963</v>
      </c>
      <c r="G216" s="1213" t="s">
        <v>1051</v>
      </c>
      <c r="H216" s="651"/>
      <c r="I216" s="670"/>
      <c r="J216" s="660"/>
      <c r="K216" s="670"/>
      <c r="L216" s="653" t="str">
        <f t="shared" si="171"/>
        <v>4591</v>
      </c>
      <c r="M216" s="654" t="str">
        <f t="shared" si="172"/>
        <v>VTE - S-TRAIT. CARR.</v>
      </c>
      <c r="N216" s="655">
        <f>+IF(OR($Q216=Parametres!$G$2,$Q216=Parametres!$G$3),I216,C216)</f>
        <v>-84735.21</v>
      </c>
      <c r="O216" s="655">
        <f>+IF(OR($Q216=Parametres!$G$2,$Q216=Parametres!$G$3),J216,D216)</f>
        <v>-3967.11</v>
      </c>
      <c r="P216" s="655">
        <f>+IF(OR($Q216=Parametres!$G$2,$Q216=Parametres!$G$3),K216,E216)</f>
        <v>-88702.32</v>
      </c>
      <c r="Q216" s="654" t="str">
        <f t="shared" si="173"/>
        <v>5-Ventes</v>
      </c>
      <c r="R216" s="653" t="str">
        <f t="shared" si="174"/>
        <v>4591</v>
      </c>
      <c r="S216" s="654">
        <f t="shared" si="175"/>
        <v>0</v>
      </c>
      <c r="T216" s="656" t="str">
        <f>+VLOOKUP($L216,Data_Validation!$A:$D,1,0)</f>
        <v>4591</v>
      </c>
      <c r="U216" s="656" t="str">
        <f>+VLOOKUP($L216,Data_Validation!$A:$D,3,0)</f>
        <v>Carrosserie</v>
      </c>
      <c r="V216" s="656" t="str">
        <f>+VLOOKUP($L216,Data_Validation!$A:$D,4,0)</f>
        <v>M/O Sous-traitement</v>
      </c>
      <c r="W216" s="656" t="str">
        <f>+VLOOKUP($L216,Data_Validation!$A:$E,5,0)</f>
        <v>$</v>
      </c>
      <c r="X216" s="656" t="str">
        <f>+VLOOKUP($L216,Data_Validation!$A:$F,6,0)</f>
        <v>Oui</v>
      </c>
    </row>
    <row r="217" spans="1:24" ht="15" hidden="1" customHeight="1">
      <c r="A217" s="1213" t="s">
        <v>1054</v>
      </c>
      <c r="B217" s="1213" t="s">
        <v>1055</v>
      </c>
      <c r="C217" s="1215">
        <v>-214080.34</v>
      </c>
      <c r="D217" s="1215">
        <v>-12219.9</v>
      </c>
      <c r="E217" s="1215">
        <v>-226300.24</v>
      </c>
      <c r="F217" s="1213" t="s">
        <v>963</v>
      </c>
      <c r="G217" s="1213" t="s">
        <v>1055</v>
      </c>
      <c r="H217" s="650"/>
      <c r="I217" s="672"/>
      <c r="J217" s="663"/>
      <c r="K217" s="672"/>
      <c r="L217" s="653" t="str">
        <f t="shared" si="171"/>
        <v>4593</v>
      </c>
      <c r="M217" s="654" t="str">
        <f t="shared" si="172"/>
        <v>VTE - SOUS-TRAITANCE GARANTIE CARR.</v>
      </c>
      <c r="N217" s="655">
        <f>+IF(OR($Q217=Parametres!$G$2,$Q217=Parametres!$G$3),I217,C217)</f>
        <v>-214080.34</v>
      </c>
      <c r="O217" s="655">
        <f>+IF(OR($Q217=Parametres!$G$2,$Q217=Parametres!$G$3),J217,D217)</f>
        <v>-12219.9</v>
      </c>
      <c r="P217" s="655">
        <f>+IF(OR($Q217=Parametres!$G$2,$Q217=Parametres!$G$3),K217,E217)</f>
        <v>-226300.24</v>
      </c>
      <c r="Q217" s="654" t="str">
        <f t="shared" si="173"/>
        <v>5-Ventes</v>
      </c>
      <c r="R217" s="653" t="str">
        <f t="shared" si="174"/>
        <v>4593</v>
      </c>
      <c r="S217" s="654">
        <f t="shared" si="175"/>
        <v>0</v>
      </c>
      <c r="T217" s="656" t="str">
        <f>+VLOOKUP($L217,Data_Validation!$A:$D,1,0)</f>
        <v>4593</v>
      </c>
      <c r="U217" s="656" t="str">
        <f>+VLOOKUP($L217,Data_Validation!$A:$D,3,0)</f>
        <v>Carrosserie</v>
      </c>
      <c r="V217" s="656" t="str">
        <f>+VLOOKUP($L217,Data_Validation!$A:$D,4,0)</f>
        <v>M/O Sous-traitement</v>
      </c>
      <c r="W217" s="656" t="str">
        <f>+VLOOKUP($L217,Data_Validation!$A:$E,5,0)</f>
        <v>$</v>
      </c>
      <c r="X217" s="656" t="str">
        <f>+VLOOKUP($L217,Data_Validation!$A:$F,6,0)</f>
        <v>Oui</v>
      </c>
    </row>
    <row r="218" spans="1:24" ht="15" hidden="1" customHeight="1">
      <c r="A218" s="1213" t="s">
        <v>1058</v>
      </c>
      <c r="B218" s="1213" t="s">
        <v>1059</v>
      </c>
      <c r="C218" s="1215">
        <v>-9244.92</v>
      </c>
      <c r="D218" s="1215">
        <v>-1605.25</v>
      </c>
      <c r="E218" s="1215">
        <v>-10850.17</v>
      </c>
      <c r="F218" s="1213" t="s">
        <v>963</v>
      </c>
      <c r="G218" s="1213" t="s">
        <v>1059</v>
      </c>
      <c r="H218" s="650"/>
      <c r="I218" s="652"/>
      <c r="J218" s="652"/>
      <c r="K218" s="652"/>
      <c r="L218" s="653" t="str">
        <f t="shared" si="171"/>
        <v>4595</v>
      </c>
      <c r="M218" s="654" t="str">
        <f t="shared" si="172"/>
        <v>VTE - SOUS-TRAITANCE INTERNE CARR.</v>
      </c>
      <c r="N218" s="655">
        <f>+IF(OR($Q218=Parametres!$G$2,$Q218=Parametres!$G$3),I218,C218)</f>
        <v>-9244.92</v>
      </c>
      <c r="O218" s="655">
        <f>+IF(OR($Q218=Parametres!$G$2,$Q218=Parametres!$G$3),J218,D218)</f>
        <v>-1605.25</v>
      </c>
      <c r="P218" s="655">
        <f>+IF(OR($Q218=Parametres!$G$2,$Q218=Parametres!$G$3),K218,E218)</f>
        <v>-10850.17</v>
      </c>
      <c r="Q218" s="654" t="str">
        <f t="shared" si="173"/>
        <v>5-Ventes</v>
      </c>
      <c r="R218" s="653" t="str">
        <f t="shared" si="174"/>
        <v>4595</v>
      </c>
      <c r="S218" s="654">
        <f t="shared" si="175"/>
        <v>0</v>
      </c>
      <c r="T218" s="656" t="str">
        <f>+VLOOKUP($L218,Data_Validation!$A:$D,1,0)</f>
        <v>4595</v>
      </c>
      <c r="U218" s="656" t="str">
        <f>+VLOOKUP($L218,Data_Validation!$A:$D,3,0)</f>
        <v>Carrosserie</v>
      </c>
      <c r="V218" s="656" t="str">
        <f>+VLOOKUP($L218,Data_Validation!$A:$D,4,0)</f>
        <v>M/O Sous-traitement</v>
      </c>
      <c r="W218" s="656" t="str">
        <f>+VLOOKUP($L218,Data_Validation!$A:$E,5,0)</f>
        <v>$</v>
      </c>
      <c r="X218" s="656" t="str">
        <f>+VLOOKUP($L218,Data_Validation!$A:$F,6,0)</f>
        <v>Oui</v>
      </c>
    </row>
    <row r="219" spans="1:24" ht="15.75" hidden="1" customHeight="1">
      <c r="A219" s="1213" t="s">
        <v>3675</v>
      </c>
      <c r="B219" s="1213" t="s">
        <v>1063</v>
      </c>
      <c r="C219" s="1215">
        <v>-1007840.77</v>
      </c>
      <c r="D219" s="1215">
        <v>-70568.63</v>
      </c>
      <c r="E219" s="1215">
        <v>-1078409.3999999999</v>
      </c>
      <c r="F219" s="1213" t="s">
        <v>963</v>
      </c>
      <c r="G219" s="1213" t="s">
        <v>1063</v>
      </c>
      <c r="H219" s="651"/>
      <c r="I219" s="652"/>
      <c r="J219" s="652"/>
      <c r="K219" s="652"/>
      <c r="L219" s="653" t="str">
        <f t="shared" si="171"/>
        <v>4701</v>
      </c>
      <c r="M219" s="654" t="str">
        <f t="shared" si="172"/>
        <v>VW P&amp;A - BR - CLIENT - MCI</v>
      </c>
      <c r="N219" s="655">
        <f>+IF(OR($Q219=Parametres!$G$2,$Q219=Parametres!$G$3),I219,C219)</f>
        <v>-1007840.77</v>
      </c>
      <c r="O219" s="659">
        <f>+IF(OR($Q219=Parametres!$G$2,$Q219=Parametres!$G$3),J219,D219)</f>
        <v>-70568.63</v>
      </c>
      <c r="P219" s="655">
        <f>+IF(OR($Q219=Parametres!$G$2,$Q219=Parametres!$G$3),K219,E219)</f>
        <v>-1078409.3999999999</v>
      </c>
      <c r="Q219" s="654" t="str">
        <f t="shared" si="173"/>
        <v>5-Ventes</v>
      </c>
      <c r="R219" s="653" t="str">
        <f t="shared" si="174"/>
        <v>4701</v>
      </c>
      <c r="S219" s="654">
        <f t="shared" si="175"/>
        <v>0</v>
      </c>
      <c r="T219" s="656" t="str">
        <f>+VLOOKUP($L219,Data_Validation!$A:$D,1,0)</f>
        <v>4701</v>
      </c>
      <c r="U219" s="656" t="str">
        <f>+VLOOKUP($L219,Data_Validation!$A:$D,3,0)</f>
        <v>Pièces</v>
      </c>
      <c r="V219" s="656" t="str">
        <f>+VLOOKUP($L219,Data_Validation!$A:$D,4,0)</f>
        <v>Pièces Ro Clients</v>
      </c>
      <c r="W219" s="656" t="str">
        <f>+VLOOKUP($L219,Data_Validation!$A:$E,5,0)</f>
        <v>$</v>
      </c>
      <c r="X219" s="656" t="str">
        <f>+VLOOKUP($L219,Data_Validation!$A:$F,6,0)</f>
        <v>Oui</v>
      </c>
    </row>
    <row r="220" spans="1:24" ht="15" hidden="1" customHeight="1">
      <c r="A220" s="1213" t="s">
        <v>1066</v>
      </c>
      <c r="B220" s="1213" t="s">
        <v>1067</v>
      </c>
      <c r="C220" s="1215">
        <v>-12105.37</v>
      </c>
      <c r="D220" s="1215">
        <v>-681.8</v>
      </c>
      <c r="E220" s="1215">
        <v>-12787.17</v>
      </c>
      <c r="F220" s="1213" t="s">
        <v>963</v>
      </c>
      <c r="G220" s="1213" t="s">
        <v>1067</v>
      </c>
      <c r="H220" s="650"/>
      <c r="I220" s="672"/>
      <c r="J220" s="663"/>
      <c r="K220" s="672"/>
      <c r="L220" s="653" t="str">
        <f t="shared" si="171"/>
        <v>4702</v>
      </c>
      <c r="M220" s="654" t="str">
        <f t="shared" si="172"/>
        <v>VTE - SHOP SUPPLY VW</v>
      </c>
      <c r="N220" s="655">
        <f>+IF(OR($Q220=Parametres!$G$2,$Q220=Parametres!$G$3),I220,C220)</f>
        <v>-12105.37</v>
      </c>
      <c r="O220" s="655">
        <f>+IF(OR($Q220=Parametres!$G$2,$Q220=Parametres!$G$3),J220,D220)</f>
        <v>-681.8</v>
      </c>
      <c r="P220" s="655">
        <f>+IF(OR($Q220=Parametres!$G$2,$Q220=Parametres!$G$3),K220,E220)</f>
        <v>-12787.17</v>
      </c>
      <c r="Q220" s="654" t="str">
        <f t="shared" si="173"/>
        <v>5-Ventes</v>
      </c>
      <c r="R220" s="653" t="str">
        <f t="shared" si="174"/>
        <v>4702</v>
      </c>
      <c r="S220" s="654">
        <f t="shared" si="175"/>
        <v>0</v>
      </c>
      <c r="T220" s="656" t="str">
        <f>+VLOOKUP($L220,Data_Validation!$A:$D,1,0)</f>
        <v>4702</v>
      </c>
      <c r="U220" s="656" t="str">
        <f>+VLOOKUP($L220,Data_Validation!$A:$D,3,0)</f>
        <v>Service</v>
      </c>
      <c r="V220" s="656" t="str">
        <f>+VLOOKUP($L220,Data_Validation!$A:$D,4,0)</f>
        <v>M/O Client</v>
      </c>
      <c r="W220" s="656" t="str">
        <f>+VLOOKUP($L220,Data_Validation!$A:$E,5,0)</f>
        <v>$</v>
      </c>
      <c r="X220" s="656" t="str">
        <f>+VLOOKUP($L220,Data_Validation!$A:$F,6,0)</f>
        <v>Oui</v>
      </c>
    </row>
    <row r="221" spans="1:24" ht="15" hidden="1" customHeight="1">
      <c r="A221" s="1213" t="s">
        <v>3676</v>
      </c>
      <c r="B221" s="1213" t="s">
        <v>1069</v>
      </c>
      <c r="C221" s="1215">
        <v>-462216.1</v>
      </c>
      <c r="D221" s="1215">
        <v>-50223.29</v>
      </c>
      <c r="E221" s="1215">
        <v>-512439.39</v>
      </c>
      <c r="F221" s="1213" t="s">
        <v>963</v>
      </c>
      <c r="G221" s="1213" t="s">
        <v>1069</v>
      </c>
      <c r="H221" s="650"/>
      <c r="I221" s="672"/>
      <c r="J221" s="663"/>
      <c r="K221" s="672"/>
      <c r="L221" s="653" t="str">
        <f t="shared" si="171"/>
        <v>4703</v>
      </c>
      <c r="M221" s="654" t="str">
        <f t="shared" si="172"/>
        <v>VW P&amp;A - BR - GARANTIE - MCI</v>
      </c>
      <c r="N221" s="655">
        <f>+IF(OR($Q221=Parametres!$G$2,$Q221=Parametres!$G$3),I221,C221)</f>
        <v>-462216.1</v>
      </c>
      <c r="O221" s="655">
        <f>+IF(OR($Q221=Parametres!$G$2,$Q221=Parametres!$G$3),J221,D221)</f>
        <v>-50223.29</v>
      </c>
      <c r="P221" s="655">
        <f>+IF(OR($Q221=Parametres!$G$2,$Q221=Parametres!$G$3),K221,E221)</f>
        <v>-512439.39</v>
      </c>
      <c r="Q221" s="654" t="str">
        <f t="shared" si="173"/>
        <v>5-Ventes</v>
      </c>
      <c r="R221" s="653" t="str">
        <f t="shared" si="174"/>
        <v>4703</v>
      </c>
      <c r="S221" s="654">
        <f t="shared" si="175"/>
        <v>0</v>
      </c>
      <c r="T221" s="656" t="str">
        <f>+VLOOKUP($L221,Data_Validation!$A:$D,1,0)</f>
        <v>4703</v>
      </c>
      <c r="U221" s="656" t="str">
        <f>+VLOOKUP($L221,Data_Validation!$A:$D,3,0)</f>
        <v>Pièces</v>
      </c>
      <c r="V221" s="656" t="str">
        <f>+VLOOKUP($L221,Data_Validation!$A:$D,4,0)</f>
        <v>P/A Garantie</v>
      </c>
      <c r="W221" s="656" t="str">
        <f>+VLOOKUP($L221,Data_Validation!$A:$E,5,0)</f>
        <v>$</v>
      </c>
      <c r="X221" s="656" t="str">
        <f>+VLOOKUP($L221,Data_Validation!$A:$F,6,0)</f>
        <v>Oui</v>
      </c>
    </row>
    <row r="222" spans="1:24" ht="15" hidden="1" customHeight="1">
      <c r="A222" s="1213" t="s">
        <v>3913</v>
      </c>
      <c r="B222" s="1213" t="s">
        <v>3418</v>
      </c>
      <c r="C222" s="1215">
        <v>-13.17</v>
      </c>
      <c r="D222" s="1215">
        <v>0</v>
      </c>
      <c r="E222" s="1215">
        <v>-13.17</v>
      </c>
      <c r="F222" s="1213" t="s">
        <v>963</v>
      </c>
      <c r="G222" s="1213" t="s">
        <v>3418</v>
      </c>
      <c r="H222" s="650"/>
      <c r="I222" s="670"/>
      <c r="J222" s="651"/>
      <c r="K222" s="670"/>
      <c r="L222" s="653" t="str">
        <f t="shared" si="171"/>
        <v>4704</v>
      </c>
      <c r="M222" s="654" t="str">
        <f t="shared" si="172"/>
        <v>VW P&amp;A SVC BR - SVC RAPIDE - CLIENT - MCI</v>
      </c>
      <c r="N222" s="655">
        <f>+IF(OR($Q222=Parametres!$G$2,$Q222=Parametres!$G$3),I222,C222)</f>
        <v>-13.17</v>
      </c>
      <c r="O222" s="655">
        <f>+IF(OR($Q222=Parametres!$G$2,$Q222=Parametres!$G$3),J222,D222)</f>
        <v>0</v>
      </c>
      <c r="P222" s="655">
        <f>+IF(OR($Q222=Parametres!$G$2,$Q222=Parametres!$G$3),K222,E222)</f>
        <v>-13.17</v>
      </c>
      <c r="Q222" s="654" t="str">
        <f t="shared" si="173"/>
        <v>5-Ventes</v>
      </c>
      <c r="R222" s="653" t="str">
        <f t="shared" si="174"/>
        <v>4704</v>
      </c>
      <c r="S222" s="654">
        <f t="shared" si="175"/>
        <v>0</v>
      </c>
      <c r="T222" s="656" t="str">
        <f>+VLOOKUP($L222,Data_Validation!$A:$D,1,0)</f>
        <v>4704</v>
      </c>
      <c r="U222" s="656" t="str">
        <f>+VLOOKUP($L222,Data_Validation!$A:$D,3,0)</f>
        <v>Service</v>
      </c>
      <c r="V222" s="656" t="str">
        <f>+VLOOKUP($L222,Data_Validation!$A:$D,4,0)</f>
        <v>M/O Interne</v>
      </c>
      <c r="W222" s="656" t="str">
        <f>+VLOOKUP($L222,Data_Validation!$A:$E,5,0)</f>
        <v>$</v>
      </c>
      <c r="X222" s="656" t="str">
        <f>+VLOOKUP($L222,Data_Validation!$A:$F,6,0)</f>
        <v>Oui</v>
      </c>
    </row>
    <row r="223" spans="1:24" ht="15" hidden="1" customHeight="1">
      <c r="A223" s="1213" t="s">
        <v>3677</v>
      </c>
      <c r="B223" s="1213" t="s">
        <v>1073</v>
      </c>
      <c r="C223" s="1215">
        <v>-619246.99</v>
      </c>
      <c r="D223" s="1215">
        <v>-52437.25</v>
      </c>
      <c r="E223" s="1215">
        <v>-671684.24</v>
      </c>
      <c r="F223" s="1213" t="s">
        <v>963</v>
      </c>
      <c r="G223" s="1213" t="s">
        <v>1073</v>
      </c>
      <c r="H223" s="1160"/>
      <c r="I223" s="1161"/>
      <c r="J223" s="1161"/>
      <c r="K223" s="1161"/>
      <c r="L223" s="653" t="str">
        <f t="shared" si="171"/>
        <v>4705</v>
      </c>
      <c r="M223" s="654" t="str">
        <f t="shared" si="172"/>
        <v>VW P&amp;A - BR - INTERNE - MCI</v>
      </c>
      <c r="N223" s="655">
        <f>+IF(OR($Q223=Parametres!$G$2,$Q223=Parametres!$G$3),I223,C223)</f>
        <v>-619246.99</v>
      </c>
      <c r="O223" s="655">
        <f>+IF(OR($Q223=Parametres!$G$2,$Q223=Parametres!$G$3),J223,D223)</f>
        <v>-52437.25</v>
      </c>
      <c r="P223" s="655">
        <f>+IF(OR($Q223=Parametres!$G$2,$Q223=Parametres!$G$3),K223,E223)</f>
        <v>-671684.24</v>
      </c>
      <c r="Q223" s="654" t="str">
        <f t="shared" si="173"/>
        <v>5-Ventes</v>
      </c>
      <c r="R223" s="653" t="str">
        <f t="shared" si="174"/>
        <v>4705</v>
      </c>
      <c r="S223" s="654">
        <f t="shared" si="175"/>
        <v>0</v>
      </c>
      <c r="T223" s="656" t="str">
        <f>+VLOOKUP($L223,Data_Validation!$A:$D,1,0)</f>
        <v>4705</v>
      </c>
      <c r="U223" s="656" t="str">
        <f>+VLOOKUP($L223,Data_Validation!$A:$D,3,0)</f>
        <v>Pièces</v>
      </c>
      <c r="V223" s="656" t="str">
        <f>+VLOOKUP($L223,Data_Validation!$A:$D,4,0)</f>
        <v>Ventes Internes</v>
      </c>
      <c r="W223" s="656" t="str">
        <f>+VLOOKUP($L223,Data_Validation!$A:$E,5,0)</f>
        <v>$</v>
      </c>
      <c r="X223" s="656" t="str">
        <f>+VLOOKUP($L223,Data_Validation!$A:$F,6,0)</f>
        <v>Oui</v>
      </c>
    </row>
    <row r="224" spans="1:24" ht="15" hidden="1" customHeight="1">
      <c r="A224" s="1213" t="s">
        <v>3678</v>
      </c>
      <c r="B224" s="1213" t="s">
        <v>1076</v>
      </c>
      <c r="C224" s="1215">
        <v>-1686.36</v>
      </c>
      <c r="D224" s="1215">
        <v>-60</v>
      </c>
      <c r="E224" s="1215">
        <v>-1746.36</v>
      </c>
      <c r="F224" s="1213" t="s">
        <v>963</v>
      </c>
      <c r="G224" s="1213" t="s">
        <v>1076</v>
      </c>
      <c r="H224" s="1160"/>
      <c r="I224" s="1161"/>
      <c r="J224" s="1161"/>
      <c r="K224" s="1161"/>
      <c r="L224" s="653" t="str">
        <f t="shared" si="171"/>
        <v>4706</v>
      </c>
      <c r="M224" s="654" t="str">
        <f t="shared" si="172"/>
        <v>VW P&amp;A - BR - CLIENT - VEB</v>
      </c>
      <c r="N224" s="655">
        <f>+IF(OR($Q224=Parametres!$G$2,$Q224=Parametres!$G$3),I224,C224)</f>
        <v>-1686.36</v>
      </c>
      <c r="O224" s="655">
        <f>+IF(OR($Q224=Parametres!$G$2,$Q224=Parametres!$G$3),J224,D224)</f>
        <v>-60</v>
      </c>
      <c r="P224" s="655">
        <f>+IF(OR($Q224=Parametres!$G$2,$Q224=Parametres!$G$3),K224,E224)</f>
        <v>-1746.36</v>
      </c>
      <c r="Q224" s="654" t="str">
        <f t="shared" si="173"/>
        <v>5-Ventes</v>
      </c>
      <c r="R224" s="653" t="str">
        <f t="shared" si="174"/>
        <v>4706</v>
      </c>
      <c r="S224" s="654">
        <f t="shared" si="175"/>
        <v>0</v>
      </c>
      <c r="T224" s="656" t="str">
        <f>+VLOOKUP($L224,Data_Validation!$A:$D,1,0)</f>
        <v>4706</v>
      </c>
      <c r="U224" s="656" t="str">
        <f>+VLOOKUP($L224,Data_Validation!$A:$D,3,0)</f>
        <v>Service</v>
      </c>
      <c r="V224" s="656" t="str">
        <f>+VLOOKUP($L224,Data_Validation!$A:$D,4,0)</f>
        <v>M/O Interne</v>
      </c>
      <c r="W224" s="656" t="str">
        <f>+VLOOKUP($L224,Data_Validation!$A:$E,5,0)</f>
        <v>$</v>
      </c>
      <c r="X224" s="656" t="str">
        <f>+VLOOKUP($L224,Data_Validation!$A:$F,6,0)</f>
        <v>Oui</v>
      </c>
    </row>
    <row r="225" spans="1:24" ht="15.75" hidden="1" customHeight="1">
      <c r="A225" s="1213" t="s">
        <v>1077</v>
      </c>
      <c r="B225" s="1213" t="s">
        <v>1142</v>
      </c>
      <c r="C225" s="1215">
        <v>-37532.93</v>
      </c>
      <c r="D225" s="1215">
        <v>-2281.8000000000002</v>
      </c>
      <c r="E225" s="1215">
        <v>-39814.730000000003</v>
      </c>
      <c r="F225" s="1213" t="s">
        <v>963</v>
      </c>
      <c r="G225" s="1213" t="s">
        <v>1078</v>
      </c>
      <c r="H225" s="1160"/>
      <c r="I225" s="1161"/>
      <c r="J225" s="1161"/>
      <c r="K225" s="1161"/>
      <c r="L225" s="653" t="str">
        <f t="shared" si="171"/>
        <v>4711</v>
      </c>
      <c r="M225" s="654" t="str">
        <f t="shared" si="172"/>
        <v>VTE - AUTRE PIECE/ACC/CARR B.R. CLIENT</v>
      </c>
      <c r="N225" s="655">
        <f>+IF(OR($Q225=Parametres!$G$2,$Q225=Parametres!$G$3),I225,C225)</f>
        <v>-37532.93</v>
      </c>
      <c r="O225" s="655">
        <f>+IF(OR($Q225=Parametres!$G$2,$Q225=Parametres!$G$3),J225,D225)</f>
        <v>-2281.8000000000002</v>
      </c>
      <c r="P225" s="655">
        <f>+IF(OR($Q225=Parametres!$G$2,$Q225=Parametres!$G$3),K225,E225)</f>
        <v>-39814.730000000003</v>
      </c>
      <c r="Q225" s="654" t="str">
        <f t="shared" si="173"/>
        <v>5-Ventes</v>
      </c>
      <c r="R225" s="653" t="str">
        <f t="shared" si="174"/>
        <v>84711</v>
      </c>
      <c r="S225" s="654">
        <f t="shared" si="175"/>
        <v>0</v>
      </c>
      <c r="T225" s="656" t="str">
        <f>+VLOOKUP($L225,Data_Validation!$A:$D,1,0)</f>
        <v>4711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hidden="1" customHeight="1">
      <c r="A226" s="1213" t="s">
        <v>3679</v>
      </c>
      <c r="B226" s="1213" t="s">
        <v>1086</v>
      </c>
      <c r="C226" s="1215">
        <v>-24312.21</v>
      </c>
      <c r="D226" s="1215">
        <v>-239</v>
      </c>
      <c r="E226" s="1215">
        <v>-24551.21</v>
      </c>
      <c r="F226" s="1213" t="s">
        <v>963</v>
      </c>
      <c r="G226" s="1213" t="s">
        <v>1086</v>
      </c>
      <c r="H226" s="651"/>
      <c r="I226" s="670"/>
      <c r="J226" s="651"/>
      <c r="K226" s="670"/>
      <c r="L226" s="653" t="str">
        <f t="shared" si="171"/>
        <v>4731</v>
      </c>
      <c r="M226" s="654" t="str">
        <f t="shared" si="172"/>
        <v>VW-P&amp;A-P&amp;BRO-CLIENT - MCI</v>
      </c>
      <c r="N226" s="655">
        <f>+IF(OR($Q226=Parametres!$G$2,$Q226=Parametres!$G$3),I226,C226)</f>
        <v>-24312.21</v>
      </c>
      <c r="O226" s="655">
        <f>+IF(OR($Q226=Parametres!$G$2,$Q226=Parametres!$G$3),J226,D226)</f>
        <v>-239</v>
      </c>
      <c r="P226" s="655">
        <f>+IF(OR($Q226=Parametres!$G$2,$Q226=Parametres!$G$3),K226,E226)</f>
        <v>-24551.21</v>
      </c>
      <c r="Q226" s="654" t="str">
        <f t="shared" si="173"/>
        <v>5-Ventes</v>
      </c>
      <c r="R226" s="653" t="str">
        <f t="shared" si="174"/>
        <v>4731</v>
      </c>
      <c r="S226" s="654">
        <f t="shared" si="175"/>
        <v>0</v>
      </c>
      <c r="T226" s="656" t="str">
        <f>+VLOOKUP($L226,Data_Validation!$A:$D,1,0)</f>
        <v>4731</v>
      </c>
      <c r="U226" s="656" t="str">
        <f>+VLOOKUP($L226,Data_Validation!$A:$D,3,0)</f>
        <v>Pièces</v>
      </c>
      <c r="V226" s="656" t="str">
        <f>+VLOOKUP($L226,Data_Validation!$A:$D,4,0)</f>
        <v>Pièces Ro Carrosserie</v>
      </c>
      <c r="W226" s="656" t="str">
        <f>+VLOOKUP($L226,Data_Validation!$A:$E,5,0)</f>
        <v>$</v>
      </c>
      <c r="X226" s="656" t="str">
        <f>+VLOOKUP($L226,Data_Validation!$A:$F,6,0)</f>
        <v>Oui</v>
      </c>
    </row>
    <row r="227" spans="1:24" ht="15" hidden="1" customHeight="1">
      <c r="A227" s="1213" t="s">
        <v>3680</v>
      </c>
      <c r="B227" s="1213" t="s">
        <v>1090</v>
      </c>
      <c r="C227" s="1215">
        <v>-151482.26999999999</v>
      </c>
      <c r="D227" s="1215">
        <v>-7147.93</v>
      </c>
      <c r="E227" s="1215">
        <v>-158630.20000000001</v>
      </c>
      <c r="F227" s="1213" t="s">
        <v>963</v>
      </c>
      <c r="G227" s="1213" t="s">
        <v>1090</v>
      </c>
      <c r="H227" s="650"/>
      <c r="I227" s="652"/>
      <c r="J227" s="652"/>
      <c r="K227" s="652"/>
      <c r="L227" s="653" t="str">
        <f t="shared" si="171"/>
        <v>4733</v>
      </c>
      <c r="M227" s="654" t="str">
        <f t="shared" si="172"/>
        <v>VW-P&amp;A-P&amp;BRO-GARANTIE - MCI</v>
      </c>
      <c r="N227" s="655">
        <f>+IF(OR($Q227=Parametres!$G$2,$Q227=Parametres!$G$3),I227,C227)</f>
        <v>-151482.26999999999</v>
      </c>
      <c r="O227" s="655">
        <f>+IF(OR($Q227=Parametres!$G$2,$Q227=Parametres!$G$3),J227,D227)</f>
        <v>-7147.93</v>
      </c>
      <c r="P227" s="655">
        <f>+IF(OR($Q227=Parametres!$G$2,$Q227=Parametres!$G$3),K227,E227)</f>
        <v>-158630.20000000001</v>
      </c>
      <c r="Q227" s="654" t="str">
        <f t="shared" si="173"/>
        <v>5-Ventes</v>
      </c>
      <c r="R227" s="653" t="str">
        <f t="shared" si="174"/>
        <v>4733</v>
      </c>
      <c r="S227" s="654">
        <f t="shared" si="175"/>
        <v>0</v>
      </c>
      <c r="T227" s="656" t="str">
        <f>+VLOOKUP($L227,Data_Validation!$A:$D,1,0)</f>
        <v>4733</v>
      </c>
      <c r="U227" s="656" t="str">
        <f>+VLOOKUP($L227,Data_Validation!$A:$D,3,0)</f>
        <v>Pièces</v>
      </c>
      <c r="V227" s="656" t="str">
        <f>+VLOOKUP($L227,Data_Validation!$A:$D,4,0)</f>
        <v>Pièces Ro Carrosserie</v>
      </c>
      <c r="W227" s="656" t="str">
        <f>+VLOOKUP($L227,Data_Validation!$A:$E,5,0)</f>
        <v>$</v>
      </c>
      <c r="X227" s="656" t="str">
        <f>+VLOOKUP($L227,Data_Validation!$A:$F,6,0)</f>
        <v>Oui</v>
      </c>
    </row>
    <row r="228" spans="1:24" ht="15" hidden="1" customHeight="1">
      <c r="A228" s="1213" t="s">
        <v>3681</v>
      </c>
      <c r="B228" s="1213" t="s">
        <v>1094</v>
      </c>
      <c r="C228" s="1215">
        <v>-9923.0400000000009</v>
      </c>
      <c r="D228" s="1215">
        <v>-129.44999999999999</v>
      </c>
      <c r="E228" s="1215">
        <v>-10052.49</v>
      </c>
      <c r="F228" s="1213" t="s">
        <v>963</v>
      </c>
      <c r="G228" s="1213" t="s">
        <v>1094</v>
      </c>
      <c r="H228" s="650"/>
      <c r="I228" s="652"/>
      <c r="J228" s="652"/>
      <c r="K228" s="652"/>
      <c r="L228" s="653" t="str">
        <f t="shared" si="171"/>
        <v>4735</v>
      </c>
      <c r="M228" s="654" t="str">
        <f t="shared" si="172"/>
        <v>VW-P&amp;A-P&amp;BRO-INTERNE - MCI</v>
      </c>
      <c r="N228" s="655">
        <f>+IF(OR($Q228=Parametres!$G$2,$Q228=Parametres!$G$3),I228,C228)</f>
        <v>-9923.0400000000009</v>
      </c>
      <c r="O228" s="655">
        <f>+IF(OR($Q228=Parametres!$G$2,$Q228=Parametres!$G$3),J228,D228)</f>
        <v>-129.44999999999999</v>
      </c>
      <c r="P228" s="655">
        <f>+IF(OR($Q228=Parametres!$G$2,$Q228=Parametres!$G$3),K228,E228)</f>
        <v>-10052.49</v>
      </c>
      <c r="Q228" s="654" t="str">
        <f t="shared" si="173"/>
        <v>5-Ventes</v>
      </c>
      <c r="R228" s="653" t="str">
        <f t="shared" si="174"/>
        <v>4735</v>
      </c>
      <c r="S228" s="654">
        <f t="shared" si="175"/>
        <v>0</v>
      </c>
      <c r="T228" s="656" t="str">
        <f>+VLOOKUP($L228,Data_Validation!$A:$D,1,0)</f>
        <v>4735</v>
      </c>
      <c r="U228" s="656" t="str">
        <f>+VLOOKUP($L228,Data_Validation!$A:$D,3,0)</f>
        <v>Pièces</v>
      </c>
      <c r="V228" s="656" t="str">
        <f>+VLOOKUP($L228,Data_Validation!$A:$D,4,0)</f>
        <v>Pièces Ro Carrosserie</v>
      </c>
      <c r="W228" s="656" t="str">
        <f>+VLOOKUP($L228,Data_Validation!$A:$E,5,0)</f>
        <v>$</v>
      </c>
      <c r="X228" s="656" t="str">
        <f>+VLOOKUP($L228,Data_Validation!$A:$F,6,0)</f>
        <v>Oui</v>
      </c>
    </row>
    <row r="229" spans="1:24" ht="15.75" hidden="1" customHeight="1">
      <c r="A229" s="1213" t="s">
        <v>1097</v>
      </c>
      <c r="B229" s="1213" t="s">
        <v>1098</v>
      </c>
      <c r="C229" s="1215">
        <v>-215120.74</v>
      </c>
      <c r="D229" s="1215">
        <v>-16991.91</v>
      </c>
      <c r="E229" s="1215">
        <v>-232112.65</v>
      </c>
      <c r="F229" s="1213" t="s">
        <v>963</v>
      </c>
      <c r="G229" s="1213" t="s">
        <v>1098</v>
      </c>
      <c r="H229" s="650"/>
      <c r="I229" s="672"/>
      <c r="J229" s="663"/>
      <c r="K229" s="672"/>
      <c r="L229" s="653" t="str">
        <f t="shared" si="171"/>
        <v>4761</v>
      </c>
      <c r="M229" s="654" t="str">
        <f t="shared" si="172"/>
        <v>VTE - P&amp;A VW COMPTOIR - DETAIL</v>
      </c>
      <c r="N229" s="655">
        <f>+IF(OR($Q229=Parametres!$G$2,$Q229=Parametres!$G$3),I229,C229)</f>
        <v>-215120.74</v>
      </c>
      <c r="O229" s="655">
        <f>+IF(OR($Q229=Parametres!$G$2,$Q229=Parametres!$G$3),J229,D229)</f>
        <v>-16991.91</v>
      </c>
      <c r="P229" s="655">
        <f>+IF(OR($Q229=Parametres!$G$2,$Q229=Parametres!$G$3),K229,E229)</f>
        <v>-232112.65</v>
      </c>
      <c r="Q229" s="654" t="str">
        <f t="shared" si="173"/>
        <v>5-Ventes</v>
      </c>
      <c r="R229" s="653" t="str">
        <f t="shared" si="174"/>
        <v>4761</v>
      </c>
      <c r="S229" s="654">
        <f t="shared" si="175"/>
        <v>0</v>
      </c>
      <c r="T229" s="656" t="str">
        <f>+VLOOKUP($L229,Data_Validation!$A:$D,1,0)</f>
        <v>4761</v>
      </c>
      <c r="U229" s="656" t="str">
        <f>+VLOOKUP($L229,Data_Validation!$A:$D,3,0)</f>
        <v>Pièces</v>
      </c>
      <c r="V229" s="656" t="str">
        <f>+VLOOKUP($L229,Data_Validation!$A:$D,4,0)</f>
        <v>Ventes Détails</v>
      </c>
      <c r="W229" s="656" t="str">
        <f>+VLOOKUP($L229,Data_Validation!$A:$E,5,0)</f>
        <v>$</v>
      </c>
      <c r="X229" s="656" t="str">
        <f>+VLOOKUP($L229,Data_Validation!$A:$F,6,0)</f>
        <v>Oui</v>
      </c>
    </row>
    <row r="230" spans="1:24" ht="15" hidden="1" customHeight="1">
      <c r="A230" s="1213" t="s">
        <v>1101</v>
      </c>
      <c r="B230" s="1213" t="s">
        <v>1102</v>
      </c>
      <c r="C230" s="1215">
        <v>-1702513.57</v>
      </c>
      <c r="D230" s="1215">
        <v>-169183.24</v>
      </c>
      <c r="E230" s="1215">
        <v>-1871696.81</v>
      </c>
      <c r="F230" s="1213" t="s">
        <v>963</v>
      </c>
      <c r="G230" s="1213" t="s">
        <v>1102</v>
      </c>
      <c r="H230" s="651"/>
      <c r="I230" s="670"/>
      <c r="J230" s="651"/>
      <c r="K230" s="670"/>
      <c r="L230" s="653" t="str">
        <f t="shared" si="171"/>
        <v>4763</v>
      </c>
      <c r="M230" s="654" t="str">
        <f t="shared" si="172"/>
        <v>VTE - P&amp;A VW COMPTOIR GROS - ECHANGE</v>
      </c>
      <c r="N230" s="655">
        <f>+IF(OR($Q230=Parametres!$G$2,$Q230=Parametres!$G$3),I230,C230)</f>
        <v>-1702513.57</v>
      </c>
      <c r="O230" s="655">
        <f>+IF(OR($Q230=Parametres!$G$2,$Q230=Parametres!$G$3),J230,D230)</f>
        <v>-169183.24</v>
      </c>
      <c r="P230" s="655">
        <f>+IF(OR($Q230=Parametres!$G$2,$Q230=Parametres!$G$3),K230,E230)</f>
        <v>-1871696.81</v>
      </c>
      <c r="Q230" s="654" t="str">
        <f t="shared" si="173"/>
        <v>5-Ventes</v>
      </c>
      <c r="R230" s="653" t="str">
        <f t="shared" si="174"/>
        <v>4763</v>
      </c>
      <c r="S230" s="654">
        <f t="shared" si="175"/>
        <v>0</v>
      </c>
      <c r="T230" s="656" t="str">
        <f>+VLOOKUP($L230,Data_Validation!$A:$D,1,0)</f>
        <v>4763</v>
      </c>
      <c r="U230" s="656" t="str">
        <f>+VLOOKUP($L230,Data_Validation!$A:$D,3,0)</f>
        <v>Pièces</v>
      </c>
      <c r="V230" s="656" t="str">
        <f>+VLOOKUP($L230,Data_Validation!$A:$D,4,0)</f>
        <v>Ventes de Gros</v>
      </c>
      <c r="W230" s="656" t="str">
        <f>+VLOOKUP($L230,Data_Validation!$A:$E,5,0)</f>
        <v>$</v>
      </c>
      <c r="X230" s="656" t="str">
        <f>+VLOOKUP($L230,Data_Validation!$A:$F,6,0)</f>
        <v>Oui</v>
      </c>
    </row>
    <row r="231" spans="1:24" ht="15" hidden="1" customHeight="1">
      <c r="A231" s="1213" t="s">
        <v>1105</v>
      </c>
      <c r="B231" s="1213" t="s">
        <v>1106</v>
      </c>
      <c r="C231" s="1215">
        <v>-456777.69</v>
      </c>
      <c r="D231" s="1215">
        <v>-54419.03</v>
      </c>
      <c r="E231" s="1215">
        <v>-511196.72</v>
      </c>
      <c r="F231" s="1213" t="s">
        <v>963</v>
      </c>
      <c r="G231" s="1213" t="s">
        <v>1106</v>
      </c>
      <c r="H231" s="651"/>
      <c r="I231" s="652"/>
      <c r="J231" s="652"/>
      <c r="K231" s="652"/>
      <c r="L231" s="653" t="str">
        <f t="shared" si="171"/>
        <v>4781</v>
      </c>
      <c r="M231" s="654" t="str">
        <f t="shared" si="172"/>
        <v>VENTES PNEUS</v>
      </c>
      <c r="N231" s="655">
        <f>+IF(OR($Q231=Parametres!$G$2,$Q231=Parametres!$G$3),I231,C231)</f>
        <v>-456777.69</v>
      </c>
      <c r="O231" s="655">
        <f>+IF(OR($Q231=Parametres!$G$2,$Q231=Parametres!$G$3),J231,D231)</f>
        <v>-54419.03</v>
      </c>
      <c r="P231" s="655">
        <f>+IF(OR($Q231=Parametres!$G$2,$Q231=Parametres!$G$3),K231,E231)</f>
        <v>-511196.72</v>
      </c>
      <c r="Q231" s="654" t="str">
        <f t="shared" si="173"/>
        <v>5-Ventes</v>
      </c>
      <c r="R231" s="653" t="str">
        <f t="shared" si="174"/>
        <v>4781</v>
      </c>
      <c r="S231" s="654">
        <f t="shared" si="175"/>
        <v>0</v>
      </c>
      <c r="T231" s="656" t="str">
        <f>+VLOOKUP($L231,Data_Validation!$A:$D,1,0)</f>
        <v>4781</v>
      </c>
      <c r="U231" s="656" t="str">
        <f>+VLOOKUP($L231,Data_Validation!$A:$D,3,0)</f>
        <v>Pièces</v>
      </c>
      <c r="V231" s="656" t="str">
        <f>+VLOOKUP($L231,Data_Validation!$A:$D,4,0)</f>
        <v>Ventes Pneus</v>
      </c>
      <c r="W231" s="656" t="str">
        <f>+VLOOKUP($L231,Data_Validation!$A:$E,5,0)</f>
        <v>$</v>
      </c>
      <c r="X231" s="656" t="str">
        <f>+VLOOKUP($L231,Data_Validation!$A:$F,6,0)</f>
        <v>Oui</v>
      </c>
    </row>
    <row r="232" spans="1:24" ht="15" hidden="1" customHeight="1">
      <c r="A232" s="1213" t="s">
        <v>1108</v>
      </c>
      <c r="B232" s="1213" t="s">
        <v>2050</v>
      </c>
      <c r="C232" s="1215">
        <v>-17098.32</v>
      </c>
      <c r="D232" s="1215">
        <v>-2849.44</v>
      </c>
      <c r="E232" s="1215">
        <v>-19947.759999999998</v>
      </c>
      <c r="F232" s="1213" t="s">
        <v>963</v>
      </c>
      <c r="G232" s="1213" t="s">
        <v>1106</v>
      </c>
      <c r="H232" s="650"/>
      <c r="I232" s="652"/>
      <c r="J232" s="652"/>
      <c r="K232" s="652"/>
      <c r="L232" s="653" t="str">
        <f t="shared" si="171"/>
        <v>4785</v>
      </c>
      <c r="M232" s="654" t="str">
        <f t="shared" si="172"/>
        <v>VTE - VW PNEUS</v>
      </c>
      <c r="N232" s="655">
        <f>+IF(OR($Q232=Parametres!$G$2,$Q232=Parametres!$G$3),I232,C232)</f>
        <v>-17098.32</v>
      </c>
      <c r="O232" s="655">
        <f>+IF(OR($Q232=Parametres!$G$2,$Q232=Parametres!$G$3),J232,D232)</f>
        <v>-2849.44</v>
      </c>
      <c r="P232" s="655">
        <f>+IF(OR($Q232=Parametres!$G$2,$Q232=Parametres!$G$3),K232,E232)</f>
        <v>-19947.759999999998</v>
      </c>
      <c r="Q232" s="654" t="str">
        <f t="shared" si="173"/>
        <v>5-Ventes</v>
      </c>
      <c r="R232" s="653" t="str">
        <f t="shared" si="174"/>
        <v>4781</v>
      </c>
      <c r="S232" s="654">
        <f t="shared" si="175"/>
        <v>0</v>
      </c>
      <c r="T232" s="656" t="str">
        <f>+VLOOKUP($L232,Data_Validation!$A:$D,1,0)</f>
        <v>4785</v>
      </c>
      <c r="U232" s="656" t="str">
        <f>+VLOOKUP($L232,Data_Validation!$A:$D,3,0)</f>
        <v>Pièces</v>
      </c>
      <c r="V232" s="656" t="str">
        <f>+VLOOKUP($L232,Data_Validation!$A:$D,4,0)</f>
        <v>Ventes Pneus</v>
      </c>
      <c r="W232" s="656" t="str">
        <f>+VLOOKUP($L232,Data_Validation!$A:$E,5,0)</f>
        <v>$</v>
      </c>
      <c r="X232" s="656" t="str">
        <f>+VLOOKUP($L232,Data_Validation!$A:$F,6,0)</f>
        <v>Oui</v>
      </c>
    </row>
    <row r="233" spans="1:24" ht="15" hidden="1" customHeight="1">
      <c r="A233" s="1213" t="s">
        <v>1109</v>
      </c>
      <c r="B233" s="1213" t="s">
        <v>2058</v>
      </c>
      <c r="C233" s="1215">
        <v>2361118.35</v>
      </c>
      <c r="D233" s="1215">
        <v>134074.26999999999</v>
      </c>
      <c r="E233" s="1215">
        <v>2495192.62</v>
      </c>
      <c r="F233" s="1213" t="s">
        <v>1110</v>
      </c>
      <c r="G233" s="1213" t="s">
        <v>964</v>
      </c>
      <c r="H233" s="651"/>
      <c r="I233" s="660"/>
      <c r="J233" s="660"/>
      <c r="K233" s="660"/>
      <c r="L233" s="653" t="str">
        <f t="shared" si="171"/>
        <v>5100</v>
      </c>
      <c r="M233" s="654" t="str">
        <f t="shared" si="172"/>
        <v>C/V - RACHAT DE BAIL</v>
      </c>
      <c r="N233" s="655">
        <f>+IF(OR($Q233=Parametres!$G$2,$Q233=Parametres!$G$3),I233,C233)</f>
        <v>2361118.35</v>
      </c>
      <c r="O233" s="655">
        <f>+IF(OR($Q233=Parametres!$G$2,$Q233=Parametres!$G$3),J233,D233)</f>
        <v>134074.26999999999</v>
      </c>
      <c r="P233" s="655">
        <f>+IF(OR($Q233=Parametres!$G$2,$Q233=Parametres!$G$3),K233,E233)</f>
        <v>2495192.62</v>
      </c>
      <c r="Q233" s="654" t="str">
        <f t="shared" si="173"/>
        <v>6-Coût des ventes</v>
      </c>
      <c r="R233" s="653" t="str">
        <f t="shared" si="174"/>
        <v>4100</v>
      </c>
      <c r="S233" s="654">
        <f t="shared" si="175"/>
        <v>0</v>
      </c>
      <c r="T233" s="656" t="str">
        <f>+VLOOKUP($L233,Data_Validation!$A:$D,1,0)</f>
        <v>5100</v>
      </c>
      <c r="U233" s="656" t="str">
        <f>+VLOOKUP($L233,Data_Validation!$A:$D,3,0)</f>
        <v>Véhicules neufs</v>
      </c>
      <c r="V233" s="656" t="str">
        <f>+VLOOKUP($L233,Data_Validation!$A:$D,4,0)</f>
        <v>Rachat bail</v>
      </c>
      <c r="W233" s="656" t="str">
        <f>+VLOOKUP($L233,Data_Validation!$A:$E,5,0)</f>
        <v>$</v>
      </c>
      <c r="X233" s="656">
        <f>+VLOOKUP($L233,Data_Validation!$A:$F,6,0)</f>
        <v>0</v>
      </c>
    </row>
    <row r="234" spans="1:24" ht="15.75" hidden="1" customHeight="1">
      <c r="A234" s="1213" t="s">
        <v>1111</v>
      </c>
      <c r="B234" s="1213" t="s">
        <v>2070</v>
      </c>
      <c r="C234" s="1215">
        <v>1440342.3</v>
      </c>
      <c r="D234" s="1215">
        <v>52094.31</v>
      </c>
      <c r="E234" s="1215">
        <v>1492436.61</v>
      </c>
      <c r="F234" s="1213" t="s">
        <v>1110</v>
      </c>
      <c r="G234" s="1213" t="s">
        <v>968</v>
      </c>
      <c r="H234" s="651"/>
      <c r="I234" s="652"/>
      <c r="J234" s="652"/>
      <c r="K234" s="652"/>
      <c r="L234" s="653" t="str">
        <f t="shared" si="171"/>
        <v>5109</v>
      </c>
      <c r="M234" s="654" t="str">
        <f t="shared" si="172"/>
        <v>C/V - GOLF R</v>
      </c>
      <c r="N234" s="655">
        <f>+IF(OR($Q234=Parametres!$G$2,$Q234=Parametres!$G$3),I234,C234)</f>
        <v>1440342.3</v>
      </c>
      <c r="O234" s="655">
        <f>+IF(OR($Q234=Parametres!$G$2,$Q234=Parametres!$G$3),J234,D234)</f>
        <v>52094.31</v>
      </c>
      <c r="P234" s="655">
        <f>+IF(OR($Q234=Parametres!$G$2,$Q234=Parametres!$G$3),K234,E234)</f>
        <v>1492436.61</v>
      </c>
      <c r="Q234" s="654" t="str">
        <f t="shared" si="173"/>
        <v>6-Coût des ventes</v>
      </c>
      <c r="R234" s="653" t="str">
        <f t="shared" si="174"/>
        <v>4109</v>
      </c>
      <c r="S234" s="654">
        <f t="shared" si="175"/>
        <v>0</v>
      </c>
      <c r="T234" s="656" t="str">
        <f>+VLOOKUP($L234,Data_Validation!$A:$D,1,0)</f>
        <v>5109</v>
      </c>
      <c r="U234" s="656" t="str">
        <f>+VLOOKUP($L234,Data_Validation!$A:$D,3,0)</f>
        <v>Véhicules neufs</v>
      </c>
      <c r="V234" s="656" t="str">
        <f>+VLOOKUP($L234,Data_Validation!$A:$D,4,0)</f>
        <v>Autos détail</v>
      </c>
      <c r="W234" s="656" t="str">
        <f>+VLOOKUP($L234,Data_Validation!$A:$E,5,0)</f>
        <v>$</v>
      </c>
      <c r="X234" s="656">
        <f>+VLOOKUP($L234,Data_Validation!$A:$F,6,0)</f>
        <v>0</v>
      </c>
    </row>
    <row r="235" spans="1:24" ht="15" hidden="1" customHeight="1">
      <c r="A235" s="1213" t="s">
        <v>971</v>
      </c>
      <c r="B235" s="1213" t="s">
        <v>2075</v>
      </c>
      <c r="C235" s="1215">
        <v>2103241.14</v>
      </c>
      <c r="D235" s="1215">
        <v>92010.13</v>
      </c>
      <c r="E235" s="1215">
        <v>2195251.27</v>
      </c>
      <c r="F235" s="1213" t="s">
        <v>1110</v>
      </c>
      <c r="G235" s="1213" t="s">
        <v>972</v>
      </c>
      <c r="H235" s="650"/>
      <c r="I235" s="652"/>
      <c r="J235" s="652"/>
      <c r="K235" s="652"/>
      <c r="L235" s="653" t="str">
        <f t="shared" si="171"/>
        <v>5111</v>
      </c>
      <c r="M235" s="654" t="str">
        <f t="shared" si="172"/>
        <v>JETTA/ JETTA GLI</v>
      </c>
      <c r="N235" s="655">
        <f>+IF(OR($Q235=Parametres!$G$2,$Q235=Parametres!$G$3),I235,C235)</f>
        <v>2103241.14</v>
      </c>
      <c r="O235" s="655">
        <f>+IF(OR($Q235=Parametres!$G$2,$Q235=Parametres!$G$3),J235,D235)</f>
        <v>92010.13</v>
      </c>
      <c r="P235" s="655">
        <f>+IF(OR($Q235=Parametres!$G$2,$Q235=Parametres!$G$3),K235,E235)</f>
        <v>2195251.27</v>
      </c>
      <c r="Q235" s="654" t="str">
        <f t="shared" si="173"/>
        <v>6-Coût des ventes</v>
      </c>
      <c r="R235" s="653" t="str">
        <f t="shared" si="174"/>
        <v>4111</v>
      </c>
      <c r="S235" s="654">
        <f t="shared" si="175"/>
        <v>0</v>
      </c>
      <c r="T235" s="656" t="str">
        <f>+VLOOKUP($L235,Data_Validation!$A:$D,1,0)</f>
        <v>5111</v>
      </c>
      <c r="U235" s="656" t="str">
        <f>+VLOOKUP($L235,Data_Validation!$A:$D,3,0)</f>
        <v>Véhicules neufs</v>
      </c>
      <c r="V235" s="656" t="str">
        <f>+VLOOKUP($L235,Data_Validation!$A:$D,4,0)</f>
        <v>Autos détail</v>
      </c>
      <c r="W235" s="656" t="str">
        <f>+VLOOKUP($L235,Data_Validation!$A:$E,5,0)</f>
        <v>$</v>
      </c>
      <c r="X235" s="656">
        <f>+VLOOKUP($L235,Data_Validation!$A:$F,6,0)</f>
        <v>0</v>
      </c>
    </row>
    <row r="236" spans="1:24" ht="15" hidden="1" customHeight="1">
      <c r="A236" s="1213" t="s">
        <v>1112</v>
      </c>
      <c r="B236" s="1213" t="s">
        <v>3385</v>
      </c>
      <c r="C236" s="1215">
        <v>4999748.18</v>
      </c>
      <c r="D236" s="1215">
        <v>196223.5</v>
      </c>
      <c r="E236" s="1215">
        <v>5195971.68</v>
      </c>
      <c r="F236" s="1213" t="s">
        <v>1110</v>
      </c>
      <c r="G236" s="1213" t="s">
        <v>1113</v>
      </c>
      <c r="H236" s="651"/>
      <c r="I236" s="652"/>
      <c r="J236" s="652"/>
      <c r="K236" s="652"/>
      <c r="L236" s="653" t="str">
        <f t="shared" si="171"/>
        <v>5118</v>
      </c>
      <c r="M236" s="654" t="str">
        <f t="shared" si="172"/>
        <v>C/V - TAOS</v>
      </c>
      <c r="N236" s="655">
        <f>+IF(OR($Q236=Parametres!$G$2,$Q236=Parametres!$G$3),I236,C236)</f>
        <v>4999748.18</v>
      </c>
      <c r="O236" s="655">
        <f>+IF(OR($Q236=Parametres!$G$2,$Q236=Parametres!$G$3),J236,D236)</f>
        <v>196223.5</v>
      </c>
      <c r="P236" s="655">
        <f>+IF(OR($Q236=Parametres!$G$2,$Q236=Parametres!$G$3),K236,E236)</f>
        <v>5195971.68</v>
      </c>
      <c r="Q236" s="654" t="str">
        <f t="shared" si="173"/>
        <v>6-Coût des ventes</v>
      </c>
      <c r="R236" s="653" t="str">
        <f t="shared" si="174"/>
        <v>511</v>
      </c>
      <c r="S236" s="654">
        <f t="shared" si="175"/>
        <v>0</v>
      </c>
      <c r="T236" s="656" t="str">
        <f>+VLOOKUP($L236,Data_Validation!$A:$D,1,0)</f>
        <v>5118</v>
      </c>
      <c r="U236" s="656" t="str">
        <f>+VLOOKUP($L236,Data_Validation!$A:$D,3,0)</f>
        <v>Véhicules neufs</v>
      </c>
      <c r="V236" s="656" t="str">
        <f>+VLOOKUP($L236,Data_Validation!$A:$D,4,0)</f>
        <v>Camions détail</v>
      </c>
      <c r="W236" s="656" t="str">
        <f>+VLOOKUP($L236,Data_Validation!$A:$E,5,0)</f>
        <v>$</v>
      </c>
      <c r="X236" s="656">
        <f>+VLOOKUP($L236,Data_Validation!$A:$F,6,0)</f>
        <v>0</v>
      </c>
    </row>
    <row r="237" spans="1:24" ht="15" hidden="1" customHeight="1">
      <c r="A237" s="1213" t="s">
        <v>1114</v>
      </c>
      <c r="B237" s="1213" t="s">
        <v>2084</v>
      </c>
      <c r="C237" s="1215">
        <v>3829277.75</v>
      </c>
      <c r="D237" s="1215">
        <v>180082.91</v>
      </c>
      <c r="E237" s="1215">
        <v>4009360.66</v>
      </c>
      <c r="F237" s="1213" t="s">
        <v>1110</v>
      </c>
      <c r="G237" s="1213" t="s">
        <v>980</v>
      </c>
      <c r="H237" s="651"/>
      <c r="I237" s="670"/>
      <c r="J237" s="651"/>
      <c r="K237" s="670"/>
      <c r="L237" s="653" t="str">
        <f t="shared" si="171"/>
        <v>5119</v>
      </c>
      <c r="M237" s="654" t="str">
        <f t="shared" si="172"/>
        <v>C/V - ATLAS</v>
      </c>
      <c r="N237" s="655">
        <f>+IF(OR($Q237=Parametres!$G$2,$Q237=Parametres!$G$3),I237,C237)</f>
        <v>3829277.75</v>
      </c>
      <c r="O237" s="659">
        <f>+IF(OR($Q237=Parametres!$G$2,$Q237=Parametres!$G$3),J237,D237)</f>
        <v>180082.91</v>
      </c>
      <c r="P237" s="655">
        <f>+IF(OR($Q237=Parametres!$G$2,$Q237=Parametres!$G$3),K237,E237)</f>
        <v>4009360.66</v>
      </c>
      <c r="Q237" s="654" t="str">
        <f t="shared" si="173"/>
        <v>6-Coût des ventes</v>
      </c>
      <c r="R237" s="653" t="str">
        <f t="shared" si="174"/>
        <v>4119</v>
      </c>
      <c r="S237" s="654">
        <f t="shared" si="175"/>
        <v>0</v>
      </c>
      <c r="T237" s="656" t="str">
        <f>+VLOOKUP($L237,Data_Validation!$A:$D,1,0)</f>
        <v>5119</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hidden="1" customHeight="1">
      <c r="A238" s="1213" t="s">
        <v>1115</v>
      </c>
      <c r="B238" s="1213" t="s">
        <v>3386</v>
      </c>
      <c r="C238" s="1215">
        <v>225468.01</v>
      </c>
      <c r="D238" s="1215">
        <v>56078.15</v>
      </c>
      <c r="E238" s="1215">
        <v>281546.15999999997</v>
      </c>
      <c r="F238" s="1213" t="s">
        <v>1110</v>
      </c>
      <c r="G238" s="1213" t="s">
        <v>3350</v>
      </c>
      <c r="H238" s="651"/>
      <c r="I238" s="670"/>
      <c r="J238" s="670"/>
      <c r="K238" s="670"/>
      <c r="L238" s="653" t="str">
        <f t="shared" si="171"/>
        <v>5121</v>
      </c>
      <c r="M238" s="654" t="str">
        <f t="shared" si="172"/>
        <v>C/V - ATLAS CROSS SPORT</v>
      </c>
      <c r="N238" s="655">
        <f>+IF(OR($Q238=Parametres!$G$2,$Q238=Parametres!$G$3),I238,C238)</f>
        <v>225468.01</v>
      </c>
      <c r="O238" s="659">
        <f>+IF(OR($Q238=Parametres!$G$2,$Q238=Parametres!$G$3),J238,D238)</f>
        <v>56078.15</v>
      </c>
      <c r="P238" s="655">
        <f>+IF(OR($Q238=Parametres!$G$2,$Q238=Parametres!$G$3),K238,E238)</f>
        <v>281546.15999999997</v>
      </c>
      <c r="Q238" s="654" t="str">
        <f t="shared" si="173"/>
        <v>6-Coût des ventes</v>
      </c>
      <c r="R238" s="653" t="str">
        <f t="shared" si="174"/>
        <v>4121</v>
      </c>
      <c r="S238" s="654">
        <f t="shared" si="175"/>
        <v>0</v>
      </c>
      <c r="T238" s="656" t="str">
        <f>+VLOOKUP($L238,Data_Validation!$A:$D,1,0)</f>
        <v>5121</v>
      </c>
      <c r="U238" s="656" t="str">
        <f>+VLOOKUP($L238,Data_Validation!$A:$D,3,0)</f>
        <v>Véhicules neufs</v>
      </c>
      <c r="V238" s="656" t="str">
        <f>+VLOOKUP($L238,Data_Validation!$A:$D,4,0)</f>
        <v>Camions détail</v>
      </c>
      <c r="W238" s="656" t="str">
        <f>+VLOOKUP($L238,Data_Validation!$A:$E,5,0)</f>
        <v>$</v>
      </c>
      <c r="X238" s="656">
        <f>+VLOOKUP($L238,Data_Validation!$A:$F,6,0)</f>
        <v>0</v>
      </c>
    </row>
    <row r="239" spans="1:24" ht="15" hidden="1" customHeight="1">
      <c r="A239" s="1213" t="s">
        <v>1116</v>
      </c>
      <c r="B239" s="1213" t="s">
        <v>2090</v>
      </c>
      <c r="C239" s="1215">
        <v>2286692</v>
      </c>
      <c r="D239" s="1215">
        <v>37072.199999999997</v>
      </c>
      <c r="E239" s="1215">
        <v>2323764.2000000002</v>
      </c>
      <c r="F239" s="1213" t="s">
        <v>1110</v>
      </c>
      <c r="G239" s="1213" t="s">
        <v>987</v>
      </c>
      <c r="H239" s="651"/>
      <c r="I239" s="652"/>
      <c r="J239" s="652"/>
      <c r="K239" s="652"/>
      <c r="L239" s="653" t="str">
        <f t="shared" si="171"/>
        <v>5127</v>
      </c>
      <c r="M239" s="654" t="str">
        <f t="shared" si="172"/>
        <v>C/V - GOLF GTI</v>
      </c>
      <c r="N239" s="655">
        <f>+IF(OR($Q239=Parametres!$G$2,$Q239=Parametres!$G$3),I239,C239)</f>
        <v>2286692</v>
      </c>
      <c r="O239" s="655">
        <f>+IF(OR($Q239=Parametres!$G$2,$Q239=Parametres!$G$3),J239,D239)</f>
        <v>37072.199999999997</v>
      </c>
      <c r="P239" s="655">
        <f>+IF(OR($Q239=Parametres!$G$2,$Q239=Parametres!$G$3),K239,E239)</f>
        <v>2323764.2000000002</v>
      </c>
      <c r="Q239" s="654" t="str">
        <f t="shared" si="173"/>
        <v>6-Coût des ventes</v>
      </c>
      <c r="R239" s="653" t="str">
        <f t="shared" si="174"/>
        <v>4127</v>
      </c>
      <c r="S239" s="654">
        <f t="shared" si="175"/>
        <v>0</v>
      </c>
      <c r="T239" s="656" t="str">
        <f>+VLOOKUP($L239,Data_Validation!$A:$D,1,0)</f>
        <v>5127</v>
      </c>
      <c r="U239" s="656" t="str">
        <f>+VLOOKUP($L239,Data_Validation!$A:$D,3,0)</f>
        <v>Véhicules neufs</v>
      </c>
      <c r="V239" s="656" t="str">
        <f>+VLOOKUP($L239,Data_Validation!$A:$D,4,0)</f>
        <v>Autos détail</v>
      </c>
      <c r="W239" s="656" t="str">
        <f>+VLOOKUP($L239,Data_Validation!$A:$E,5,0)</f>
        <v>$</v>
      </c>
      <c r="X239" s="656">
        <f>+VLOOKUP($L239,Data_Validation!$A:$F,6,0)</f>
        <v>0</v>
      </c>
    </row>
    <row r="240" spans="1:24" ht="15" hidden="1" customHeight="1">
      <c r="A240" s="1213" t="s">
        <v>1117</v>
      </c>
      <c r="B240" s="1213" t="s">
        <v>2093</v>
      </c>
      <c r="C240" s="1215">
        <v>4190731.17</v>
      </c>
      <c r="D240" s="1215">
        <v>176056.83</v>
      </c>
      <c r="E240" s="1215">
        <v>4366788</v>
      </c>
      <c r="F240" s="1213" t="s">
        <v>1110</v>
      </c>
      <c r="G240" s="1213" t="s">
        <v>991</v>
      </c>
      <c r="H240" s="651"/>
      <c r="I240" s="667"/>
      <c r="J240" s="667"/>
      <c r="K240" s="667"/>
      <c r="L240" s="653" t="str">
        <f t="shared" si="171"/>
        <v>5131</v>
      </c>
      <c r="M240" s="654" t="str">
        <f t="shared" si="172"/>
        <v>C/V - TIGUAN LWB</v>
      </c>
      <c r="N240" s="655">
        <f>+IF(OR($Q240=Parametres!$G$2,$Q240=Parametres!$G$3),I240,C240)</f>
        <v>4190731.17</v>
      </c>
      <c r="O240" s="655">
        <f>+IF(OR($Q240=Parametres!$G$2,$Q240=Parametres!$G$3),J240,D240)</f>
        <v>176056.83</v>
      </c>
      <c r="P240" s="655">
        <f>+IF(OR($Q240=Parametres!$G$2,$Q240=Parametres!$G$3),K240,E240)</f>
        <v>4366788</v>
      </c>
      <c r="Q240" s="654" t="str">
        <f t="shared" si="173"/>
        <v>6-Coût des ventes</v>
      </c>
      <c r="R240" s="653" t="str">
        <f t="shared" si="174"/>
        <v>4131</v>
      </c>
      <c r="S240" s="654">
        <f t="shared" si="175"/>
        <v>0</v>
      </c>
      <c r="T240" s="656" t="str">
        <f>+VLOOKUP($L240,Data_Validation!$A:$D,1,0)</f>
        <v>5131</v>
      </c>
      <c r="U240" s="656" t="str">
        <f>+VLOOKUP($L240,Data_Validation!$A:$D,3,0)</f>
        <v>Véhicules neufs</v>
      </c>
      <c r="V240" s="656" t="str">
        <f>+VLOOKUP($L240,Data_Validation!$A:$D,4,0)</f>
        <v>Camions détail</v>
      </c>
      <c r="W240" s="656" t="str">
        <f>+VLOOKUP($L240,Data_Validation!$A:$E,5,0)</f>
        <v>$</v>
      </c>
      <c r="X240" s="656">
        <f>+VLOOKUP($L240,Data_Validation!$A:$F,6,0)</f>
        <v>0</v>
      </c>
    </row>
    <row r="241" spans="1:24" ht="15" hidden="1" customHeight="1">
      <c r="A241" s="1213" t="s">
        <v>1118</v>
      </c>
      <c r="B241" s="1213" t="s">
        <v>2099</v>
      </c>
      <c r="C241" s="1215">
        <v>588272.97</v>
      </c>
      <c r="D241" s="1215">
        <v>252696.25</v>
      </c>
      <c r="E241" s="1215">
        <v>840969.22</v>
      </c>
      <c r="F241" s="1213" t="s">
        <v>1110</v>
      </c>
      <c r="G241" s="1213" t="s">
        <v>995</v>
      </c>
      <c r="H241" s="651"/>
      <c r="I241" s="666"/>
      <c r="J241" s="666"/>
      <c r="K241" s="666"/>
      <c r="L241" s="653" t="str">
        <f t="shared" si="171"/>
        <v>5137</v>
      </c>
      <c r="M241" s="654" t="str">
        <f t="shared" si="172"/>
        <v>C/V - VW FLOTTE/VENTE ENTR/EMPLOYE/VEH DEMONS</v>
      </c>
      <c r="N241" s="655">
        <f>+IF(OR($Q241=Parametres!$G$2,$Q241=Parametres!$G$3),I241,C241)</f>
        <v>588272.97</v>
      </c>
      <c r="O241" s="655">
        <f>+IF(OR($Q241=Parametres!$G$2,$Q241=Parametres!$G$3),J241,D241)</f>
        <v>252696.25</v>
      </c>
      <c r="P241" s="655">
        <f>+IF(OR($Q241=Parametres!$G$2,$Q241=Parametres!$G$3),K241,E241)</f>
        <v>840969.22</v>
      </c>
      <c r="Q241" s="654" t="str">
        <f t="shared" si="173"/>
        <v>6-Coût des ventes</v>
      </c>
      <c r="R241" s="653" t="str">
        <f t="shared" si="174"/>
        <v>4137</v>
      </c>
      <c r="S241" s="654">
        <f t="shared" si="175"/>
        <v>0</v>
      </c>
      <c r="T241" s="656" t="str">
        <f>+VLOOKUP($L241,Data_Validation!$A:$D,1,0)</f>
        <v>5137</v>
      </c>
      <c r="U241" s="656" t="str">
        <f>+VLOOKUP($L241,Data_Validation!$A:$D,3,0)</f>
        <v>Véhicules neufs</v>
      </c>
      <c r="V241" s="656" t="str">
        <f>+VLOOKUP($L241,Data_Validation!$A:$D,4,0)</f>
        <v>Flottes</v>
      </c>
      <c r="W241" s="656" t="str">
        <f>+VLOOKUP($L241,Data_Validation!$A:$E,5,0)</f>
        <v>$</v>
      </c>
      <c r="X241" s="656">
        <f>+VLOOKUP($L241,Data_Validation!$A:$F,6,0)</f>
        <v>0</v>
      </c>
    </row>
    <row r="242" spans="1:24" ht="15" hidden="1" customHeight="1">
      <c r="A242" s="1213" t="s">
        <v>1118</v>
      </c>
      <c r="B242" s="1213" t="s">
        <v>2102</v>
      </c>
      <c r="C242" s="1215">
        <v>1644199.88</v>
      </c>
      <c r="D242" s="1215">
        <v>168636.91</v>
      </c>
      <c r="E242" s="1215">
        <v>1812836.79</v>
      </c>
      <c r="F242" s="1213" t="s">
        <v>1110</v>
      </c>
      <c r="G242" s="1213" t="s">
        <v>999</v>
      </c>
      <c r="H242" s="651"/>
      <c r="I242" s="666"/>
      <c r="J242" s="666"/>
      <c r="K242" s="666"/>
      <c r="L242" s="653" t="str">
        <f t="shared" si="171"/>
        <v>5139</v>
      </c>
      <c r="M242" s="654" t="str">
        <f t="shared" si="172"/>
        <v>C/V - VW FLOTTE/VENTE ENTR/EMPLOYE/VEH DEMONS</v>
      </c>
      <c r="N242" s="655">
        <f>+IF(OR($Q242=Parametres!$G$2,$Q242=Parametres!$G$3),I242,C242)</f>
        <v>1644199.88</v>
      </c>
      <c r="O242" s="655">
        <f>+IF(OR($Q242=Parametres!$G$2,$Q242=Parametres!$G$3),J242,D242)</f>
        <v>168636.91</v>
      </c>
      <c r="P242" s="655">
        <f>+IF(OR($Q242=Parametres!$G$2,$Q242=Parametres!$G$3),K242,E242)</f>
        <v>1812836.79</v>
      </c>
      <c r="Q242" s="654" t="str">
        <f t="shared" si="173"/>
        <v>6-Coût des ventes</v>
      </c>
      <c r="R242" s="653" t="str">
        <f t="shared" si="174"/>
        <v>4139</v>
      </c>
      <c r="S242" s="654">
        <f t="shared" si="175"/>
        <v>0</v>
      </c>
      <c r="T242" s="656" t="str">
        <f>+VLOOKUP($L242,Data_Validation!$A:$D,1,0)</f>
        <v>5139</v>
      </c>
      <c r="U242" s="656" t="str">
        <f>+VLOOKUP($L242,Data_Validation!$A:$D,3,0)</f>
        <v>Véhicules neufs</v>
      </c>
      <c r="V242" s="656" t="str">
        <f>+VLOOKUP($L242,Data_Validation!$A:$D,4,0)</f>
        <v>Ex-Démos et courtoisies</v>
      </c>
      <c r="W242" s="656" t="str">
        <f>+VLOOKUP($L242,Data_Validation!$A:$E,5,0)</f>
        <v>$</v>
      </c>
      <c r="X242" s="656">
        <f>+VLOOKUP($L242,Data_Validation!$A:$F,6,0)</f>
        <v>0</v>
      </c>
    </row>
    <row r="243" spans="1:24" ht="15.75" hidden="1" customHeight="1">
      <c r="A243" s="1213" t="s">
        <v>3914</v>
      </c>
      <c r="B243" s="1213" t="s">
        <v>3915</v>
      </c>
      <c r="C243" s="1215">
        <v>9425410.4600000009</v>
      </c>
      <c r="D243" s="1215">
        <v>660754.44999999995</v>
      </c>
      <c r="E243" s="1215">
        <v>10086164.91</v>
      </c>
      <c r="F243" s="1213" t="s">
        <v>1110</v>
      </c>
      <c r="G243" s="1213" t="s">
        <v>3912</v>
      </c>
      <c r="H243" s="651"/>
      <c r="I243" s="667"/>
      <c r="J243" s="667"/>
      <c r="K243" s="667"/>
      <c r="L243" s="653" t="str">
        <f t="shared" si="171"/>
        <v>5141</v>
      </c>
      <c r="M243" s="654" t="str">
        <f t="shared" si="172"/>
        <v>C/V - ID4</v>
      </c>
      <c r="N243" s="655">
        <f>+IF(OR($Q243=Parametres!$G$2,$Q243=Parametres!$G$3),I243,C243)</f>
        <v>9425410.4600000009</v>
      </c>
      <c r="O243" s="659">
        <f>+IF(OR($Q243=Parametres!$G$2,$Q243=Parametres!$G$3),J243,D243)</f>
        <v>660754.44999999995</v>
      </c>
      <c r="P243" s="655">
        <f>+IF(OR($Q243=Parametres!$G$2,$Q243=Parametres!$G$3),K243,E243)</f>
        <v>10086164.91</v>
      </c>
      <c r="Q243" s="654" t="str">
        <f t="shared" si="173"/>
        <v>6-Coût des ventes</v>
      </c>
      <c r="R243" s="653" t="str">
        <f t="shared" si="174"/>
        <v>4141</v>
      </c>
      <c r="S243" s="654">
        <f t="shared" si="175"/>
        <v>0</v>
      </c>
      <c r="T243" s="656" t="str">
        <f>+VLOOKUP($L243,Data_Validation!$A:$D,1,0)</f>
        <v>5141</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hidden="1" customHeight="1">
      <c r="A244" s="1213" t="s">
        <v>1119</v>
      </c>
      <c r="B244" s="1213" t="s">
        <v>3387</v>
      </c>
      <c r="C244" s="1215">
        <v>704470.18</v>
      </c>
      <c r="D244" s="1215">
        <v>39918.18</v>
      </c>
      <c r="E244" s="1215">
        <v>744388.36</v>
      </c>
      <c r="F244" s="1213" t="s">
        <v>1110</v>
      </c>
      <c r="G244" s="1213" t="s">
        <v>1120</v>
      </c>
      <c r="H244" s="651"/>
      <c r="I244" s="666"/>
      <c r="J244" s="666"/>
      <c r="K244" s="666"/>
      <c r="L244" s="653" t="str">
        <f t="shared" ref="L244:L307" si="176">TEXT(B244,0)</f>
        <v>5144</v>
      </c>
      <c r="M244" s="654" t="str">
        <f t="shared" ref="M244:M307" si="177">+A244</f>
        <v>C/V - JETTA GLI</v>
      </c>
      <c r="N244" s="655">
        <f>+IF(OR($Q244=Parametres!$G$2,$Q244=Parametres!$G$3),I244,C244)</f>
        <v>704470.18</v>
      </c>
      <c r="O244" s="655">
        <f>+IF(OR($Q244=Parametres!$G$2,$Q244=Parametres!$G$3),J244,D244)</f>
        <v>39918.18</v>
      </c>
      <c r="P244" s="655">
        <f>+IF(OR($Q244=Parametres!$G$2,$Q244=Parametres!$G$3),K244,E244)</f>
        <v>744388.36</v>
      </c>
      <c r="Q244" s="654" t="str">
        <f t="shared" ref="Q244:Q307" si="178">+F244</f>
        <v>6-Coût des ventes</v>
      </c>
      <c r="R244" s="653" t="str">
        <f t="shared" ref="R244:R307" si="179">+G244</f>
        <v>514</v>
      </c>
      <c r="S244" s="654">
        <f t="shared" ref="S244:S307" si="180">+H244</f>
        <v>0</v>
      </c>
      <c r="T244" s="671" t="str">
        <f>+VLOOKUP($L244,Data_Validation!$A:$D,1,0)</f>
        <v>5144</v>
      </c>
      <c r="U244" s="656" t="str">
        <f>+VLOOKUP($L244,Data_Validation!$A:$D,3,0)</f>
        <v>Véhicules neufs</v>
      </c>
      <c r="V244" s="656" t="str">
        <f>+VLOOKUP($L244,Data_Validation!$A:$D,4,0)</f>
        <v>Autos détail</v>
      </c>
      <c r="W244" s="656" t="str">
        <f>+VLOOKUP($L244,Data_Validation!$A:$E,5,0)</f>
        <v>$</v>
      </c>
      <c r="X244" s="656">
        <f>+VLOOKUP($L244,Data_Validation!$A:$F,6,0)</f>
        <v>0</v>
      </c>
    </row>
    <row r="245" spans="1:24" ht="15" hidden="1" customHeight="1">
      <c r="A245" s="1213" t="s">
        <v>1121</v>
      </c>
      <c r="B245" s="1213" t="s">
        <v>2113</v>
      </c>
      <c r="C245" s="1215">
        <v>6286147.04</v>
      </c>
      <c r="D245" s="1215">
        <v>336039.53</v>
      </c>
      <c r="E245" s="1215">
        <v>6622186.5700000003</v>
      </c>
      <c r="F245" s="1213" t="s">
        <v>1110</v>
      </c>
      <c r="G245" s="1213" t="s">
        <v>1007</v>
      </c>
      <c r="H245" s="651"/>
      <c r="I245" s="667"/>
      <c r="J245" s="667"/>
      <c r="K245" s="667"/>
      <c r="L245" s="653" t="str">
        <f t="shared" si="176"/>
        <v>5201</v>
      </c>
      <c r="M245" s="654" t="str">
        <f t="shared" si="177"/>
        <v>C/V - VEH.USAGE VW DETAIL CERTIFIE</v>
      </c>
      <c r="N245" s="655">
        <f>+IF(OR($Q245=Parametres!$G$2,$Q245=Parametres!$G$3),I245,C245)</f>
        <v>6286147.04</v>
      </c>
      <c r="O245" s="655">
        <f>+IF(OR($Q245=Parametres!$G$2,$Q245=Parametres!$G$3),J245,D245)</f>
        <v>336039.53</v>
      </c>
      <c r="P245" s="655">
        <f>+IF(OR($Q245=Parametres!$G$2,$Q245=Parametres!$G$3),K245,E245)</f>
        <v>6622186.5700000003</v>
      </c>
      <c r="Q245" s="654" t="str">
        <f t="shared" si="178"/>
        <v>6-Coût des ventes</v>
      </c>
      <c r="R245" s="653" t="str">
        <f t="shared" si="179"/>
        <v>4201</v>
      </c>
      <c r="S245" s="654">
        <f t="shared" si="180"/>
        <v>0</v>
      </c>
      <c r="T245" s="656" t="str">
        <f>+VLOOKUP($L245,Data_Validation!$A:$D,1,0)</f>
        <v>5201</v>
      </c>
      <c r="U245" s="656" t="str">
        <f>+VLOOKUP($L245,Data_Validation!$A:$D,3,0)</f>
        <v>Véhicules usagés</v>
      </c>
      <c r="V245" s="656" t="str">
        <f>+VLOOKUP($L245,Data_Validation!$A:$D,4,0)</f>
        <v>Certifié</v>
      </c>
      <c r="W245" s="656" t="str">
        <f>+VLOOKUP($L245,Data_Validation!$A:$E,5,0)</f>
        <v>$</v>
      </c>
      <c r="X245" s="656">
        <f>+VLOOKUP($L245,Data_Validation!$A:$F,6,0)</f>
        <v>0</v>
      </c>
    </row>
    <row r="246" spans="1:24" ht="15" hidden="1" customHeight="1">
      <c r="A246" s="1213" t="s">
        <v>1122</v>
      </c>
      <c r="B246" s="1213" t="s">
        <v>2116</v>
      </c>
      <c r="C246" s="1215">
        <v>548098.31000000006</v>
      </c>
      <c r="D246" s="1215">
        <v>39932.959999999999</v>
      </c>
      <c r="E246" s="1215">
        <v>588031.27</v>
      </c>
      <c r="F246" s="1213" t="s">
        <v>1110</v>
      </c>
      <c r="G246" s="1213" t="s">
        <v>1007</v>
      </c>
      <c r="H246" s="651"/>
      <c r="I246" s="666"/>
      <c r="J246" s="666"/>
      <c r="K246" s="666"/>
      <c r="L246" s="653" t="str">
        <f t="shared" si="176"/>
        <v>5203</v>
      </c>
      <c r="M246" s="654" t="str">
        <f t="shared" si="177"/>
        <v>C/V - RECOND USAGE VW CERT.</v>
      </c>
      <c r="N246" s="655">
        <f>+IF(OR($Q246=Parametres!$G$2,$Q246=Parametres!$G$3),I246,C246)</f>
        <v>548098.31000000006</v>
      </c>
      <c r="O246" s="655">
        <f>+IF(OR($Q246=Parametres!$G$2,$Q246=Parametres!$G$3),J246,D246)</f>
        <v>39932.959999999999</v>
      </c>
      <c r="P246" s="655">
        <f>+IF(OR($Q246=Parametres!$G$2,$Q246=Parametres!$G$3),K246,E246)</f>
        <v>588031.27</v>
      </c>
      <c r="Q246" s="654" t="str">
        <f t="shared" si="178"/>
        <v>6-Coût des ventes</v>
      </c>
      <c r="R246" s="653" t="str">
        <f t="shared" si="179"/>
        <v>4201</v>
      </c>
      <c r="S246" s="654">
        <f t="shared" si="180"/>
        <v>0</v>
      </c>
      <c r="T246" s="656" t="str">
        <f>+VLOOKUP($L246,Data_Validation!$A:$D,1,0)</f>
        <v>5203</v>
      </c>
      <c r="U246" s="656" t="str">
        <f>+VLOOKUP($L246,Data_Validation!$A:$D,3,0)</f>
        <v>Véhicules usagés</v>
      </c>
      <c r="V246" s="656" t="str">
        <f>+VLOOKUP($L246,Data_Validation!$A:$D,4,0)</f>
        <v>Certifié</v>
      </c>
      <c r="W246" s="656" t="str">
        <f>+VLOOKUP($L246,Data_Validation!$A:$E,5,0)</f>
        <v>$</v>
      </c>
      <c r="X246" s="656">
        <f>+VLOOKUP($L246,Data_Validation!$A:$F,6,0)</f>
        <v>0</v>
      </c>
    </row>
    <row r="247" spans="1:24" ht="15.75" hidden="1" customHeight="1">
      <c r="A247" s="1213" t="s">
        <v>3924</v>
      </c>
      <c r="B247" s="1213" t="s">
        <v>3925</v>
      </c>
      <c r="C247" s="1215">
        <v>1566.29</v>
      </c>
      <c r="D247" s="1215">
        <v>0</v>
      </c>
      <c r="E247" s="1215">
        <v>1566.29</v>
      </c>
      <c r="F247" s="1213" t="s">
        <v>1110</v>
      </c>
      <c r="G247" s="1213" t="s">
        <v>3926</v>
      </c>
      <c r="H247" s="651"/>
      <c r="I247" s="667"/>
      <c r="J247" s="667"/>
      <c r="K247" s="667"/>
      <c r="L247" s="653" t="str">
        <f t="shared" si="176"/>
        <v>5208</v>
      </c>
      <c r="M247" s="654" t="str">
        <f t="shared" si="177"/>
        <v>C/V - BONI CPO</v>
      </c>
      <c r="N247" s="655">
        <f>+IF(OR($Q247=Parametres!$G$2,$Q247=Parametres!$G$3),I247,C247)</f>
        <v>1566.29</v>
      </c>
      <c r="O247" s="655">
        <f>+IF(OR($Q247=Parametres!$G$2,$Q247=Parametres!$G$3),J247,D247)</f>
        <v>0</v>
      </c>
      <c r="P247" s="655">
        <f>+IF(OR($Q247=Parametres!$G$2,$Q247=Parametres!$G$3),K247,E247)</f>
        <v>1566.29</v>
      </c>
      <c r="Q247" s="654" t="str">
        <f t="shared" si="178"/>
        <v>6-Coût des ventes</v>
      </c>
      <c r="R247" s="653" t="str">
        <f t="shared" si="179"/>
        <v>84207</v>
      </c>
      <c r="S247" s="654">
        <f t="shared" si="180"/>
        <v>0</v>
      </c>
      <c r="T247" s="656" t="str">
        <f>+VLOOKUP($L247,Data_Validation!$A:$D,1,0)</f>
        <v>5208</v>
      </c>
      <c r="U247" s="656" t="str">
        <f>+VLOOKUP($L247,Data_Validation!$A:$D,3,0)</f>
        <v>Véhicules usagés</v>
      </c>
      <c r="V247" s="656" t="str">
        <f>+VLOOKUP($L247,Data_Validation!$A:$D,4,0)</f>
        <v>Certifié</v>
      </c>
      <c r="W247" s="656" t="str">
        <f>+VLOOKUP($L247,Data_Validation!$A:$E,5,0)</f>
        <v>$</v>
      </c>
      <c r="X247" s="656">
        <f>+VLOOKUP($L247,Data_Validation!$A:$F,6,0)</f>
        <v>0</v>
      </c>
    </row>
    <row r="248" spans="1:24" ht="15" hidden="1" customHeight="1">
      <c r="A248" s="1213" t="s">
        <v>1123</v>
      </c>
      <c r="B248" s="1213" t="s">
        <v>2122</v>
      </c>
      <c r="C248" s="1215">
        <v>108805</v>
      </c>
      <c r="D248" s="1215">
        <v>0</v>
      </c>
      <c r="E248" s="1215">
        <v>108805</v>
      </c>
      <c r="F248" s="1213" t="s">
        <v>1110</v>
      </c>
      <c r="G248" s="1213" t="s">
        <v>1011</v>
      </c>
      <c r="H248" s="651"/>
      <c r="I248" s="666"/>
      <c r="J248" s="666"/>
      <c r="K248" s="666"/>
      <c r="L248" s="653" t="str">
        <f t="shared" si="176"/>
        <v>5211</v>
      </c>
      <c r="M248" s="654" t="str">
        <f t="shared" si="177"/>
        <v>C/V - VW USAGES DETAIL</v>
      </c>
      <c r="N248" s="655">
        <f>+IF(OR($Q248=Parametres!$G$2,$Q248=Parametres!$G$3),I248,C248)</f>
        <v>108805</v>
      </c>
      <c r="O248" s="655">
        <f>+IF(OR($Q248=Parametres!$G$2,$Q248=Parametres!$G$3),J248,D248)</f>
        <v>0</v>
      </c>
      <c r="P248" s="655">
        <f>+IF(OR($Q248=Parametres!$G$2,$Q248=Parametres!$G$3),K248,E248)</f>
        <v>108805</v>
      </c>
      <c r="Q248" s="654" t="str">
        <f t="shared" si="178"/>
        <v>6-Coût des ventes</v>
      </c>
      <c r="R248" s="653" t="str">
        <f t="shared" si="179"/>
        <v>4211</v>
      </c>
      <c r="S248" s="654">
        <f t="shared" si="180"/>
        <v>0</v>
      </c>
      <c r="T248" s="656" t="str">
        <f>+VLOOKUP($L248,Data_Validation!$A:$D,1,0)</f>
        <v>5211</v>
      </c>
      <c r="U248" s="656" t="str">
        <f>+VLOOKUP($L248,Data_Validation!$A:$D,3,0)</f>
        <v>Véhicules usagés</v>
      </c>
      <c r="V248" s="656" t="str">
        <f>+VLOOKUP($L248,Data_Validation!$A:$D,4,0)</f>
        <v>Non Certifié</v>
      </c>
      <c r="W248" s="656" t="str">
        <f>+VLOOKUP($L248,Data_Validation!$A:$E,5,0)</f>
        <v>$</v>
      </c>
      <c r="X248" s="656">
        <f>+VLOOKUP($L248,Data_Validation!$A:$F,6,0)</f>
        <v>0</v>
      </c>
    </row>
    <row r="249" spans="1:24" ht="15" hidden="1" customHeight="1">
      <c r="A249" s="1213" t="s">
        <v>1124</v>
      </c>
      <c r="B249" s="1213" t="s">
        <v>2125</v>
      </c>
      <c r="C249" s="1215">
        <v>8709.5499999999993</v>
      </c>
      <c r="D249" s="1215">
        <v>0</v>
      </c>
      <c r="E249" s="1215">
        <v>8709.5499999999993</v>
      </c>
      <c r="F249" s="1213" t="s">
        <v>1110</v>
      </c>
      <c r="G249" s="1213" t="s">
        <v>1011</v>
      </c>
      <c r="H249" s="651"/>
      <c r="I249" s="667"/>
      <c r="J249" s="667"/>
      <c r="K249" s="667"/>
      <c r="L249" s="653" t="str">
        <f t="shared" si="176"/>
        <v>5213</v>
      </c>
      <c r="M249" s="654" t="str">
        <f t="shared" si="177"/>
        <v>C/V - RECOND. USAGE VW DETAIL</v>
      </c>
      <c r="N249" s="655">
        <f>+IF(OR($Q249=Parametres!$G$2,$Q249=Parametres!$G$3),I249,C249)</f>
        <v>8709.5499999999993</v>
      </c>
      <c r="O249" s="655">
        <f>+IF(OR($Q249=Parametres!$G$2,$Q249=Parametres!$G$3),J249,D249)</f>
        <v>0</v>
      </c>
      <c r="P249" s="655">
        <f>+IF(OR($Q249=Parametres!$G$2,$Q249=Parametres!$G$3),K249,E249)</f>
        <v>8709.5499999999993</v>
      </c>
      <c r="Q249" s="654" t="str">
        <f t="shared" si="178"/>
        <v>6-Coût des ventes</v>
      </c>
      <c r="R249" s="653" t="str">
        <f t="shared" si="179"/>
        <v>4211</v>
      </c>
      <c r="S249" s="654">
        <f t="shared" si="180"/>
        <v>0</v>
      </c>
      <c r="T249" s="656" t="str">
        <f>+VLOOKUP($L249,Data_Validation!$A:$D,1,0)</f>
        <v>5213</v>
      </c>
      <c r="U249" s="656" t="str">
        <f>+VLOOKUP($L249,Data_Validation!$A:$D,3,0)</f>
        <v>Véhicules usagés</v>
      </c>
      <c r="V249" s="656" t="str">
        <f>+VLOOKUP($L249,Data_Validation!$A:$D,4,0)</f>
        <v>Non Certifié</v>
      </c>
      <c r="W249" s="656" t="str">
        <f>+VLOOKUP($L249,Data_Validation!$A:$E,5,0)</f>
        <v>$</v>
      </c>
      <c r="X249" s="656">
        <f>+VLOOKUP($L249,Data_Validation!$A:$F,6,0)</f>
        <v>0</v>
      </c>
    </row>
    <row r="250" spans="1:24" ht="15" hidden="1" customHeight="1">
      <c r="A250" s="1213" t="s">
        <v>1014</v>
      </c>
      <c r="B250" s="1213" t="s">
        <v>2136</v>
      </c>
      <c r="C250" s="1215">
        <v>332647.83</v>
      </c>
      <c r="D250" s="1215">
        <v>8650</v>
      </c>
      <c r="E250" s="1215">
        <v>341297.83</v>
      </c>
      <c r="F250" s="1213" t="s">
        <v>1110</v>
      </c>
      <c r="G250" s="1213" t="s">
        <v>1015</v>
      </c>
      <c r="H250" s="651"/>
      <c r="I250" s="666"/>
      <c r="J250" s="666"/>
      <c r="K250" s="666"/>
      <c r="L250" s="653" t="str">
        <f t="shared" si="176"/>
        <v>5285</v>
      </c>
      <c r="M250" s="654" t="str">
        <f t="shared" si="177"/>
        <v>VEH. D'OCC. AUTRE DETAIL</v>
      </c>
      <c r="N250" s="655">
        <f>+IF(OR($Q250=Parametres!$G$2,$Q250=Parametres!$G$3),I250,C250)</f>
        <v>332647.83</v>
      </c>
      <c r="O250" s="655">
        <f>+IF(OR($Q250=Parametres!$G$2,$Q250=Parametres!$G$3),J250,D250)</f>
        <v>8650</v>
      </c>
      <c r="P250" s="655">
        <f>+IF(OR($Q250=Parametres!$G$2,$Q250=Parametres!$G$3),K250,E250)</f>
        <v>341297.83</v>
      </c>
      <c r="Q250" s="654" t="str">
        <f t="shared" si="178"/>
        <v>6-Coût des ventes</v>
      </c>
      <c r="R250" s="653" t="str">
        <f t="shared" si="179"/>
        <v>4261</v>
      </c>
      <c r="S250" s="654">
        <f t="shared" si="180"/>
        <v>0</v>
      </c>
      <c r="T250" s="656" t="str">
        <f>+VLOOKUP($L250,Data_Validation!$A:$D,1,0)</f>
        <v>5285</v>
      </c>
      <c r="U250" s="656" t="str">
        <f>+VLOOKUP($L250,Data_Validation!$A:$D,3,0)</f>
        <v>Véhicules usagés</v>
      </c>
      <c r="V250" s="656" t="str">
        <f>+VLOOKUP($L250,Data_Validation!$A:$D,4,0)</f>
        <v>Autres Marques</v>
      </c>
      <c r="W250" s="656" t="str">
        <f>+VLOOKUP($L250,Data_Validation!$A:$E,5,0)</f>
        <v>$</v>
      </c>
      <c r="X250" s="656">
        <f>+VLOOKUP($L250,Data_Validation!$A:$F,6,0)</f>
        <v>0</v>
      </c>
    </row>
    <row r="251" spans="1:24" ht="15" hidden="1" customHeight="1">
      <c r="A251" s="1213" t="s">
        <v>1125</v>
      </c>
      <c r="B251" s="1213" t="s">
        <v>2139</v>
      </c>
      <c r="C251" s="1215">
        <v>28793.91</v>
      </c>
      <c r="D251" s="1215">
        <v>471.43</v>
      </c>
      <c r="E251" s="1215">
        <v>29265.34</v>
      </c>
      <c r="F251" s="1213" t="s">
        <v>1110</v>
      </c>
      <c r="G251" s="1213" t="s">
        <v>1015</v>
      </c>
      <c r="H251" s="651"/>
      <c r="I251" s="652"/>
      <c r="J251" s="652"/>
      <c r="K251" s="652"/>
      <c r="L251" s="653" t="str">
        <f t="shared" si="176"/>
        <v>5286</v>
      </c>
      <c r="M251" s="654" t="str">
        <f t="shared" si="177"/>
        <v>RECOND. AUTRE DETAIL</v>
      </c>
      <c r="N251" s="655">
        <f>+IF(OR($Q251=Parametres!$G$2,$Q251=Parametres!$G$3),I251,C251)</f>
        <v>28793.91</v>
      </c>
      <c r="O251" s="655">
        <f>+IF(OR($Q251=Parametres!$G$2,$Q251=Parametres!$G$3),J251,D251)</f>
        <v>471.43</v>
      </c>
      <c r="P251" s="655">
        <f>+IF(OR($Q251=Parametres!$G$2,$Q251=Parametres!$G$3),K251,E251)</f>
        <v>29265.34</v>
      </c>
      <c r="Q251" s="654" t="str">
        <f t="shared" si="178"/>
        <v>6-Coût des ventes</v>
      </c>
      <c r="R251" s="653" t="str">
        <f t="shared" si="179"/>
        <v>4261</v>
      </c>
      <c r="S251" s="654">
        <f t="shared" si="180"/>
        <v>0</v>
      </c>
      <c r="T251" s="656" t="str">
        <f>+VLOOKUP($L251,Data_Validation!$A:$D,1,0)</f>
        <v>5286</v>
      </c>
      <c r="U251" s="656" t="str">
        <f>+VLOOKUP($L251,Data_Validation!$A:$D,3,0)</f>
        <v>Véhicules usagés</v>
      </c>
      <c r="V251" s="656" t="str">
        <f>+VLOOKUP($L251,Data_Validation!$A:$D,4,0)</f>
        <v>Non Certifié</v>
      </c>
      <c r="W251" s="656" t="str">
        <f>+VLOOKUP($L251,Data_Validation!$A:$E,5,0)</f>
        <v>$</v>
      </c>
      <c r="X251" s="656">
        <f>+VLOOKUP($L251,Data_Validation!$A:$F,6,0)</f>
        <v>0</v>
      </c>
    </row>
    <row r="252" spans="1:24" ht="15.75" hidden="1" customHeight="1">
      <c r="A252" s="1213" t="s">
        <v>1018</v>
      </c>
      <c r="B252" s="1213" t="s">
        <v>2142</v>
      </c>
      <c r="C252" s="1215">
        <v>6297980.5199999996</v>
      </c>
      <c r="D252" s="1215">
        <v>375813.9</v>
      </c>
      <c r="E252" s="1215">
        <v>6673794.4199999999</v>
      </c>
      <c r="F252" s="1213" t="s">
        <v>1110</v>
      </c>
      <c r="G252" s="1213" t="s">
        <v>1019</v>
      </c>
      <c r="H252" s="651"/>
      <c r="I252" s="670"/>
      <c r="J252" s="651"/>
      <c r="K252" s="670"/>
      <c r="L252" s="653" t="str">
        <f t="shared" si="176"/>
        <v>5291</v>
      </c>
      <c r="M252" s="654" t="str">
        <f t="shared" si="177"/>
        <v>VEH. D'OCC. AU GROS</v>
      </c>
      <c r="N252" s="655">
        <f>+IF(OR($Q252=Parametres!$G$2,$Q252=Parametres!$G$3),I252,C252)</f>
        <v>6297980.5199999996</v>
      </c>
      <c r="O252" s="655">
        <f>+IF(OR($Q252=Parametres!$G$2,$Q252=Parametres!$G$3),J252,D252)</f>
        <v>375813.9</v>
      </c>
      <c r="P252" s="655">
        <f>+IF(OR($Q252=Parametres!$G$2,$Q252=Parametres!$G$3),K252,E252)</f>
        <v>6673794.4199999999</v>
      </c>
      <c r="Q252" s="654" t="str">
        <f t="shared" si="178"/>
        <v>6-Coût des ventes</v>
      </c>
      <c r="R252" s="653" t="str">
        <f t="shared" si="179"/>
        <v>4281</v>
      </c>
      <c r="S252" s="654">
        <f t="shared" si="180"/>
        <v>0</v>
      </c>
      <c r="T252" s="656" t="str">
        <f>+VLOOKUP($L252,Data_Validation!$A:$D,1,0)</f>
        <v>5291</v>
      </c>
      <c r="U252" s="656" t="str">
        <f>+VLOOKUP($L252,Data_Validation!$A:$D,3,0)</f>
        <v>Véhicules usagés</v>
      </c>
      <c r="V252" s="656" t="str">
        <f>+VLOOKUP($L252,Data_Validation!$A:$D,4,0)</f>
        <v>Ventes au Gros</v>
      </c>
      <c r="W252" s="656" t="str">
        <f>+VLOOKUP($L252,Data_Validation!$A:$E,5,0)</f>
        <v>$</v>
      </c>
      <c r="X252" s="656">
        <f>+VLOOKUP($L252,Data_Validation!$A:$F,6,0)</f>
        <v>0</v>
      </c>
    </row>
    <row r="253" spans="1:24" ht="15" hidden="1" customHeight="1">
      <c r="A253" s="1213" t="s">
        <v>3672</v>
      </c>
      <c r="B253" s="1213" t="s">
        <v>2145</v>
      </c>
      <c r="C253" s="1215">
        <v>340354.68</v>
      </c>
      <c r="D253" s="1215">
        <v>22974.28</v>
      </c>
      <c r="E253" s="1215">
        <v>363328.96</v>
      </c>
      <c r="F253" s="1213" t="s">
        <v>1110</v>
      </c>
      <c r="G253" s="1213" t="s">
        <v>1023</v>
      </c>
      <c r="H253" s="651"/>
      <c r="I253" s="652"/>
      <c r="J253" s="652"/>
      <c r="K253" s="652"/>
      <c r="L253" s="653" t="str">
        <f t="shared" si="176"/>
        <v>5401</v>
      </c>
      <c r="M253" s="654" t="str">
        <f t="shared" si="177"/>
        <v>MAIN-D'OEUVRE - CLIENT VW - MCI</v>
      </c>
      <c r="N253" s="655">
        <f>+IF(OR($Q253=Parametres!$G$2,$Q253=Parametres!$G$3),I253,C253)</f>
        <v>340354.68</v>
      </c>
      <c r="O253" s="655">
        <f>+IF(OR($Q253=Parametres!$G$2,$Q253=Parametres!$G$3),J253,D253)</f>
        <v>22974.28</v>
      </c>
      <c r="P253" s="655">
        <f>+IF(OR($Q253=Parametres!$G$2,$Q253=Parametres!$G$3),K253,E253)</f>
        <v>363328.96</v>
      </c>
      <c r="Q253" s="654" t="str">
        <f t="shared" si="178"/>
        <v>6-Coût des ventes</v>
      </c>
      <c r="R253" s="653" t="str">
        <f t="shared" si="179"/>
        <v>4401</v>
      </c>
      <c r="S253" s="654">
        <f t="shared" si="180"/>
        <v>0</v>
      </c>
      <c r="T253" s="656" t="str">
        <f>+VLOOKUP($L253,Data_Validation!$A:$D,1,0)</f>
        <v>5401</v>
      </c>
      <c r="U253" s="656" t="str">
        <f>+VLOOKUP($L253,Data_Validation!$A:$D,3,0)</f>
        <v>Service</v>
      </c>
      <c r="V253" s="656" t="str">
        <f>+VLOOKUP($L253,Data_Validation!$A:$D,4,0)</f>
        <v>M/O Client</v>
      </c>
      <c r="W253" s="656" t="str">
        <f>+VLOOKUP($L253,Data_Validation!$A:$E,5,0)</f>
        <v>$</v>
      </c>
      <c r="X253" s="656">
        <f>+VLOOKUP($L253,Data_Validation!$A:$F,6,0)</f>
        <v>0</v>
      </c>
    </row>
    <row r="254" spans="1:24" ht="15" hidden="1" customHeight="1">
      <c r="A254" s="1213" t="s">
        <v>1127</v>
      </c>
      <c r="B254" s="1213" t="s">
        <v>2148</v>
      </c>
      <c r="C254" s="1215">
        <v>37618.42</v>
      </c>
      <c r="D254" s="1215">
        <v>1958.38</v>
      </c>
      <c r="E254" s="1215">
        <v>39576.800000000003</v>
      </c>
      <c r="F254" s="1213" t="s">
        <v>1110</v>
      </c>
      <c r="G254" s="1213" t="s">
        <v>1026</v>
      </c>
      <c r="H254" s="651"/>
      <c r="I254" s="670"/>
      <c r="J254" s="651"/>
      <c r="K254" s="670"/>
      <c r="L254" s="653" t="str">
        <f t="shared" si="176"/>
        <v>5402</v>
      </c>
      <c r="M254" s="654" t="str">
        <f t="shared" si="177"/>
        <v>C/V - M.O. ESTHETIQUE CLIENT</v>
      </c>
      <c r="N254" s="655">
        <f>+IF(OR($Q254=Parametres!$G$2,$Q254=Parametres!$G$3),I254,C254)</f>
        <v>37618.42</v>
      </c>
      <c r="O254" s="655">
        <f>+IF(OR($Q254=Parametres!$G$2,$Q254=Parametres!$G$3),J254,D254)</f>
        <v>1958.38</v>
      </c>
      <c r="P254" s="655">
        <f>+IF(OR($Q254=Parametres!$G$2,$Q254=Parametres!$G$3),K254,E254)</f>
        <v>39576.800000000003</v>
      </c>
      <c r="Q254" s="654" t="str">
        <f t="shared" si="178"/>
        <v>6-Coût des ventes</v>
      </c>
      <c r="R254" s="653" t="str">
        <f t="shared" si="179"/>
        <v>4402</v>
      </c>
      <c r="S254" s="654">
        <f t="shared" si="180"/>
        <v>0</v>
      </c>
      <c r="T254" s="656" t="str">
        <f>+VLOOKUP($L254,Data_Validation!$A:$D,1,0)</f>
        <v>5402</v>
      </c>
      <c r="U254" s="656" t="str">
        <f>+VLOOKUP($L254,Data_Validation!$A:$D,3,0)</f>
        <v>Service</v>
      </c>
      <c r="V254" s="656" t="str">
        <f>+VLOOKUP($L254,Data_Validation!$A:$D,4,0)</f>
        <v>M/O Esthétique</v>
      </c>
      <c r="W254" s="656" t="str">
        <f>+VLOOKUP($L254,Data_Validation!$A:$E,5,0)</f>
        <v>$</v>
      </c>
      <c r="X254" s="656">
        <f>+VLOOKUP($L254,Data_Validation!$A:$F,6,0)</f>
        <v>0</v>
      </c>
    </row>
    <row r="255" spans="1:24" ht="15" hidden="1" customHeight="1">
      <c r="A255" s="1213" t="s">
        <v>3673</v>
      </c>
      <c r="B255" s="1213" t="s">
        <v>2151</v>
      </c>
      <c r="C255" s="1215">
        <v>129789.77</v>
      </c>
      <c r="D255" s="1215">
        <v>14794.48</v>
      </c>
      <c r="E255" s="1215">
        <v>144584.25</v>
      </c>
      <c r="F255" s="1213" t="s">
        <v>1110</v>
      </c>
      <c r="G255" s="1213" t="s">
        <v>1028</v>
      </c>
      <c r="H255" s="651"/>
      <c r="I255" s="652"/>
      <c r="J255" s="652"/>
      <c r="K255" s="652"/>
      <c r="L255" s="653" t="str">
        <f t="shared" si="176"/>
        <v>5403</v>
      </c>
      <c r="M255" s="654" t="str">
        <f t="shared" si="177"/>
        <v>MAIN-D'OEUVRE - GARANTIE VW - MCI</v>
      </c>
      <c r="N255" s="655">
        <f>+IF(OR($Q255=Parametres!$G$2,$Q255=Parametres!$G$3),I255,C255)</f>
        <v>129789.77</v>
      </c>
      <c r="O255" s="655">
        <f>+IF(OR($Q255=Parametres!$G$2,$Q255=Parametres!$G$3),J255,D255)</f>
        <v>14794.48</v>
      </c>
      <c r="P255" s="655">
        <f>+IF(OR($Q255=Parametres!$G$2,$Q255=Parametres!$G$3),K255,E255)</f>
        <v>144584.25</v>
      </c>
      <c r="Q255" s="654" t="str">
        <f t="shared" si="178"/>
        <v>6-Coût des ventes</v>
      </c>
      <c r="R255" s="653" t="str">
        <f t="shared" si="179"/>
        <v>4403</v>
      </c>
      <c r="S255" s="654">
        <f t="shared" si="180"/>
        <v>0</v>
      </c>
      <c r="T255" s="656" t="str">
        <f>+VLOOKUP($L255,Data_Validation!$A:$D,1,0)</f>
        <v>5403</v>
      </c>
      <c r="U255" s="656" t="str">
        <f>+VLOOKUP($L255,Data_Validation!$A:$D,3,0)</f>
        <v>Service</v>
      </c>
      <c r="V255" s="656" t="str">
        <f>+VLOOKUP($L255,Data_Validation!$A:$D,4,0)</f>
        <v>M/O Garantie</v>
      </c>
      <c r="W255" s="656" t="str">
        <f>+VLOOKUP($L255,Data_Validation!$A:$E,5,0)</f>
        <v>$</v>
      </c>
      <c r="X255" s="656">
        <f>+VLOOKUP($L255,Data_Validation!$A:$F,6,0)</f>
        <v>0</v>
      </c>
    </row>
    <row r="256" spans="1:24" ht="15.75" hidden="1" customHeight="1">
      <c r="A256" s="1213" t="s">
        <v>3674</v>
      </c>
      <c r="B256" s="1213" t="s">
        <v>2154</v>
      </c>
      <c r="C256" s="1215">
        <v>199960.5</v>
      </c>
      <c r="D256" s="1215">
        <v>14857.55</v>
      </c>
      <c r="E256" s="1215">
        <v>214818.05</v>
      </c>
      <c r="F256" s="1213" t="s">
        <v>1110</v>
      </c>
      <c r="G256" s="1213" t="s">
        <v>1031</v>
      </c>
      <c r="H256" s="651"/>
      <c r="I256" s="670"/>
      <c r="J256" s="651"/>
      <c r="K256" s="670"/>
      <c r="L256" s="653" t="str">
        <f t="shared" si="176"/>
        <v>5405</v>
      </c>
      <c r="M256" s="654" t="str">
        <f t="shared" si="177"/>
        <v>MAIN-D'OEUVRE - INTERNE VW - MCI</v>
      </c>
      <c r="N256" s="655">
        <f>+IF(OR($Q256=Parametres!$G$2,$Q256=Parametres!$G$3),I256,C256)</f>
        <v>199960.5</v>
      </c>
      <c r="O256" s="655">
        <f>+IF(OR($Q256=Parametres!$G$2,$Q256=Parametres!$G$3),J256,D256)</f>
        <v>14857.55</v>
      </c>
      <c r="P256" s="655">
        <f>+IF(OR($Q256=Parametres!$G$2,$Q256=Parametres!$G$3),K256,E256)</f>
        <v>214818.05</v>
      </c>
      <c r="Q256" s="654" t="str">
        <f t="shared" si="178"/>
        <v>6-Coût des ventes</v>
      </c>
      <c r="R256" s="653" t="str">
        <f t="shared" si="179"/>
        <v>4405</v>
      </c>
      <c r="S256" s="654">
        <f t="shared" si="180"/>
        <v>0</v>
      </c>
      <c r="T256" s="656" t="str">
        <f>+VLOOKUP($L256,Data_Validation!$A:$D,1,0)</f>
        <v>5405</v>
      </c>
      <c r="U256" s="656" t="str">
        <f>+VLOOKUP($L256,Data_Validation!$A:$D,3,0)</f>
        <v>Service</v>
      </c>
      <c r="V256" s="656" t="str">
        <f>+VLOOKUP($L256,Data_Validation!$A:$D,4,0)</f>
        <v>M/O Interne</v>
      </c>
      <c r="W256" s="656" t="str">
        <f>+VLOOKUP($L256,Data_Validation!$A:$E,5,0)</f>
        <v>$</v>
      </c>
      <c r="X256" s="656">
        <f>+VLOOKUP($L256,Data_Validation!$A:$F,6,0)</f>
        <v>0</v>
      </c>
    </row>
    <row r="257" spans="1:24" ht="15" hidden="1" customHeight="1">
      <c r="A257" s="1213" t="s">
        <v>3682</v>
      </c>
      <c r="B257" s="1213" t="s">
        <v>2160</v>
      </c>
      <c r="C257" s="1215">
        <v>29787.38</v>
      </c>
      <c r="D257" s="1215">
        <v>2291.02</v>
      </c>
      <c r="E257" s="1215">
        <v>32078.400000000001</v>
      </c>
      <c r="F257" s="1213" t="s">
        <v>1110</v>
      </c>
      <c r="G257" s="1213" t="s">
        <v>1131</v>
      </c>
      <c r="H257" s="651"/>
      <c r="I257" s="670"/>
      <c r="J257" s="651"/>
      <c r="K257" s="670"/>
      <c r="L257" s="653" t="str">
        <f t="shared" si="176"/>
        <v>5416</v>
      </c>
      <c r="M257" s="654" t="str">
        <f t="shared" si="177"/>
        <v>C/V - MAIN D'OEUVRE SVC NON APP - TOUS</v>
      </c>
      <c r="N257" s="655">
        <f>+IF(OR($Q257=Parametres!$G$2,$Q257=Parametres!$G$3),I257,C257)</f>
        <v>29787.38</v>
      </c>
      <c r="O257" s="655">
        <f>+IF(OR($Q257=Parametres!$G$2,$Q257=Parametres!$G$3),J257,D257)</f>
        <v>2291.02</v>
      </c>
      <c r="P257" s="655">
        <f>+IF(OR($Q257=Parametres!$G$2,$Q257=Parametres!$G$3),K257,E257)</f>
        <v>32078.400000000001</v>
      </c>
      <c r="Q257" s="654" t="str">
        <f t="shared" si="178"/>
        <v>6-Coût des ventes</v>
      </c>
      <c r="R257" s="653" t="str">
        <f t="shared" si="179"/>
        <v>4416</v>
      </c>
      <c r="S257" s="654">
        <f t="shared" si="180"/>
        <v>0</v>
      </c>
      <c r="T257" s="656" t="str">
        <f>+VLOOKUP($L257,Data_Validation!$A:$D,1,0)</f>
        <v>5416</v>
      </c>
      <c r="U257" s="656" t="str">
        <f>+VLOOKUP($L257,Data_Validation!$A:$D,3,0)</f>
        <v>Service</v>
      </c>
      <c r="V257" s="656" t="str">
        <f>+VLOOKUP($L257,Data_Validation!$A:$D,4,0)</f>
        <v>Ajustement M/O</v>
      </c>
      <c r="W257" s="656" t="str">
        <f>+VLOOKUP($L257,Data_Validation!$A:$E,5,0)</f>
        <v>$</v>
      </c>
      <c r="X257" s="656">
        <f>+VLOOKUP($L257,Data_Validation!$A:$F,6,0)</f>
        <v>0</v>
      </c>
    </row>
    <row r="258" spans="1:24" ht="15" hidden="1" customHeight="1">
      <c r="A258" s="1213" t="s">
        <v>1033</v>
      </c>
      <c r="B258" s="1213" t="s">
        <v>2166</v>
      </c>
      <c r="C258" s="1215">
        <v>198165.86</v>
      </c>
      <c r="D258" s="1215">
        <v>13530.21</v>
      </c>
      <c r="E258" s="1215">
        <v>211696.07</v>
      </c>
      <c r="F258" s="1213" t="s">
        <v>1110</v>
      </c>
      <c r="G258" s="1213" t="s">
        <v>1034</v>
      </c>
      <c r="H258" s="651"/>
      <c r="I258" s="670"/>
      <c r="J258" s="651"/>
      <c r="K258" s="670"/>
      <c r="L258" s="653" t="str">
        <f t="shared" si="176"/>
        <v>5451</v>
      </c>
      <c r="M258" s="654" t="str">
        <f t="shared" si="177"/>
        <v>CARBURANT/HUILE/GRAISSE</v>
      </c>
      <c r="N258" s="655">
        <f>+IF(OR($Q258=Parametres!$G$2,$Q258=Parametres!$G$3),I258,C258)</f>
        <v>198165.86</v>
      </c>
      <c r="O258" s="655">
        <f>+IF(OR($Q258=Parametres!$G$2,$Q258=Parametres!$G$3),J258,D258)</f>
        <v>13530.21</v>
      </c>
      <c r="P258" s="655">
        <f>+IF(OR($Q258=Parametres!$G$2,$Q258=Parametres!$G$3),K258,E258)</f>
        <v>211696.07</v>
      </c>
      <c r="Q258" s="654" t="str">
        <f t="shared" si="178"/>
        <v>6-Coût des ventes</v>
      </c>
      <c r="R258" s="653" t="str">
        <f t="shared" si="179"/>
        <v>4782</v>
      </c>
      <c r="S258" s="654">
        <f t="shared" si="180"/>
        <v>0</v>
      </c>
      <c r="T258" s="656" t="str">
        <f>+VLOOKUP($L258,Data_Validation!$A:$D,1,0)</f>
        <v>5451</v>
      </c>
      <c r="U258" s="656" t="str">
        <f>+VLOOKUP($L258,Data_Validation!$A:$D,3,0)</f>
        <v>Pièces</v>
      </c>
      <c r="V258" s="656" t="str">
        <f>+VLOOKUP($L258,Data_Validation!$A:$D,4,0)</f>
        <v>Huiles et Graisse</v>
      </c>
      <c r="W258" s="656" t="str">
        <f>+VLOOKUP($L258,Data_Validation!$A:$E,5,0)</f>
        <v>$</v>
      </c>
      <c r="X258" s="656">
        <f>+VLOOKUP($L258,Data_Validation!$A:$F,6,0)</f>
        <v>0</v>
      </c>
    </row>
    <row r="259" spans="1:24" ht="15" hidden="1" customHeight="1">
      <c r="A259" s="1213" t="s">
        <v>1036</v>
      </c>
      <c r="B259" s="1213" t="s">
        <v>2169</v>
      </c>
      <c r="C259" s="1215">
        <v>48070.58</v>
      </c>
      <c r="D259" s="1215">
        <v>2607.9499999999998</v>
      </c>
      <c r="E259" s="1215">
        <v>50678.53</v>
      </c>
      <c r="F259" s="1213" t="s">
        <v>1110</v>
      </c>
      <c r="G259" s="1213" t="s">
        <v>1037</v>
      </c>
      <c r="H259" s="651"/>
      <c r="I259" s="670"/>
      <c r="J259" s="651"/>
      <c r="K259" s="670"/>
      <c r="L259" s="653" t="str">
        <f t="shared" si="176"/>
        <v>5491</v>
      </c>
      <c r="M259" s="654" t="str">
        <f t="shared" si="177"/>
        <v>REPARATION SOUS-LOC. - GENERAL</v>
      </c>
      <c r="N259" s="655">
        <f>+IF(OR($Q259=Parametres!$G$2,$Q259=Parametres!$G$3),I259,C259)</f>
        <v>48070.58</v>
      </c>
      <c r="O259" s="659">
        <f>+IF(OR($Q259=Parametres!$G$2,$Q259=Parametres!$G$3),J259,D259)</f>
        <v>2607.9499999999998</v>
      </c>
      <c r="P259" s="655">
        <f>+IF(OR($Q259=Parametres!$G$2,$Q259=Parametres!$G$3),K259,E259)</f>
        <v>50678.53</v>
      </c>
      <c r="Q259" s="654" t="str">
        <f t="shared" si="178"/>
        <v>6-Coût des ventes</v>
      </c>
      <c r="R259" s="653" t="str">
        <f t="shared" si="179"/>
        <v>4491</v>
      </c>
      <c r="S259" s="654">
        <f t="shared" si="180"/>
        <v>0</v>
      </c>
      <c r="T259" s="656" t="str">
        <f>+VLOOKUP($L259,Data_Validation!$A:$D,1,0)</f>
        <v>5491</v>
      </c>
      <c r="U259" s="656" t="str">
        <f>+VLOOKUP($L259,Data_Validation!$A:$D,3,0)</f>
        <v>Service</v>
      </c>
      <c r="V259" s="656" t="str">
        <f>+VLOOKUP($L259,Data_Validation!$A:$D,4,0)</f>
        <v>Sous-traitement</v>
      </c>
      <c r="W259" s="656" t="str">
        <f>+VLOOKUP($L259,Data_Validation!$A:$E,5,0)</f>
        <v>$</v>
      </c>
      <c r="X259" s="656">
        <f>+VLOOKUP($L259,Data_Validation!$A:$F,6,0)</f>
        <v>0</v>
      </c>
    </row>
    <row r="260" spans="1:24" ht="15" hidden="1" customHeight="1">
      <c r="A260" s="1213" t="s">
        <v>1132</v>
      </c>
      <c r="B260" s="1213" t="s">
        <v>2172</v>
      </c>
      <c r="C260" s="1215">
        <v>13952.1</v>
      </c>
      <c r="D260" s="1215">
        <v>0</v>
      </c>
      <c r="E260" s="1215">
        <v>13952.1</v>
      </c>
      <c r="F260" s="1213" t="s">
        <v>1110</v>
      </c>
      <c r="G260" s="1213" t="s">
        <v>1040</v>
      </c>
      <c r="H260" s="651"/>
      <c r="I260" s="670"/>
      <c r="J260" s="651"/>
      <c r="K260" s="670"/>
      <c r="L260" s="653" t="str">
        <f t="shared" si="176"/>
        <v>5493</v>
      </c>
      <c r="M260" s="654" t="str">
        <f t="shared" si="177"/>
        <v>C/V - SOUS-TRAITANCE GARANTIE</v>
      </c>
      <c r="N260" s="655">
        <f>+IF(OR($Q260=Parametres!$G$2,$Q260=Parametres!$G$3),I260,C260)</f>
        <v>13952.1</v>
      </c>
      <c r="O260" s="655">
        <f>+IF(OR($Q260=Parametres!$G$2,$Q260=Parametres!$G$3),J260,D260)</f>
        <v>0</v>
      </c>
      <c r="P260" s="655">
        <f>+IF(OR($Q260=Parametres!$G$2,$Q260=Parametres!$G$3),K260,E260)</f>
        <v>13952.1</v>
      </c>
      <c r="Q260" s="654" t="str">
        <f t="shared" si="178"/>
        <v>6-Coût des ventes</v>
      </c>
      <c r="R260" s="653" t="str">
        <f t="shared" si="179"/>
        <v>4493</v>
      </c>
      <c r="S260" s="654">
        <f t="shared" si="180"/>
        <v>0</v>
      </c>
      <c r="T260" s="656" t="str">
        <f>+VLOOKUP($L260,Data_Validation!$A:$D,1,0)</f>
        <v>5493</v>
      </c>
      <c r="U260" s="656" t="str">
        <f>+VLOOKUP($L260,Data_Validation!$A:$D,3,0)</f>
        <v>Service</v>
      </c>
      <c r="V260" s="656" t="str">
        <f>+VLOOKUP($L260,Data_Validation!$A:$D,4,0)</f>
        <v>Sous-traitement</v>
      </c>
      <c r="W260" s="656" t="str">
        <f>+VLOOKUP($L260,Data_Validation!$A:$E,5,0)</f>
        <v>$</v>
      </c>
      <c r="X260" s="656">
        <f>+VLOOKUP($L260,Data_Validation!$A:$F,6,0)</f>
        <v>0</v>
      </c>
    </row>
    <row r="261" spans="1:24" ht="15" hidden="1" customHeight="1">
      <c r="A261" s="1213" t="s">
        <v>1133</v>
      </c>
      <c r="B261" s="1213" t="s">
        <v>2175</v>
      </c>
      <c r="C261" s="1215">
        <v>87670.52</v>
      </c>
      <c r="D261" s="1215">
        <v>5031.07</v>
      </c>
      <c r="E261" s="1215">
        <v>92701.59</v>
      </c>
      <c r="F261" s="1213" t="s">
        <v>1110</v>
      </c>
      <c r="G261" s="1213" t="s">
        <v>1044</v>
      </c>
      <c r="H261" s="650"/>
      <c r="I261" s="652"/>
      <c r="J261" s="652"/>
      <c r="K261" s="652"/>
      <c r="L261" s="653" t="str">
        <f t="shared" si="176"/>
        <v>5495</v>
      </c>
      <c r="M261" s="654" t="str">
        <f t="shared" si="177"/>
        <v>C/V - SOUS-TRAITANCE INTERNE</v>
      </c>
      <c r="N261" s="655">
        <f>+IF(OR($Q261=Parametres!$G$2,$Q261=Parametres!$G$3),I261,C261)</f>
        <v>87670.52</v>
      </c>
      <c r="O261" s="655">
        <f>+IF(OR($Q261=Parametres!$G$2,$Q261=Parametres!$G$3),J261,D261)</f>
        <v>5031.07</v>
      </c>
      <c r="P261" s="655">
        <f>+IF(OR($Q261=Parametres!$G$2,$Q261=Parametres!$G$3),K261,E261)</f>
        <v>92701.59</v>
      </c>
      <c r="Q261" s="654" t="str">
        <f t="shared" si="178"/>
        <v>6-Coût des ventes</v>
      </c>
      <c r="R261" s="653" t="str">
        <f t="shared" si="179"/>
        <v>4495</v>
      </c>
      <c r="S261" s="654">
        <f t="shared" si="180"/>
        <v>0</v>
      </c>
      <c r="T261" s="656" t="str">
        <f>+VLOOKUP($L261,Data_Validation!$A:$D,1,0)</f>
        <v>5495</v>
      </c>
      <c r="U261" s="656" t="str">
        <f>+VLOOKUP($L261,Data_Validation!$A:$D,3,0)</f>
        <v>Service</v>
      </c>
      <c r="V261" s="656" t="str">
        <f>+VLOOKUP($L261,Data_Validation!$A:$D,4,0)</f>
        <v>Sous-traitement</v>
      </c>
      <c r="W261" s="656" t="str">
        <f>+VLOOKUP($L261,Data_Validation!$A:$E,5,0)</f>
        <v>$</v>
      </c>
      <c r="X261" s="656">
        <f>+VLOOKUP($L261,Data_Validation!$A:$F,6,0)</f>
        <v>0</v>
      </c>
    </row>
    <row r="262" spans="1:24" ht="15.75" hidden="1" customHeight="1">
      <c r="A262" s="1213" t="s">
        <v>3429</v>
      </c>
      <c r="B262" s="1213" t="s">
        <v>3430</v>
      </c>
      <c r="C262" s="1215">
        <v>27656.39</v>
      </c>
      <c r="D262" s="1215">
        <v>1819.36</v>
      </c>
      <c r="E262" s="1215">
        <v>29475.75</v>
      </c>
      <c r="F262" s="1213" t="s">
        <v>1110</v>
      </c>
      <c r="G262" s="1213" t="s">
        <v>3428</v>
      </c>
      <c r="H262" s="650"/>
      <c r="I262" s="672"/>
      <c r="J262" s="663"/>
      <c r="K262" s="672"/>
      <c r="L262" s="653" t="str">
        <f t="shared" si="176"/>
        <v>5505</v>
      </c>
      <c r="M262" s="654" t="str">
        <f t="shared" si="177"/>
        <v>C/V - M.O. INTERNE CARROSSERIE</v>
      </c>
      <c r="N262" s="655">
        <f>+IF(OR($Q262=Parametres!$G$2,$Q262=Parametres!$G$3),I262,C262)</f>
        <v>27656.39</v>
      </c>
      <c r="O262" s="655">
        <f>+IF(OR($Q262=Parametres!$G$2,$Q262=Parametres!$G$3),J262,D262)</f>
        <v>1819.36</v>
      </c>
      <c r="P262" s="655">
        <f>+IF(OR($Q262=Parametres!$G$2,$Q262=Parametres!$G$3),K262,E262)</f>
        <v>29475.75</v>
      </c>
      <c r="Q262" s="654" t="str">
        <f t="shared" si="178"/>
        <v>6-Coût des ventes</v>
      </c>
      <c r="R262" s="653" t="str">
        <f t="shared" si="179"/>
        <v>4505</v>
      </c>
      <c r="S262" s="654">
        <f t="shared" si="180"/>
        <v>0</v>
      </c>
      <c r="T262" s="671" t="str">
        <f>+VLOOKUP($L262,Data_Validation!$A:$D,1,0)</f>
        <v>5505</v>
      </c>
      <c r="U262" s="656" t="str">
        <f>+VLOOKUP($L262,Data_Validation!$A:$D,3,0)</f>
        <v>Service</v>
      </c>
      <c r="V262" s="656" t="str">
        <f>+VLOOKUP($L262,Data_Validation!$A:$D,4,0)</f>
        <v>M.O. Recond. MCPA</v>
      </c>
      <c r="W262" s="656" t="str">
        <f>+VLOOKUP($L262,Data_Validation!$A:$E,5,0)</f>
        <v>$</v>
      </c>
      <c r="X262" s="656">
        <f>+VLOOKUP($L262,Data_Validation!$A:$F,6,0)</f>
        <v>0</v>
      </c>
    </row>
    <row r="263" spans="1:24" ht="15" hidden="1" customHeight="1">
      <c r="A263" s="1213" t="s">
        <v>1134</v>
      </c>
      <c r="B263" s="1213" t="s">
        <v>2184</v>
      </c>
      <c r="C263" s="1215">
        <v>22975.58</v>
      </c>
      <c r="D263" s="1215">
        <v>756.33</v>
      </c>
      <c r="E263" s="1215">
        <v>23731.91</v>
      </c>
      <c r="F263" s="1213" t="s">
        <v>1110</v>
      </c>
      <c r="G263" s="1213" t="s">
        <v>1051</v>
      </c>
      <c r="H263" s="651"/>
      <c r="I263" s="670"/>
      <c r="J263" s="651"/>
      <c r="K263" s="670"/>
      <c r="L263" s="653" t="str">
        <f t="shared" si="176"/>
        <v>5591</v>
      </c>
      <c r="M263" s="654" t="str">
        <f t="shared" si="177"/>
        <v>C/V - S-TRAIT. CARR.</v>
      </c>
      <c r="N263" s="655">
        <f>+IF(OR($Q263=Parametres!$G$2,$Q263=Parametres!$G$3),I263,C263)</f>
        <v>22975.58</v>
      </c>
      <c r="O263" s="655">
        <f>+IF(OR($Q263=Parametres!$G$2,$Q263=Parametres!$G$3),J263,D263)</f>
        <v>756.33</v>
      </c>
      <c r="P263" s="655">
        <f>+IF(OR($Q263=Parametres!$G$2,$Q263=Parametres!$G$3),K263,E263)</f>
        <v>23731.91</v>
      </c>
      <c r="Q263" s="654" t="str">
        <f t="shared" si="178"/>
        <v>6-Coût des ventes</v>
      </c>
      <c r="R263" s="653" t="str">
        <f t="shared" si="179"/>
        <v>4591</v>
      </c>
      <c r="S263" s="654">
        <f t="shared" si="180"/>
        <v>0</v>
      </c>
      <c r="T263" s="656" t="str">
        <f>+VLOOKUP($L263,Data_Validation!$A:$D,1,0)</f>
        <v>5591</v>
      </c>
      <c r="U263" s="656" t="str">
        <f>+VLOOKUP($L263,Data_Validation!$A:$D,3,0)</f>
        <v>Carrosserie</v>
      </c>
      <c r="V263" s="656" t="str">
        <f>+VLOOKUP($L263,Data_Validation!$A:$D,4,0)</f>
        <v>M/O Sous-traitement</v>
      </c>
      <c r="W263" s="656" t="str">
        <f>+VLOOKUP($L263,Data_Validation!$A:$E,5,0)</f>
        <v>$</v>
      </c>
      <c r="X263" s="656">
        <f>+VLOOKUP($L263,Data_Validation!$A:$F,6,0)</f>
        <v>0</v>
      </c>
    </row>
    <row r="264" spans="1:24" ht="15" hidden="1" customHeight="1">
      <c r="A264" s="1213" t="s">
        <v>1135</v>
      </c>
      <c r="B264" s="1213" t="s">
        <v>2187</v>
      </c>
      <c r="C264" s="1215">
        <v>214080.34</v>
      </c>
      <c r="D264" s="1215">
        <v>12219.9</v>
      </c>
      <c r="E264" s="1215">
        <v>226300.24</v>
      </c>
      <c r="F264" s="1213" t="s">
        <v>1110</v>
      </c>
      <c r="G264" s="1213" t="s">
        <v>1055</v>
      </c>
      <c r="H264" s="651"/>
      <c r="I264" s="652"/>
      <c r="J264" s="652"/>
      <c r="K264" s="652"/>
      <c r="L264" s="653" t="str">
        <f t="shared" si="176"/>
        <v>5593</v>
      </c>
      <c r="M264" s="654" t="str">
        <f t="shared" si="177"/>
        <v>C/V - S-TRAIT.GARANTIE CARROS.</v>
      </c>
      <c r="N264" s="655">
        <f>+IF(OR($Q264=Parametres!$G$2,$Q264=Parametres!$G$3),I264,C264)</f>
        <v>214080.34</v>
      </c>
      <c r="O264" s="659">
        <f>+IF(OR($Q264=Parametres!$G$2,$Q264=Parametres!$G$3),J264,D264)</f>
        <v>12219.9</v>
      </c>
      <c r="P264" s="655">
        <f>+IF(OR($Q264=Parametres!$G$2,$Q264=Parametres!$G$3),K264,E264)</f>
        <v>226300.24</v>
      </c>
      <c r="Q264" s="654" t="str">
        <f t="shared" si="178"/>
        <v>6-Coût des ventes</v>
      </c>
      <c r="R264" s="653" t="str">
        <f t="shared" si="179"/>
        <v>4593</v>
      </c>
      <c r="S264" s="654">
        <f t="shared" si="180"/>
        <v>0</v>
      </c>
      <c r="T264" s="656" t="str">
        <f>+VLOOKUP($L264,Data_Validation!$A:$D,1,0)</f>
        <v>5593</v>
      </c>
      <c r="U264" s="656" t="str">
        <f>+VLOOKUP($L264,Data_Validation!$A:$D,3,0)</f>
        <v>Carrosserie</v>
      </c>
      <c r="V264" s="656" t="str">
        <f>+VLOOKUP($L264,Data_Validation!$A:$D,4,0)</f>
        <v>M/O Sous-traitement</v>
      </c>
      <c r="W264" s="656" t="str">
        <f>+VLOOKUP($L264,Data_Validation!$A:$E,5,0)</f>
        <v>$</v>
      </c>
      <c r="X264" s="656">
        <f>+VLOOKUP($L264,Data_Validation!$A:$F,6,0)</f>
        <v>0</v>
      </c>
    </row>
    <row r="265" spans="1:24" ht="15" hidden="1" customHeight="1">
      <c r="A265" s="1213" t="s">
        <v>1136</v>
      </c>
      <c r="B265" s="1213" t="s">
        <v>2190</v>
      </c>
      <c r="C265" s="1215">
        <v>7687.47</v>
      </c>
      <c r="D265" s="1215">
        <v>1471.13</v>
      </c>
      <c r="E265" s="1215">
        <v>9158.6</v>
      </c>
      <c r="F265" s="1213" t="s">
        <v>1110</v>
      </c>
      <c r="G265" s="1213" t="s">
        <v>1059</v>
      </c>
      <c r="H265" s="651"/>
      <c r="I265" s="651"/>
      <c r="J265" s="651"/>
      <c r="K265" s="651"/>
      <c r="L265" s="653" t="str">
        <f t="shared" si="176"/>
        <v>5595</v>
      </c>
      <c r="M265" s="654" t="str">
        <f t="shared" si="177"/>
        <v>C/V - S-TRAIT.INTERNE CARROS.</v>
      </c>
      <c r="N265" s="655">
        <f>+IF(OR($Q265=Parametres!$G$2,$Q265=Parametres!$G$3),I265,C265)</f>
        <v>7687.47</v>
      </c>
      <c r="O265" s="659">
        <f>+IF(OR($Q265=Parametres!$G$2,$Q265=Parametres!$G$3),J265,D265)</f>
        <v>1471.13</v>
      </c>
      <c r="P265" s="655">
        <f>+IF(OR($Q265=Parametres!$G$2,$Q265=Parametres!$G$3),K265,E265)</f>
        <v>9158.6</v>
      </c>
      <c r="Q265" s="654" t="str">
        <f t="shared" si="178"/>
        <v>6-Coût des ventes</v>
      </c>
      <c r="R265" s="653" t="str">
        <f t="shared" si="179"/>
        <v>4595</v>
      </c>
      <c r="S265" s="654">
        <f t="shared" si="180"/>
        <v>0</v>
      </c>
      <c r="T265" s="656" t="str">
        <f>+VLOOKUP($L265,Data_Validation!$A:$D,1,0)</f>
        <v>5595</v>
      </c>
      <c r="U265" s="656" t="str">
        <f>+VLOOKUP($L265,Data_Validation!$A:$D,3,0)</f>
        <v>Carrosserie</v>
      </c>
      <c r="V265" s="656" t="str">
        <f>+VLOOKUP($L265,Data_Validation!$A:$D,4,0)</f>
        <v>M/O Sous-traitement</v>
      </c>
      <c r="W265" s="656" t="str">
        <f>+VLOOKUP($L265,Data_Validation!$A:$E,5,0)</f>
        <v>$</v>
      </c>
      <c r="X265" s="656">
        <f>+VLOOKUP($L265,Data_Validation!$A:$F,6,0)</f>
        <v>0</v>
      </c>
    </row>
    <row r="266" spans="1:24" ht="15" hidden="1" customHeight="1">
      <c r="A266" s="1213" t="s">
        <v>3675</v>
      </c>
      <c r="B266" s="1213" t="s">
        <v>2193</v>
      </c>
      <c r="C266" s="1215">
        <v>654996.74</v>
      </c>
      <c r="D266" s="1215">
        <v>49474.080000000002</v>
      </c>
      <c r="E266" s="1215">
        <v>704470.82</v>
      </c>
      <c r="F266" s="1213" t="s">
        <v>1110</v>
      </c>
      <c r="G266" s="1213" t="s">
        <v>1063</v>
      </c>
      <c r="H266" s="651"/>
      <c r="I266" s="670"/>
      <c r="J266" s="651"/>
      <c r="K266" s="670"/>
      <c r="L266" s="653" t="str">
        <f t="shared" si="176"/>
        <v>5701</v>
      </c>
      <c r="M266" s="654" t="str">
        <f t="shared" si="177"/>
        <v>VW P&amp;A - BR - CLIENT - MCI</v>
      </c>
      <c r="N266" s="655">
        <f>+IF(OR($Q266=Parametres!$G$2,$Q266=Parametres!$G$3),I266,C266)</f>
        <v>654996.74</v>
      </c>
      <c r="O266" s="655">
        <f>+IF(OR($Q266=Parametres!$G$2,$Q266=Parametres!$G$3),J266,D266)</f>
        <v>49474.080000000002</v>
      </c>
      <c r="P266" s="655">
        <f>+IF(OR($Q266=Parametres!$G$2,$Q266=Parametres!$G$3),K266,E266)</f>
        <v>704470.82</v>
      </c>
      <c r="Q266" s="654" t="str">
        <f t="shared" si="178"/>
        <v>6-Coût des ventes</v>
      </c>
      <c r="R266" s="653" t="str">
        <f t="shared" si="179"/>
        <v>4701</v>
      </c>
      <c r="S266" s="654">
        <f t="shared" si="180"/>
        <v>0</v>
      </c>
      <c r="T266" s="656" t="str">
        <f>+VLOOKUP($L266,Data_Validation!$A:$D,1,0)</f>
        <v>5701</v>
      </c>
      <c r="U266" s="656" t="str">
        <f>+VLOOKUP($L266,Data_Validation!$A:$D,3,0)</f>
        <v>Pièces</v>
      </c>
      <c r="V266" s="656" t="str">
        <f>+VLOOKUP($L266,Data_Validation!$A:$D,4,0)</f>
        <v>Pièces Ro Clients</v>
      </c>
      <c r="W266" s="656" t="str">
        <f>+VLOOKUP($L266,Data_Validation!$A:$E,5,0)</f>
        <v>$</v>
      </c>
      <c r="X266" s="656">
        <f>+VLOOKUP($L266,Data_Validation!$A:$F,6,0)</f>
        <v>0</v>
      </c>
    </row>
    <row r="267" spans="1:24" ht="15" hidden="1" customHeight="1">
      <c r="A267" s="1213" t="s">
        <v>1138</v>
      </c>
      <c r="B267" s="1213" t="s">
        <v>2196</v>
      </c>
      <c r="C267" s="1215">
        <v>8211.33</v>
      </c>
      <c r="D267" s="1215">
        <v>458.78</v>
      </c>
      <c r="E267" s="1215">
        <v>8670.11</v>
      </c>
      <c r="F267" s="1213" t="s">
        <v>1110</v>
      </c>
      <c r="G267" s="1213" t="s">
        <v>1067</v>
      </c>
      <c r="H267" s="651"/>
      <c r="I267" s="670"/>
      <c r="J267" s="651"/>
      <c r="K267" s="670"/>
      <c r="L267" s="653" t="str">
        <f t="shared" si="176"/>
        <v>5702</v>
      </c>
      <c r="M267" s="654" t="str">
        <f t="shared" si="177"/>
        <v>C/V - SHOP SUPPLY VW</v>
      </c>
      <c r="N267" s="655">
        <f>+IF(OR($Q267=Parametres!$G$2,$Q267=Parametres!$G$3),I267,C267)</f>
        <v>8211.33</v>
      </c>
      <c r="O267" s="655">
        <f>+IF(OR($Q267=Parametres!$G$2,$Q267=Parametres!$G$3),J267,D267)</f>
        <v>458.78</v>
      </c>
      <c r="P267" s="655">
        <f>+IF(OR($Q267=Parametres!$G$2,$Q267=Parametres!$G$3),K267,E267)</f>
        <v>8670.11</v>
      </c>
      <c r="Q267" s="654" t="str">
        <f t="shared" si="178"/>
        <v>6-Coût des ventes</v>
      </c>
      <c r="R267" s="653" t="str">
        <f t="shared" si="179"/>
        <v>4702</v>
      </c>
      <c r="S267" s="654">
        <f t="shared" si="180"/>
        <v>0</v>
      </c>
      <c r="T267" s="656" t="str">
        <f>+VLOOKUP($L267,Data_Validation!$A:$D,1,0)</f>
        <v>5702</v>
      </c>
      <c r="U267" s="656" t="str">
        <f>+VLOOKUP($L267,Data_Validation!$A:$D,3,0)</f>
        <v>Service</v>
      </c>
      <c r="V267" s="656" t="str">
        <f>+VLOOKUP($L267,Data_Validation!$A:$D,4,0)</f>
        <v>M/O Client</v>
      </c>
      <c r="W267" s="656" t="str">
        <f>+VLOOKUP($L267,Data_Validation!$A:$E,5,0)</f>
        <v>$</v>
      </c>
      <c r="X267" s="656">
        <f>+VLOOKUP($L267,Data_Validation!$A:$F,6,0)</f>
        <v>0</v>
      </c>
    </row>
    <row r="268" spans="1:24" ht="15" hidden="1" customHeight="1">
      <c r="A268" s="1213" t="s">
        <v>3676</v>
      </c>
      <c r="B268" s="1213" t="s">
        <v>2199</v>
      </c>
      <c r="C268" s="1215">
        <v>354723.68</v>
      </c>
      <c r="D268" s="1215">
        <v>38386.28</v>
      </c>
      <c r="E268" s="1215">
        <v>393109.96</v>
      </c>
      <c r="F268" s="1213" t="s">
        <v>1110</v>
      </c>
      <c r="G268" s="1213" t="s">
        <v>1069</v>
      </c>
      <c r="H268" s="651"/>
      <c r="I268" s="670"/>
      <c r="J268" s="651"/>
      <c r="K268" s="670"/>
      <c r="L268" s="653" t="str">
        <f t="shared" si="176"/>
        <v>5703</v>
      </c>
      <c r="M268" s="654" t="str">
        <f t="shared" si="177"/>
        <v>VW P&amp;A - BR - GARANTIE - MCI</v>
      </c>
      <c r="N268" s="655">
        <f>+IF(OR($Q268=Parametres!$G$2,$Q268=Parametres!$G$3),I268,C268)</f>
        <v>354723.68</v>
      </c>
      <c r="O268" s="655">
        <f>+IF(OR($Q268=Parametres!$G$2,$Q268=Parametres!$G$3),J268,D268)</f>
        <v>38386.28</v>
      </c>
      <c r="P268" s="655">
        <f>+IF(OR($Q268=Parametres!$G$2,$Q268=Parametres!$G$3),K268,E268)</f>
        <v>393109.96</v>
      </c>
      <c r="Q268" s="654" t="str">
        <f t="shared" si="178"/>
        <v>6-Coût des ventes</v>
      </c>
      <c r="R268" s="653" t="str">
        <f t="shared" si="179"/>
        <v>4703</v>
      </c>
      <c r="S268" s="654">
        <f t="shared" si="180"/>
        <v>0</v>
      </c>
      <c r="T268" s="656" t="str">
        <f>+VLOOKUP($L268,Data_Validation!$A:$D,1,0)</f>
        <v>5703</v>
      </c>
      <c r="U268" s="656" t="str">
        <f>+VLOOKUP($L268,Data_Validation!$A:$D,3,0)</f>
        <v>Pièces</v>
      </c>
      <c r="V268" s="656" t="str">
        <f>+VLOOKUP($L268,Data_Validation!$A:$D,4,0)</f>
        <v>P/A Garantie</v>
      </c>
      <c r="W268" s="656" t="str">
        <f>+VLOOKUP($L268,Data_Validation!$A:$E,5,0)</f>
        <v>$</v>
      </c>
      <c r="X268" s="656">
        <f>+VLOOKUP($L268,Data_Validation!$A:$F,6,0)</f>
        <v>0</v>
      </c>
    </row>
    <row r="269" spans="1:24" ht="15" hidden="1" customHeight="1">
      <c r="A269" s="1213" t="s">
        <v>3913</v>
      </c>
      <c r="B269" s="1213" t="s">
        <v>3419</v>
      </c>
      <c r="C269" s="1215">
        <v>10.119999999999999</v>
      </c>
      <c r="D269" s="1215">
        <v>0</v>
      </c>
      <c r="E269" s="1215">
        <v>10.119999999999999</v>
      </c>
      <c r="F269" s="1213" t="s">
        <v>1110</v>
      </c>
      <c r="G269" s="1213" t="s">
        <v>3418</v>
      </c>
      <c r="H269" s="650"/>
      <c r="I269" s="652"/>
      <c r="J269" s="652"/>
      <c r="K269" s="652"/>
      <c r="L269" s="653" t="str">
        <f t="shared" si="176"/>
        <v>5704</v>
      </c>
      <c r="M269" s="654" t="str">
        <f t="shared" si="177"/>
        <v>VW P&amp;A SVC BR - SVC RAPIDE - CLIENT - MCI</v>
      </c>
      <c r="N269" s="655">
        <f>+IF(OR($Q269=Parametres!$G$2,$Q269=Parametres!$G$3),I269,C269)</f>
        <v>10.119999999999999</v>
      </c>
      <c r="O269" s="655">
        <f>+IF(OR($Q269=Parametres!$G$2,$Q269=Parametres!$G$3),J269,D269)</f>
        <v>0</v>
      </c>
      <c r="P269" s="655">
        <f>+IF(OR($Q269=Parametres!$G$2,$Q269=Parametres!$G$3),K269,E269)</f>
        <v>10.119999999999999</v>
      </c>
      <c r="Q269" s="654" t="str">
        <f t="shared" si="178"/>
        <v>6-Coût des ventes</v>
      </c>
      <c r="R269" s="653" t="str">
        <f t="shared" si="179"/>
        <v>4704</v>
      </c>
      <c r="S269" s="654">
        <f t="shared" si="180"/>
        <v>0</v>
      </c>
      <c r="T269" s="656" t="str">
        <f>+VLOOKUP($L269,Data_Validation!$A:$D,1,0)</f>
        <v>5704</v>
      </c>
      <c r="U269" s="656" t="str">
        <f>+VLOOKUP($L269,Data_Validation!$A:$D,3,0)</f>
        <v>Service</v>
      </c>
      <c r="V269" s="656" t="str">
        <f>+VLOOKUP($L269,Data_Validation!$A:$D,4,0)</f>
        <v>M/O Interne</v>
      </c>
      <c r="W269" s="656" t="str">
        <f>+VLOOKUP($L269,Data_Validation!$A:$E,5,0)</f>
        <v>$</v>
      </c>
      <c r="X269" s="656">
        <f>+VLOOKUP($L269,Data_Validation!$A:$F,6,0)</f>
        <v>0</v>
      </c>
    </row>
    <row r="270" spans="1:24" ht="15" hidden="1" customHeight="1">
      <c r="A270" s="1213" t="s">
        <v>3677</v>
      </c>
      <c r="B270" s="1213" t="s">
        <v>2202</v>
      </c>
      <c r="C270" s="1215">
        <v>441751.03999999998</v>
      </c>
      <c r="D270" s="1215">
        <v>38032.11</v>
      </c>
      <c r="E270" s="1215">
        <v>479783.15</v>
      </c>
      <c r="F270" s="1213" t="s">
        <v>1110</v>
      </c>
      <c r="G270" s="1213" t="s">
        <v>1073</v>
      </c>
      <c r="H270" s="651"/>
      <c r="I270" s="652"/>
      <c r="J270" s="652"/>
      <c r="K270" s="652"/>
      <c r="L270" s="653" t="str">
        <f t="shared" si="176"/>
        <v>5705</v>
      </c>
      <c r="M270" s="654" t="str">
        <f t="shared" si="177"/>
        <v>VW P&amp;A - BR - INTERNE - MCI</v>
      </c>
      <c r="N270" s="655">
        <f>+IF(OR($Q270=Parametres!$G$2,$Q270=Parametres!$G$3),I270,C270)</f>
        <v>441751.03999999998</v>
      </c>
      <c r="O270" s="655">
        <f>+IF(OR($Q270=Parametres!$G$2,$Q270=Parametres!$G$3),J270,D270)</f>
        <v>38032.11</v>
      </c>
      <c r="P270" s="655">
        <f>+IF(OR($Q270=Parametres!$G$2,$Q270=Parametres!$G$3),K270,E270)</f>
        <v>479783.15</v>
      </c>
      <c r="Q270" s="654" t="str">
        <f t="shared" si="178"/>
        <v>6-Coût des ventes</v>
      </c>
      <c r="R270" s="653" t="str">
        <f t="shared" si="179"/>
        <v>4705</v>
      </c>
      <c r="S270" s="654">
        <f t="shared" si="180"/>
        <v>0</v>
      </c>
      <c r="T270" s="656" t="str">
        <f>+VLOOKUP($L270,Data_Validation!$A:$D,1,0)</f>
        <v>5705</v>
      </c>
      <c r="U270" s="656" t="str">
        <f>+VLOOKUP($L270,Data_Validation!$A:$D,3,0)</f>
        <v>Pièces</v>
      </c>
      <c r="V270" s="656" t="str">
        <f>+VLOOKUP($L270,Data_Validation!$A:$D,4,0)</f>
        <v>Ventes Internes</v>
      </c>
      <c r="W270" s="656" t="str">
        <f>+VLOOKUP($L270,Data_Validation!$A:$E,5,0)</f>
        <v>$</v>
      </c>
      <c r="X270" s="656">
        <f>+VLOOKUP($L270,Data_Validation!$A:$F,6,0)</f>
        <v>0</v>
      </c>
    </row>
    <row r="271" spans="1:24" ht="15" hidden="1" customHeight="1">
      <c r="A271" s="1213" t="s">
        <v>3678</v>
      </c>
      <c r="B271" s="1213" t="s">
        <v>2205</v>
      </c>
      <c r="C271" s="1215">
        <v>1144.23</v>
      </c>
      <c r="D271" s="1215">
        <v>40.479999999999997</v>
      </c>
      <c r="E271" s="1215">
        <v>1184.71</v>
      </c>
      <c r="F271" s="1213" t="s">
        <v>1110</v>
      </c>
      <c r="G271" s="1213" t="s">
        <v>1076</v>
      </c>
      <c r="H271" s="651"/>
      <c r="I271" s="670"/>
      <c r="J271" s="651"/>
      <c r="K271" s="670"/>
      <c r="L271" s="653" t="str">
        <f t="shared" si="176"/>
        <v>5706</v>
      </c>
      <c r="M271" s="654" t="str">
        <f t="shared" si="177"/>
        <v>VW P&amp;A - BR - CLIENT - VEB</v>
      </c>
      <c r="N271" s="655">
        <f>+IF(OR($Q271=Parametres!$G$2,$Q271=Parametres!$G$3),I271,C271)</f>
        <v>1144.23</v>
      </c>
      <c r="O271" s="655">
        <f>+IF(OR($Q271=Parametres!$G$2,$Q271=Parametres!$G$3),J271,D271)</f>
        <v>40.479999999999997</v>
      </c>
      <c r="P271" s="655">
        <f>+IF(OR($Q271=Parametres!$G$2,$Q271=Parametres!$G$3),K271,E271)</f>
        <v>1184.71</v>
      </c>
      <c r="Q271" s="654" t="str">
        <f t="shared" si="178"/>
        <v>6-Coût des ventes</v>
      </c>
      <c r="R271" s="653" t="str">
        <f t="shared" si="179"/>
        <v>4706</v>
      </c>
      <c r="S271" s="654">
        <f t="shared" si="180"/>
        <v>0</v>
      </c>
      <c r="T271" s="656" t="str">
        <f>+VLOOKUP($L271,Data_Validation!$A:$D,1,0)</f>
        <v>5706</v>
      </c>
      <c r="U271" s="656" t="str">
        <f>+VLOOKUP($L271,Data_Validation!$A:$D,3,0)</f>
        <v>Service</v>
      </c>
      <c r="V271" s="656" t="str">
        <f>+VLOOKUP($L271,Data_Validation!$A:$D,4,0)</f>
        <v>M/O Interne</v>
      </c>
      <c r="W271" s="656" t="str">
        <f>+VLOOKUP($L271,Data_Validation!$A:$E,5,0)</f>
        <v>$</v>
      </c>
      <c r="X271" s="656">
        <f>+VLOOKUP($L271,Data_Validation!$A:$F,6,0)</f>
        <v>0</v>
      </c>
    </row>
    <row r="272" spans="1:24" ht="15.75" hidden="1" customHeight="1">
      <c r="A272" s="1213" t="s">
        <v>1141</v>
      </c>
      <c r="B272" s="1213" t="s">
        <v>2208</v>
      </c>
      <c r="C272" s="1215">
        <v>24571.85</v>
      </c>
      <c r="D272" s="1215">
        <v>1390.54</v>
      </c>
      <c r="E272" s="1215">
        <v>25962.39</v>
      </c>
      <c r="F272" s="1213" t="s">
        <v>1110</v>
      </c>
      <c r="G272" s="1213" t="s">
        <v>1142</v>
      </c>
      <c r="H272" s="650"/>
      <c r="I272" s="672"/>
      <c r="J272" s="663"/>
      <c r="K272" s="672"/>
      <c r="L272" s="653" t="str">
        <f t="shared" si="176"/>
        <v>5711</v>
      </c>
      <c r="M272" s="654" t="str">
        <f t="shared" si="177"/>
        <v>C/V - AUTRE PIECE/ACC/CARR B.R. CLIENT</v>
      </c>
      <c r="N272" s="655">
        <f>+IF(OR($Q272=Parametres!$G$2,$Q272=Parametres!$G$3),I272,C272)</f>
        <v>24571.85</v>
      </c>
      <c r="O272" s="655">
        <f>+IF(OR($Q272=Parametres!$G$2,$Q272=Parametres!$G$3),J272,D272)</f>
        <v>1390.54</v>
      </c>
      <c r="P272" s="655">
        <f>+IF(OR($Q272=Parametres!$G$2,$Q272=Parametres!$G$3),K272,E272)</f>
        <v>25962.39</v>
      </c>
      <c r="Q272" s="654" t="str">
        <f t="shared" si="178"/>
        <v>6-Coût des ventes</v>
      </c>
      <c r="R272" s="653" t="str">
        <f t="shared" si="179"/>
        <v>4711</v>
      </c>
      <c r="S272" s="654">
        <f t="shared" si="180"/>
        <v>0</v>
      </c>
      <c r="T272" s="656" t="str">
        <f>+VLOOKUP($L272,Data_Validation!$A:$D,1,0)</f>
        <v>5711</v>
      </c>
      <c r="U272" s="656" t="str">
        <f>+VLOOKUP($L272,Data_Validation!$A:$D,3,0)</f>
        <v>Pièces</v>
      </c>
      <c r="V272" s="656" t="str">
        <f>+VLOOKUP($L272,Data_Validation!$A:$D,4,0)</f>
        <v>Pièces Ro Clients</v>
      </c>
      <c r="W272" s="656" t="str">
        <f>+VLOOKUP($L272,Data_Validation!$A:$E,5,0)</f>
        <v>$</v>
      </c>
      <c r="X272" s="656">
        <f>+VLOOKUP($L272,Data_Validation!$A:$F,6,0)</f>
        <v>0</v>
      </c>
    </row>
    <row r="273" spans="1:24" ht="15" hidden="1" customHeight="1">
      <c r="A273" s="1213" t="s">
        <v>3679</v>
      </c>
      <c r="B273" s="1213" t="s">
        <v>2214</v>
      </c>
      <c r="C273" s="1215">
        <v>16807.79</v>
      </c>
      <c r="D273" s="1215">
        <v>167.3</v>
      </c>
      <c r="E273" s="1215">
        <v>16975.09</v>
      </c>
      <c r="F273" s="1213" t="s">
        <v>1110</v>
      </c>
      <c r="G273" s="1213" t="s">
        <v>1086</v>
      </c>
      <c r="H273" s="651"/>
      <c r="I273" s="652"/>
      <c r="J273" s="652"/>
      <c r="K273" s="652"/>
      <c r="L273" s="653" t="str">
        <f t="shared" si="176"/>
        <v>5731</v>
      </c>
      <c r="M273" s="654" t="str">
        <f t="shared" si="177"/>
        <v>VW-P&amp;A-P&amp;BRO-CLIENT - MCI</v>
      </c>
      <c r="N273" s="655">
        <f>+IF(OR($Q273=Parametres!$G$2,$Q273=Parametres!$G$3),I273,C273)</f>
        <v>16807.79</v>
      </c>
      <c r="O273" s="659">
        <f>+IF(OR($Q273=Parametres!$G$2,$Q273=Parametres!$G$3),J273,D273)</f>
        <v>167.3</v>
      </c>
      <c r="P273" s="655">
        <f>+IF(OR($Q273=Parametres!$G$2,$Q273=Parametres!$G$3),K273,E273)</f>
        <v>16975.09</v>
      </c>
      <c r="Q273" s="654" t="str">
        <f t="shared" si="178"/>
        <v>6-Coût des ventes</v>
      </c>
      <c r="R273" s="653" t="str">
        <f t="shared" si="179"/>
        <v>4731</v>
      </c>
      <c r="S273" s="654">
        <f t="shared" si="180"/>
        <v>0</v>
      </c>
      <c r="T273" s="656" t="str">
        <f>+VLOOKUP($L273,Data_Validation!$A:$D,1,0)</f>
        <v>5731</v>
      </c>
      <c r="U273" s="656" t="str">
        <f>+VLOOKUP($L273,Data_Validation!$A:$D,3,0)</f>
        <v>Pièces</v>
      </c>
      <c r="V273" s="656" t="str">
        <f>+VLOOKUP($L273,Data_Validation!$A:$D,4,0)</f>
        <v>Pièces Ro Carrosserie</v>
      </c>
      <c r="W273" s="656" t="str">
        <f>+VLOOKUP($L273,Data_Validation!$A:$E,5,0)</f>
        <v>$</v>
      </c>
      <c r="X273" s="656">
        <f>+VLOOKUP($L273,Data_Validation!$A:$F,6,0)</f>
        <v>0</v>
      </c>
    </row>
    <row r="274" spans="1:24" ht="15" hidden="1" customHeight="1">
      <c r="A274" s="1213" t="s">
        <v>3680</v>
      </c>
      <c r="B274" s="1213" t="s">
        <v>2217</v>
      </c>
      <c r="C274" s="1215">
        <v>116038.59</v>
      </c>
      <c r="D274" s="1215">
        <v>5294.88</v>
      </c>
      <c r="E274" s="1215">
        <v>121333.47</v>
      </c>
      <c r="F274" s="1213" t="s">
        <v>1110</v>
      </c>
      <c r="G274" s="1213" t="s">
        <v>1090</v>
      </c>
      <c r="H274" s="651"/>
      <c r="I274" s="670"/>
      <c r="J274" s="651"/>
      <c r="K274" s="670"/>
      <c r="L274" s="653" t="str">
        <f t="shared" si="176"/>
        <v>5733</v>
      </c>
      <c r="M274" s="654" t="str">
        <f t="shared" si="177"/>
        <v>VW-P&amp;A-P&amp;BRO-GARANTIE - MCI</v>
      </c>
      <c r="N274" s="655">
        <f>+IF(OR($Q274=Parametres!$G$2,$Q274=Parametres!$G$3),I274,C274)</f>
        <v>116038.59</v>
      </c>
      <c r="O274" s="655">
        <f>+IF(OR($Q274=Parametres!$G$2,$Q274=Parametres!$G$3),J274,D274)</f>
        <v>5294.88</v>
      </c>
      <c r="P274" s="655">
        <f>+IF(OR($Q274=Parametres!$G$2,$Q274=Parametres!$G$3),K274,E274)</f>
        <v>121333.47</v>
      </c>
      <c r="Q274" s="654" t="str">
        <f t="shared" si="178"/>
        <v>6-Coût des ventes</v>
      </c>
      <c r="R274" s="653" t="str">
        <f t="shared" si="179"/>
        <v>4733</v>
      </c>
      <c r="S274" s="654">
        <f t="shared" si="180"/>
        <v>0</v>
      </c>
      <c r="T274" s="656" t="str">
        <f>+VLOOKUP($L274,Data_Validation!$A:$D,1,0)</f>
        <v>5733</v>
      </c>
      <c r="U274" s="656" t="str">
        <f>+VLOOKUP($L274,Data_Validation!$A:$D,3,0)</f>
        <v>Pièces</v>
      </c>
      <c r="V274" s="656" t="str">
        <f>+VLOOKUP($L274,Data_Validation!$A:$D,4,0)</f>
        <v>Pièces Ro Carrosserie</v>
      </c>
      <c r="W274" s="656" t="str">
        <f>+VLOOKUP($L274,Data_Validation!$A:$E,5,0)</f>
        <v>$</v>
      </c>
      <c r="X274" s="656">
        <f>+VLOOKUP($L274,Data_Validation!$A:$F,6,0)</f>
        <v>0</v>
      </c>
    </row>
    <row r="275" spans="1:24" ht="15" hidden="1" customHeight="1">
      <c r="A275" s="1213" t="s">
        <v>3681</v>
      </c>
      <c r="B275" s="1213" t="s">
        <v>2220</v>
      </c>
      <c r="C275" s="1215">
        <v>6836.66</v>
      </c>
      <c r="D275" s="1215">
        <v>84.26</v>
      </c>
      <c r="E275" s="1215">
        <v>6920.92</v>
      </c>
      <c r="F275" s="1213" t="s">
        <v>1110</v>
      </c>
      <c r="G275" s="1213" t="s">
        <v>1094</v>
      </c>
      <c r="H275" s="651"/>
      <c r="I275" s="652"/>
      <c r="J275" s="652"/>
      <c r="K275" s="652"/>
      <c r="L275" s="653" t="str">
        <f t="shared" si="176"/>
        <v>5735</v>
      </c>
      <c r="M275" s="654" t="str">
        <f t="shared" si="177"/>
        <v>VW-P&amp;A-P&amp;BRO-INTERNE - MCI</v>
      </c>
      <c r="N275" s="655">
        <f>+IF(OR($Q275=Parametres!$G$2,$Q275=Parametres!$G$3),I275,C275)</f>
        <v>6836.66</v>
      </c>
      <c r="O275" s="655">
        <f>+IF(OR($Q275=Parametres!$G$2,$Q275=Parametres!$G$3),J275,D275)</f>
        <v>84.26</v>
      </c>
      <c r="P275" s="655">
        <f>+IF(OR($Q275=Parametres!$G$2,$Q275=Parametres!$G$3),K275,E275)</f>
        <v>6920.92</v>
      </c>
      <c r="Q275" s="654" t="str">
        <f t="shared" si="178"/>
        <v>6-Coût des ventes</v>
      </c>
      <c r="R275" s="653" t="str">
        <f t="shared" si="179"/>
        <v>4735</v>
      </c>
      <c r="S275" s="654">
        <f t="shared" si="180"/>
        <v>0</v>
      </c>
      <c r="T275" s="656" t="str">
        <f>+VLOOKUP($L275,Data_Validation!$A:$D,1,0)</f>
        <v>5735</v>
      </c>
      <c r="U275" s="656" t="str">
        <f>+VLOOKUP($L275,Data_Validation!$A:$D,3,0)</f>
        <v>Pièces</v>
      </c>
      <c r="V275" s="656" t="str">
        <f>+VLOOKUP($L275,Data_Validation!$A:$D,4,0)</f>
        <v>Pièces Ro Carrosserie</v>
      </c>
      <c r="W275" s="656" t="str">
        <f>+VLOOKUP($L275,Data_Validation!$A:$E,5,0)</f>
        <v>$</v>
      </c>
      <c r="X275" s="656">
        <f>+VLOOKUP($L275,Data_Validation!$A:$F,6,0)</f>
        <v>0</v>
      </c>
    </row>
    <row r="276" spans="1:24" ht="15" hidden="1" customHeight="1">
      <c r="A276" s="1213" t="s">
        <v>1147</v>
      </c>
      <c r="B276" s="1213" t="s">
        <v>2223</v>
      </c>
      <c r="C276" s="1215">
        <v>157917.67000000001</v>
      </c>
      <c r="D276" s="1215">
        <v>12532.11</v>
      </c>
      <c r="E276" s="1215">
        <v>170449.78</v>
      </c>
      <c r="F276" s="1213" t="s">
        <v>1110</v>
      </c>
      <c r="G276" s="1213" t="s">
        <v>1098</v>
      </c>
      <c r="H276" s="651"/>
      <c r="I276" s="670"/>
      <c r="J276" s="651"/>
      <c r="K276" s="670"/>
      <c r="L276" s="653" t="str">
        <f t="shared" si="176"/>
        <v>5761</v>
      </c>
      <c r="M276" s="654" t="str">
        <f t="shared" si="177"/>
        <v>C/V - P&amp;A VW COMPTOIR - DETAIL</v>
      </c>
      <c r="N276" s="655">
        <f>+IF(OR($Q276=Parametres!$G$2,$Q276=Parametres!$G$3),I276,C276)</f>
        <v>157917.67000000001</v>
      </c>
      <c r="O276" s="655">
        <f>+IF(OR($Q276=Parametres!$G$2,$Q276=Parametres!$G$3),J276,D276)</f>
        <v>12532.11</v>
      </c>
      <c r="P276" s="655">
        <f>+IF(OR($Q276=Parametres!$G$2,$Q276=Parametres!$G$3),K276,E276)</f>
        <v>170449.78</v>
      </c>
      <c r="Q276" s="654" t="str">
        <f t="shared" si="178"/>
        <v>6-Coût des ventes</v>
      </c>
      <c r="R276" s="653" t="str">
        <f t="shared" si="179"/>
        <v>4761</v>
      </c>
      <c r="S276" s="654">
        <f t="shared" si="180"/>
        <v>0</v>
      </c>
      <c r="T276" s="656" t="str">
        <f>+VLOOKUP($L276,Data_Validation!$A:$D,1,0)</f>
        <v>5761</v>
      </c>
      <c r="U276" s="656" t="str">
        <f>+VLOOKUP($L276,Data_Validation!$A:$D,3,0)</f>
        <v>Pièces</v>
      </c>
      <c r="V276" s="656" t="str">
        <f>+VLOOKUP($L276,Data_Validation!$A:$D,4,0)</f>
        <v>Ventes Détails</v>
      </c>
      <c r="W276" s="656" t="str">
        <f>+VLOOKUP($L276,Data_Validation!$A:$E,5,0)</f>
        <v>$</v>
      </c>
      <c r="X276" s="656">
        <f>+VLOOKUP($L276,Data_Validation!$A:$F,6,0)</f>
        <v>0</v>
      </c>
    </row>
    <row r="277" spans="1:24" ht="15" hidden="1" customHeight="1">
      <c r="A277" s="1213" t="s">
        <v>1148</v>
      </c>
      <c r="B277" s="1213" t="s">
        <v>2226</v>
      </c>
      <c r="C277" s="1215">
        <v>1411504.8</v>
      </c>
      <c r="D277" s="1215">
        <v>143588.01999999999</v>
      </c>
      <c r="E277" s="1215">
        <v>1555092.82</v>
      </c>
      <c r="F277" s="1213" t="s">
        <v>1110</v>
      </c>
      <c r="G277" s="1213" t="s">
        <v>1102</v>
      </c>
      <c r="H277" s="651"/>
      <c r="I277" s="652"/>
      <c r="J277" s="652"/>
      <c r="K277" s="652"/>
      <c r="L277" s="653" t="str">
        <f t="shared" si="176"/>
        <v>5763</v>
      </c>
      <c r="M277" s="654" t="str">
        <f t="shared" si="177"/>
        <v>C/V - P&amp;A VW COMPTOIR GROS - ECHANGE</v>
      </c>
      <c r="N277" s="655">
        <f>+IF(OR($Q277=Parametres!$G$2,$Q277=Parametres!$G$3),I277,C277)</f>
        <v>1411504.8</v>
      </c>
      <c r="O277" s="655">
        <f>+IF(OR($Q277=Parametres!$G$2,$Q277=Parametres!$G$3),J277,D277)</f>
        <v>143588.01999999999</v>
      </c>
      <c r="P277" s="655">
        <f>+IF(OR($Q277=Parametres!$G$2,$Q277=Parametres!$G$3),K277,E277)</f>
        <v>1555092.82</v>
      </c>
      <c r="Q277" s="654" t="str">
        <f t="shared" si="178"/>
        <v>6-Coût des ventes</v>
      </c>
      <c r="R277" s="653" t="str">
        <f t="shared" si="179"/>
        <v>4763</v>
      </c>
      <c r="S277" s="654">
        <f t="shared" si="180"/>
        <v>0</v>
      </c>
      <c r="T277" s="656" t="str">
        <f>+VLOOKUP($L277,Data_Validation!$A:$D,1,0)</f>
        <v>5763</v>
      </c>
      <c r="U277" s="656" t="str">
        <f>+VLOOKUP($L277,Data_Validation!$A:$D,3,0)</f>
        <v>Pièces</v>
      </c>
      <c r="V277" s="656" t="str">
        <f>+VLOOKUP($L277,Data_Validation!$A:$D,4,0)</f>
        <v>Ventes de Gros</v>
      </c>
      <c r="W277" s="656" t="str">
        <f>+VLOOKUP($L277,Data_Validation!$A:$E,5,0)</f>
        <v>$</v>
      </c>
      <c r="X277" s="656">
        <f>+VLOOKUP($L277,Data_Validation!$A:$F,6,0)</f>
        <v>0</v>
      </c>
    </row>
    <row r="278" spans="1:24" ht="15" hidden="1" customHeight="1">
      <c r="A278" s="1213" t="s">
        <v>3684</v>
      </c>
      <c r="B278" s="1213" t="s">
        <v>3685</v>
      </c>
      <c r="C278" s="1215">
        <v>52660.73</v>
      </c>
      <c r="D278" s="1215">
        <v>5697.34</v>
      </c>
      <c r="E278" s="1215">
        <v>58358.07</v>
      </c>
      <c r="F278" s="1213" t="s">
        <v>1110</v>
      </c>
      <c r="G278" s="1213" t="s">
        <v>3686</v>
      </c>
      <c r="H278" s="651"/>
      <c r="I278" s="670"/>
      <c r="J278" s="651"/>
      <c r="K278" s="670"/>
      <c r="L278" s="653" t="str">
        <f t="shared" si="176"/>
        <v>5773</v>
      </c>
      <c r="M278" s="654" t="str">
        <f t="shared" si="177"/>
        <v>C/V - P&amp;A - COMPTOIR - ENGROS - AUDI</v>
      </c>
      <c r="N278" s="655">
        <f>+IF(OR($Q278=Parametres!$G$2,$Q278=Parametres!$G$3),I278,C278)</f>
        <v>52660.73</v>
      </c>
      <c r="O278" s="659">
        <f>+IF(OR($Q278=Parametres!$G$2,$Q278=Parametres!$G$3),J278,D278)</f>
        <v>5697.34</v>
      </c>
      <c r="P278" s="655">
        <f>+IF(OR($Q278=Parametres!$G$2,$Q278=Parametres!$G$3),K278,E278)</f>
        <v>58358.07</v>
      </c>
      <c r="Q278" s="654" t="str">
        <f t="shared" si="178"/>
        <v>6-Coût des ventes</v>
      </c>
      <c r="R278" s="653" t="str">
        <f t="shared" si="179"/>
        <v>4773</v>
      </c>
      <c r="S278" s="654">
        <f t="shared" si="180"/>
        <v>0</v>
      </c>
      <c r="T278" s="656" t="str">
        <f>+VLOOKUP($L278,Data_Validation!$A:$D,1,0)</f>
        <v>5773</v>
      </c>
      <c r="U278" s="656" t="str">
        <f>+VLOOKUP($L278,Data_Validation!$A:$D,3,0)</f>
        <v>Pièces</v>
      </c>
      <c r="V278" s="656" t="str">
        <f>+VLOOKUP($L278,Data_Validation!$A:$D,4,0)</f>
        <v>Ventes de Gros</v>
      </c>
      <c r="W278" s="656" t="str">
        <f>+VLOOKUP($L278,Data_Validation!$A:$E,5,0)</f>
        <v>$</v>
      </c>
      <c r="X278" s="656">
        <f>+VLOOKUP($L278,Data_Validation!$A:$F,6,0)</f>
        <v>0</v>
      </c>
    </row>
    <row r="279" spans="1:24" ht="15.75" hidden="1" customHeight="1">
      <c r="A279" s="1213" t="s">
        <v>1149</v>
      </c>
      <c r="B279" s="1213" t="s">
        <v>2229</v>
      </c>
      <c r="C279" s="1215">
        <v>379245.33</v>
      </c>
      <c r="D279" s="1215">
        <v>43932.93</v>
      </c>
      <c r="E279" s="1215">
        <v>423178.26</v>
      </c>
      <c r="F279" s="1213" t="s">
        <v>1110</v>
      </c>
      <c r="G279" s="1213" t="s">
        <v>1106</v>
      </c>
      <c r="H279" s="651"/>
      <c r="I279" s="652"/>
      <c r="J279" s="652"/>
      <c r="K279" s="652"/>
      <c r="L279" s="653" t="str">
        <f t="shared" si="176"/>
        <v>5781</v>
      </c>
      <c r="M279" s="654" t="str">
        <f t="shared" si="177"/>
        <v>COUT PNEUS</v>
      </c>
      <c r="N279" s="655">
        <f>+IF(OR($Q279=Parametres!$G$2,$Q279=Parametres!$G$3),I279,C279)</f>
        <v>379245.33</v>
      </c>
      <c r="O279" s="659">
        <f>+IF(OR($Q279=Parametres!$G$2,$Q279=Parametres!$G$3),J279,D279)</f>
        <v>43932.93</v>
      </c>
      <c r="P279" s="655">
        <f>+IF(OR($Q279=Parametres!$G$2,$Q279=Parametres!$G$3),K279,E279)</f>
        <v>423178.26</v>
      </c>
      <c r="Q279" s="654" t="str">
        <f t="shared" si="178"/>
        <v>6-Coût des ventes</v>
      </c>
      <c r="R279" s="653" t="str">
        <f t="shared" si="179"/>
        <v>4781</v>
      </c>
      <c r="S279" s="654">
        <f t="shared" si="180"/>
        <v>0</v>
      </c>
      <c r="T279" s="656" t="str">
        <f>+VLOOKUP($L279,Data_Validation!$A:$D,1,0)</f>
        <v>5781</v>
      </c>
      <c r="U279" s="656" t="str">
        <f>+VLOOKUP($L279,Data_Validation!$A:$D,3,0)</f>
        <v>Pièces</v>
      </c>
      <c r="V279" s="656" t="str">
        <f>+VLOOKUP($L279,Data_Validation!$A:$D,4,0)</f>
        <v>Ventes Pneus</v>
      </c>
      <c r="W279" s="656" t="str">
        <f>+VLOOKUP($L279,Data_Validation!$A:$E,5,0)</f>
        <v>$</v>
      </c>
      <c r="X279" s="656">
        <f>+VLOOKUP($L279,Data_Validation!$A:$F,6,0)</f>
        <v>0</v>
      </c>
    </row>
    <row r="280" spans="1:24" ht="15" hidden="1" customHeight="1">
      <c r="A280" s="1213" t="s">
        <v>1150</v>
      </c>
      <c r="B280" s="1213" t="s">
        <v>2232</v>
      </c>
      <c r="C280" s="1215">
        <v>16994.740000000002</v>
      </c>
      <c r="D280" s="1215">
        <v>2436.3200000000002</v>
      </c>
      <c r="E280" s="1215">
        <v>19431.060000000001</v>
      </c>
      <c r="F280" s="1213" t="s">
        <v>1110</v>
      </c>
      <c r="G280" s="1213" t="s">
        <v>1106</v>
      </c>
      <c r="H280" s="651"/>
      <c r="I280" s="652"/>
      <c r="J280" s="652"/>
      <c r="K280" s="652"/>
      <c r="L280" s="653" t="str">
        <f t="shared" si="176"/>
        <v>5785</v>
      </c>
      <c r="M280" s="654" t="str">
        <f t="shared" si="177"/>
        <v>C/V - VW PNEUS</v>
      </c>
      <c r="N280" s="655">
        <f>+IF(OR($Q280=Parametres!$G$2,$Q280=Parametres!$G$3),I280,C280)</f>
        <v>16994.740000000002</v>
      </c>
      <c r="O280" s="655">
        <f>+IF(OR($Q280=Parametres!$G$2,$Q280=Parametres!$G$3),J280,D280)</f>
        <v>2436.3200000000002</v>
      </c>
      <c r="P280" s="655">
        <f>+IF(OR($Q280=Parametres!$G$2,$Q280=Parametres!$G$3),K280,E280)</f>
        <v>19431.060000000001</v>
      </c>
      <c r="Q280" s="654" t="str">
        <f t="shared" si="178"/>
        <v>6-Coût des ventes</v>
      </c>
      <c r="R280" s="653" t="str">
        <f t="shared" si="179"/>
        <v>4781</v>
      </c>
      <c r="S280" s="654">
        <f t="shared" si="180"/>
        <v>0</v>
      </c>
      <c r="T280" s="656" t="str">
        <f>+VLOOKUP($L280,Data_Validation!$A:$D,1,0)</f>
        <v>5785</v>
      </c>
      <c r="U280" s="656" t="str">
        <f>+VLOOKUP($L280,Data_Validation!$A:$D,3,0)</f>
        <v>Pièces</v>
      </c>
      <c r="V280" s="656" t="str">
        <f>+VLOOKUP($L280,Data_Validation!$A:$D,4,0)</f>
        <v>Ventes Pneus</v>
      </c>
      <c r="W280" s="656" t="str">
        <f>+VLOOKUP($L280,Data_Validation!$A:$E,5,0)</f>
        <v>$</v>
      </c>
      <c r="X280" s="656">
        <f>+VLOOKUP($L280,Data_Validation!$A:$F,6,0)</f>
        <v>0</v>
      </c>
    </row>
    <row r="281" spans="1:24" ht="15" hidden="1" customHeight="1">
      <c r="A281" s="1213" t="s">
        <v>3945</v>
      </c>
      <c r="B281" s="1213" t="s">
        <v>3946</v>
      </c>
      <c r="C281" s="1215">
        <v>-0.04</v>
      </c>
      <c r="D281" s="1215">
        <v>0</v>
      </c>
      <c r="E281" s="1215">
        <v>-0.04</v>
      </c>
      <c r="F281" s="1213" t="s">
        <v>1110</v>
      </c>
      <c r="G281" s="1213" t="s">
        <v>1106</v>
      </c>
      <c r="H281" s="651"/>
      <c r="I281" s="670"/>
      <c r="J281" s="660"/>
      <c r="K281" s="670"/>
      <c r="L281" s="653" t="str">
        <f t="shared" si="176"/>
        <v>5786</v>
      </c>
      <c r="M281" s="668" t="str">
        <f t="shared" si="177"/>
        <v>C/V - AUTRES PNEUS</v>
      </c>
      <c r="N281" s="655">
        <f>+IF(OR($Q281=Parametres!$G$2,$Q281=Parametres!$G$3),I281,C281)</f>
        <v>-0.04</v>
      </c>
      <c r="O281" s="659">
        <f>+IF(OR($Q281=Parametres!$G$2,$Q281=Parametres!$G$3),J281,D281)</f>
        <v>0</v>
      </c>
      <c r="P281" s="669">
        <f>+IF(OR($Q281=Parametres!$G$2,$Q281=Parametres!$G$3),K281,E281)</f>
        <v>-0.04</v>
      </c>
      <c r="Q281" s="654" t="str">
        <f t="shared" si="178"/>
        <v>6-Coût des ventes</v>
      </c>
      <c r="R281" s="653" t="str">
        <f t="shared" si="179"/>
        <v>4781</v>
      </c>
      <c r="S281" s="654">
        <f t="shared" si="180"/>
        <v>0</v>
      </c>
      <c r="T281" s="656" t="str">
        <f>+VLOOKUP($L281,Data_Validation!$A:$D,1,0)</f>
        <v>5786</v>
      </c>
      <c r="U281" s="656" t="str">
        <f>+VLOOKUP($L281,Data_Validation!$A:$D,3,0)</f>
        <v>Pièces</v>
      </c>
      <c r="V281" s="656" t="str">
        <f>+VLOOKUP($L281,Data_Validation!$A:$D,4,0)</f>
        <v>Ventes Pneus</v>
      </c>
      <c r="W281" s="656" t="str">
        <f>+VLOOKUP($L281,Data_Validation!$A:$E,5,0)</f>
        <v>$</v>
      </c>
      <c r="X281" s="656">
        <f>+VLOOKUP($L281,Data_Validation!$A:$F,6,0)</f>
        <v>0</v>
      </c>
    </row>
    <row r="282" spans="1:24" ht="15" hidden="1" customHeight="1">
      <c r="A282" s="1213" t="s">
        <v>1151</v>
      </c>
      <c r="B282" s="1213" t="s">
        <v>2237</v>
      </c>
      <c r="C282" s="1215">
        <v>-11006</v>
      </c>
      <c r="D282" s="1215">
        <v>2076.17</v>
      </c>
      <c r="E282" s="1215">
        <v>-8929.83</v>
      </c>
      <c r="F282" s="1213" t="s">
        <v>1110</v>
      </c>
      <c r="G282" s="1213" t="s">
        <v>1152</v>
      </c>
      <c r="H282" s="651"/>
      <c r="I282" s="652"/>
      <c r="J282" s="652"/>
      <c r="K282" s="652"/>
      <c r="L282" s="653" t="str">
        <f t="shared" si="176"/>
        <v>5796</v>
      </c>
      <c r="M282" s="654" t="str">
        <f t="shared" si="177"/>
        <v>C/V - BONI / ESCPTE PI VW</v>
      </c>
      <c r="N282" s="655">
        <f>+IF(OR($Q282=Parametres!$G$2,$Q282=Parametres!$G$3),I282,C282)</f>
        <v>-11006</v>
      </c>
      <c r="O282" s="655">
        <f>+IF(OR($Q282=Parametres!$G$2,$Q282=Parametres!$G$3),J282,D282)</f>
        <v>2076.17</v>
      </c>
      <c r="P282" s="655">
        <f>+IF(OR($Q282=Parametres!$G$2,$Q282=Parametres!$G$3),K282,E282)</f>
        <v>-8929.83</v>
      </c>
      <c r="Q282" s="654" t="str">
        <f t="shared" si="178"/>
        <v>6-Coût des ventes</v>
      </c>
      <c r="R282" s="653" t="str">
        <f t="shared" si="179"/>
        <v>5792</v>
      </c>
      <c r="S282" s="654">
        <f t="shared" si="180"/>
        <v>0</v>
      </c>
      <c r="T282" s="656" t="str">
        <f>+VLOOKUP($L282,Data_Validation!$A:$D,1,0)</f>
        <v>5796</v>
      </c>
      <c r="U282" s="656" t="str">
        <f>+VLOOKUP($L282,Data_Validation!$A:$D,3,0)</f>
        <v>Pièces</v>
      </c>
      <c r="V282" s="656" t="str">
        <f>+VLOOKUP($L282,Data_Validation!$A:$D,4,0)</f>
        <v>Escomptes</v>
      </c>
      <c r="W282" s="656" t="str">
        <f>+VLOOKUP($L282,Data_Validation!$A:$E,5,0)</f>
        <v>$</v>
      </c>
      <c r="X282" s="656">
        <f>+VLOOKUP($L282,Data_Validation!$A:$F,6,0)</f>
        <v>0</v>
      </c>
    </row>
    <row r="283" spans="1:24" ht="15.75" hidden="1" customHeight="1">
      <c r="A283" s="1213" t="s">
        <v>1153</v>
      </c>
      <c r="B283" s="1213" t="s">
        <v>1155</v>
      </c>
      <c r="C283" s="1215">
        <v>456890.62</v>
      </c>
      <c r="D283" s="1215">
        <v>23318.16</v>
      </c>
      <c r="E283" s="1215">
        <v>480208.78</v>
      </c>
      <c r="F283" s="1213" t="s">
        <v>1154</v>
      </c>
      <c r="G283" s="1213" t="s">
        <v>1155</v>
      </c>
      <c r="H283" s="650"/>
      <c r="I283" s="663"/>
      <c r="J283" s="663"/>
      <c r="K283" s="663"/>
      <c r="L283" s="653" t="str">
        <f t="shared" si="176"/>
        <v>6101</v>
      </c>
      <c r="M283" s="654" t="str">
        <f t="shared" si="177"/>
        <v>COMMISSION VENDEUR NEUFS</v>
      </c>
      <c r="N283" s="655">
        <f>+IF(OR($Q283=Parametres!$G$2,$Q283=Parametres!$G$3),I283,C283)</f>
        <v>456890.62</v>
      </c>
      <c r="O283" s="655">
        <f>+IF(OR($Q283=Parametres!$G$2,$Q283=Parametres!$G$3),J283,D283)</f>
        <v>23318.16</v>
      </c>
      <c r="P283" s="655">
        <f>+IF(OR($Q283=Parametres!$G$2,$Q283=Parametres!$G$3),K283,E283)</f>
        <v>480208.78</v>
      </c>
      <c r="Q283" s="654" t="str">
        <f t="shared" si="178"/>
        <v>7-Dépenses</v>
      </c>
      <c r="R283" s="653" t="str">
        <f t="shared" si="179"/>
        <v>6101</v>
      </c>
      <c r="S283" s="654">
        <f t="shared" si="180"/>
        <v>0</v>
      </c>
      <c r="T283" s="656" t="str">
        <f>+VLOOKUP($L283,Data_Validation!$A:$D,1,0)</f>
        <v>6101</v>
      </c>
      <c r="U283" s="656" t="str">
        <f>+VLOOKUP($L283,Data_Validation!$A:$D,3,0)</f>
        <v>Véhicules neufs</v>
      </c>
      <c r="V283" s="656" t="str">
        <f>+VLOOKUP($L283,Data_Validation!$A:$D,4,0)</f>
        <v>Comm. vendeurs</v>
      </c>
      <c r="W283" s="656" t="str">
        <f>+VLOOKUP($L283,Data_Validation!$A:$E,5,0)</f>
        <v>$</v>
      </c>
      <c r="X283" s="656">
        <f>+VLOOKUP($L283,Data_Validation!$A:$F,6,0)</f>
        <v>0</v>
      </c>
    </row>
    <row r="284" spans="1:24" ht="15" hidden="1" customHeight="1">
      <c r="A284" s="1213" t="s">
        <v>1156</v>
      </c>
      <c r="B284" s="1213" t="s">
        <v>1157</v>
      </c>
      <c r="C284" s="1215">
        <v>163758.03</v>
      </c>
      <c r="D284" s="1215">
        <v>13748.56</v>
      </c>
      <c r="E284" s="1215">
        <v>177506.59</v>
      </c>
      <c r="F284" s="1213" t="s">
        <v>1154</v>
      </c>
      <c r="G284" s="1213" t="s">
        <v>1157</v>
      </c>
      <c r="H284" s="651"/>
      <c r="I284" s="651"/>
      <c r="J284" s="651"/>
      <c r="K284" s="670"/>
      <c r="L284" s="653" t="str">
        <f t="shared" si="176"/>
        <v>6102</v>
      </c>
      <c r="M284" s="654" t="str">
        <f t="shared" si="177"/>
        <v>RENUMERATION F &amp; I</v>
      </c>
      <c r="N284" s="655">
        <f>+IF(OR($Q284=Parametres!$G$2,$Q284=Parametres!$G$3),I284,C284)</f>
        <v>163758.03</v>
      </c>
      <c r="O284" s="659">
        <f>+IF(OR($Q284=Parametres!$G$2,$Q284=Parametres!$G$3),J284,D284)</f>
        <v>13748.56</v>
      </c>
      <c r="P284" s="655">
        <f>+IF(OR($Q284=Parametres!$G$2,$Q284=Parametres!$G$3),K284,E284)</f>
        <v>177506.59</v>
      </c>
      <c r="Q284" s="654" t="str">
        <f t="shared" si="178"/>
        <v>7-Dépenses</v>
      </c>
      <c r="R284" s="653" t="str">
        <f t="shared" si="179"/>
        <v>6102</v>
      </c>
      <c r="S284" s="654">
        <f t="shared" si="180"/>
        <v>0</v>
      </c>
      <c r="T284" s="656" t="str">
        <f>+VLOOKUP($L284,Data_Validation!$A:$D,1,0)</f>
        <v>6102</v>
      </c>
      <c r="U284" s="656" t="str">
        <f>+VLOOKUP($L284,Data_Validation!$A:$D,3,0)</f>
        <v>Véhicules neufs</v>
      </c>
      <c r="V284" s="656" t="str">
        <f>+VLOOKUP($L284,Data_Validation!$A:$D,4,0)</f>
        <v>Comm. F&amp;I</v>
      </c>
      <c r="W284" s="656" t="str">
        <f>+VLOOKUP($L284,Data_Validation!$A:$E,5,0)</f>
        <v>$</v>
      </c>
      <c r="X284" s="656">
        <f>+VLOOKUP($L284,Data_Validation!$A:$F,6,0)</f>
        <v>0</v>
      </c>
    </row>
    <row r="285" spans="1:24" ht="15" hidden="1" customHeight="1">
      <c r="A285" s="1213" t="s">
        <v>1158</v>
      </c>
      <c r="B285" s="1213" t="s">
        <v>1159</v>
      </c>
      <c r="C285" s="1215">
        <v>14453.32</v>
      </c>
      <c r="D285" s="1215">
        <v>893.54</v>
      </c>
      <c r="E285" s="1215">
        <v>15346.86</v>
      </c>
      <c r="F285" s="1213" t="s">
        <v>1154</v>
      </c>
      <c r="G285" s="1213" t="s">
        <v>1159</v>
      </c>
      <c r="H285" s="651"/>
      <c r="I285" s="652"/>
      <c r="J285" s="652"/>
      <c r="K285" s="652"/>
      <c r="L285" s="653" t="str">
        <f t="shared" si="176"/>
        <v>6103</v>
      </c>
      <c r="M285" s="654" t="str">
        <f t="shared" si="177"/>
        <v>RELAT. A LA CLIENTELE &amp; AJUST.</v>
      </c>
      <c r="N285" s="655">
        <f>+IF(OR($Q285=Parametres!$G$2,$Q285=Parametres!$G$3),I285,C285)</f>
        <v>14453.32</v>
      </c>
      <c r="O285" s="655">
        <f>+IF(OR($Q285=Parametres!$G$2,$Q285=Parametres!$G$3),J285,D285)</f>
        <v>893.54</v>
      </c>
      <c r="P285" s="655">
        <f>+IF(OR($Q285=Parametres!$G$2,$Q285=Parametres!$G$3),K285,E285)</f>
        <v>15346.86</v>
      </c>
      <c r="Q285" s="654" t="str">
        <f t="shared" si="178"/>
        <v>7-Dépenses</v>
      </c>
      <c r="R285" s="653" t="str">
        <f t="shared" si="179"/>
        <v>6103</v>
      </c>
      <c r="S285" s="654">
        <f t="shared" si="180"/>
        <v>0</v>
      </c>
      <c r="T285" s="656" t="str">
        <f>+VLOOKUP($L285,Data_Validation!$A:$D,1,0)</f>
        <v>6103</v>
      </c>
      <c r="U285" s="656" t="str">
        <f>+VLOOKUP($L285,Data_Validation!$A:$D,3,0)</f>
        <v>Véhicules neufs</v>
      </c>
      <c r="V285" s="656" t="str">
        <f>+VLOOKUP($L285,Data_Validation!$A:$D,4,0)</f>
        <v>Service gratuit 1</v>
      </c>
      <c r="W285" s="656" t="str">
        <f>+VLOOKUP($L285,Data_Validation!$A:$E,5,0)</f>
        <v>$</v>
      </c>
      <c r="X285" s="656">
        <f>+VLOOKUP($L285,Data_Validation!$A:$F,6,0)</f>
        <v>0</v>
      </c>
    </row>
    <row r="286" spans="1:24" ht="15" hidden="1" customHeight="1">
      <c r="A286" s="1213" t="s">
        <v>1160</v>
      </c>
      <c r="B286" s="1213" t="s">
        <v>1161</v>
      </c>
      <c r="C286" s="1215">
        <v>83887.33</v>
      </c>
      <c r="D286" s="1215">
        <v>3384.31</v>
      </c>
      <c r="E286" s="1215">
        <v>87271.64</v>
      </c>
      <c r="F286" s="1213" t="s">
        <v>1154</v>
      </c>
      <c r="G286" s="1213" t="s">
        <v>1161</v>
      </c>
      <c r="H286" s="651"/>
      <c r="I286" s="652"/>
      <c r="J286" s="652"/>
      <c r="K286" s="652"/>
      <c r="L286" s="653" t="str">
        <f t="shared" si="176"/>
        <v>6106</v>
      </c>
      <c r="M286" s="654" t="str">
        <f t="shared" si="177"/>
        <v>ENTRETIEN DES STOCKS</v>
      </c>
      <c r="N286" s="655">
        <f>+IF(OR($Q286=Parametres!$G$2,$Q286=Parametres!$G$3),I286,C286)</f>
        <v>83887.33</v>
      </c>
      <c r="O286" s="659">
        <f>+IF(OR($Q286=Parametres!$G$2,$Q286=Parametres!$G$3),J286,D286)</f>
        <v>3384.31</v>
      </c>
      <c r="P286" s="655">
        <f>+IF(OR($Q286=Parametres!$G$2,$Q286=Parametres!$G$3),K286,E286)</f>
        <v>87271.64</v>
      </c>
      <c r="Q286" s="654" t="str">
        <f t="shared" si="178"/>
        <v>7-Dépenses</v>
      </c>
      <c r="R286" s="653" t="str">
        <f t="shared" si="179"/>
        <v>6106</v>
      </c>
      <c r="S286" s="654">
        <f t="shared" si="180"/>
        <v>0</v>
      </c>
      <c r="T286" s="656" t="str">
        <f>+VLOOKUP($L286,Data_Validation!$A:$D,1,0)</f>
        <v>6106</v>
      </c>
      <c r="U286" s="656" t="str">
        <f>+VLOOKUP($L286,Data_Validation!$A:$D,3,0)</f>
        <v>Véhicules neufs</v>
      </c>
      <c r="V286" s="656" t="str">
        <f>+VLOOKUP($L286,Data_Validation!$A:$D,4,0)</f>
        <v>Entretien stock</v>
      </c>
      <c r="W286" s="656" t="str">
        <f>+VLOOKUP($L286,Data_Validation!$A:$E,5,0)</f>
        <v>$</v>
      </c>
      <c r="X286" s="656">
        <f>+VLOOKUP($L286,Data_Validation!$A:$F,6,0)</f>
        <v>0</v>
      </c>
    </row>
    <row r="287" spans="1:24" ht="15.75" hidden="1" customHeight="1">
      <c r="A287" s="1213" t="s">
        <v>1162</v>
      </c>
      <c r="B287" s="1213" t="s">
        <v>1163</v>
      </c>
      <c r="C287" s="1215">
        <v>310527.69</v>
      </c>
      <c r="D287" s="1215">
        <v>-3625.28</v>
      </c>
      <c r="E287" s="1215">
        <v>306902.40999999997</v>
      </c>
      <c r="F287" s="1213" t="s">
        <v>1154</v>
      </c>
      <c r="G287" s="1213" t="s">
        <v>1163</v>
      </c>
      <c r="H287" s="650"/>
      <c r="I287" s="652"/>
      <c r="J287" s="652"/>
      <c r="K287" s="652"/>
      <c r="L287" s="653" t="str">
        <f t="shared" si="176"/>
        <v>6107</v>
      </c>
      <c r="M287" s="654" t="str">
        <f t="shared" si="177"/>
        <v>INTERET-PLAN DE FINANCEMENT</v>
      </c>
      <c r="N287" s="655">
        <f>+IF(OR($Q287=Parametres!$G$2,$Q287=Parametres!$G$3),I287,C287)</f>
        <v>310527.69</v>
      </c>
      <c r="O287" s="655">
        <f>+IF(OR($Q287=Parametres!$G$2,$Q287=Parametres!$G$3),J287,D287)</f>
        <v>-3625.28</v>
      </c>
      <c r="P287" s="655">
        <f>+IF(OR($Q287=Parametres!$G$2,$Q287=Parametres!$G$3),K287,E287)</f>
        <v>306902.40999999997</v>
      </c>
      <c r="Q287" s="654" t="str">
        <f t="shared" si="178"/>
        <v>7-Dépenses</v>
      </c>
      <c r="R287" s="653" t="str">
        <f t="shared" si="179"/>
        <v>6107</v>
      </c>
      <c r="S287" s="654">
        <f t="shared" si="180"/>
        <v>0</v>
      </c>
      <c r="T287" s="656" t="str">
        <f>+VLOOKUP($L287,Data_Validation!$A:$D,1,0)</f>
        <v>6107</v>
      </c>
      <c r="U287" s="656" t="str">
        <f>+VLOOKUP($L287,Data_Validation!$A:$D,3,0)</f>
        <v>Véhicules neufs</v>
      </c>
      <c r="V287" s="656" t="str">
        <f>+VLOOKUP($L287,Data_Validation!$A:$D,4,0)</f>
        <v>Intérêt de gros</v>
      </c>
      <c r="W287" s="656" t="str">
        <f>+VLOOKUP($L287,Data_Validation!$A:$E,5,0)</f>
        <v>$</v>
      </c>
      <c r="X287" s="656">
        <f>+VLOOKUP($L287,Data_Validation!$A:$F,6,0)</f>
        <v>0</v>
      </c>
    </row>
    <row r="288" spans="1:24" ht="15" hidden="1" customHeight="1">
      <c r="A288" s="1213" t="s">
        <v>1164</v>
      </c>
      <c r="B288" s="1213" t="s">
        <v>1165</v>
      </c>
      <c r="C288" s="1215">
        <v>85108.76</v>
      </c>
      <c r="D288" s="1215">
        <v>2589.41</v>
      </c>
      <c r="E288" s="1215">
        <v>87698.17</v>
      </c>
      <c r="F288" s="1213" t="s">
        <v>1154</v>
      </c>
      <c r="G288" s="1213" t="s">
        <v>1165</v>
      </c>
      <c r="H288" s="650"/>
      <c r="I288" s="663"/>
      <c r="J288" s="663"/>
      <c r="K288" s="663"/>
      <c r="L288" s="653" t="str">
        <f t="shared" si="176"/>
        <v>6108</v>
      </c>
      <c r="M288" s="654" t="str">
        <f t="shared" si="177"/>
        <v>FRAIS DE LIVRAISON</v>
      </c>
      <c r="N288" s="655">
        <f>+IF(OR($Q288=Parametres!$G$2,$Q288=Parametres!$G$3),I288,C288)</f>
        <v>85108.76</v>
      </c>
      <c r="O288" s="655">
        <f>+IF(OR($Q288=Parametres!$G$2,$Q288=Parametres!$G$3),J288,D288)</f>
        <v>2589.41</v>
      </c>
      <c r="P288" s="655">
        <f>+IF(OR($Q288=Parametres!$G$2,$Q288=Parametres!$G$3),K288,E288)</f>
        <v>87698.17</v>
      </c>
      <c r="Q288" s="654" t="str">
        <f t="shared" si="178"/>
        <v>7-Dépenses</v>
      </c>
      <c r="R288" s="653" t="str">
        <f t="shared" si="179"/>
        <v>6108</v>
      </c>
      <c r="S288" s="654">
        <f t="shared" si="180"/>
        <v>0</v>
      </c>
      <c r="T288" s="656" t="str">
        <f>+VLOOKUP($L288,Data_Validation!$A:$D,1,0)</f>
        <v>6108</v>
      </c>
      <c r="U288" s="656" t="str">
        <f>+VLOOKUP($L288,Data_Validation!$A:$D,3,0)</f>
        <v>Véhicules neufs</v>
      </c>
      <c r="V288" s="656" t="str">
        <f>+VLOOKUP($L288,Data_Validation!$A:$D,4,0)</f>
        <v>Frais de livraison</v>
      </c>
      <c r="W288" s="656" t="str">
        <f>+VLOOKUP($L288,Data_Validation!$A:$E,5,0)</f>
        <v>$</v>
      </c>
      <c r="X288" s="656">
        <f>+VLOOKUP($L288,Data_Validation!$A:$F,6,0)</f>
        <v>0</v>
      </c>
    </row>
    <row r="289" spans="1:24" ht="15" hidden="1" customHeight="1">
      <c r="A289" s="1213" t="s">
        <v>1166</v>
      </c>
      <c r="B289" s="1213" t="s">
        <v>1167</v>
      </c>
      <c r="C289" s="1215">
        <v>195903.95</v>
      </c>
      <c r="D289" s="1215">
        <v>16594.349999999999</v>
      </c>
      <c r="E289" s="1215">
        <v>212498.3</v>
      </c>
      <c r="F289" s="1213" t="s">
        <v>1154</v>
      </c>
      <c r="G289" s="1213" t="s">
        <v>1167</v>
      </c>
      <c r="H289" s="651"/>
      <c r="I289" s="670"/>
      <c r="J289" s="651"/>
      <c r="K289" s="670"/>
      <c r="L289" s="653" t="str">
        <f t="shared" si="176"/>
        <v>6114</v>
      </c>
      <c r="M289" s="654" t="str">
        <f t="shared" si="177"/>
        <v>PUBLICITE</v>
      </c>
      <c r="N289" s="655">
        <f>+IF(OR($Q289=Parametres!$G$2,$Q289=Parametres!$G$3),I289,C289)</f>
        <v>195903.95</v>
      </c>
      <c r="O289" s="655">
        <f>+IF(OR($Q289=Parametres!$G$2,$Q289=Parametres!$G$3),J289,D289)</f>
        <v>16594.349999999999</v>
      </c>
      <c r="P289" s="655">
        <f>+IF(OR($Q289=Parametres!$G$2,$Q289=Parametres!$G$3),K289,E289)</f>
        <v>212498.3</v>
      </c>
      <c r="Q289" s="654" t="str">
        <f t="shared" si="178"/>
        <v>7-Dépenses</v>
      </c>
      <c r="R289" s="653" t="str">
        <f t="shared" si="179"/>
        <v>6114</v>
      </c>
      <c r="S289" s="654">
        <f t="shared" si="180"/>
        <v>0</v>
      </c>
      <c r="T289" s="656" t="str">
        <f>+VLOOKUP($L289,Data_Validation!$A:$D,1,0)</f>
        <v>6114</v>
      </c>
      <c r="U289" s="656" t="str">
        <f>+VLOOKUP($L289,Data_Validation!$A:$D,3,0)</f>
        <v>Véhicules neufs</v>
      </c>
      <c r="V289" s="656" t="str">
        <f>+VLOOKUP($L289,Data_Validation!$A:$D,4,0)</f>
        <v>Publicité 1</v>
      </c>
      <c r="W289" s="656" t="str">
        <f>+VLOOKUP($L289,Data_Validation!$A:$E,5,0)</f>
        <v>$</v>
      </c>
      <c r="X289" s="656">
        <f>+VLOOKUP($L289,Data_Validation!$A:$F,6,0)</f>
        <v>0</v>
      </c>
    </row>
    <row r="290" spans="1:24" ht="15" hidden="1" customHeight="1">
      <c r="A290" s="1213" t="s">
        <v>1168</v>
      </c>
      <c r="B290" s="1213" t="s">
        <v>2257</v>
      </c>
      <c r="C290" s="1215">
        <v>-103950</v>
      </c>
      <c r="D290" s="1215">
        <v>-5850</v>
      </c>
      <c r="E290" s="1215">
        <v>-109800</v>
      </c>
      <c r="F290" s="1213" t="s">
        <v>1154</v>
      </c>
      <c r="G290" s="1213" t="s">
        <v>1167</v>
      </c>
      <c r="H290" s="651"/>
      <c r="I290" s="652"/>
      <c r="J290" s="652"/>
      <c r="K290" s="652"/>
      <c r="L290" s="653" t="str">
        <f t="shared" si="176"/>
        <v>6115</v>
      </c>
      <c r="M290" s="654" t="str">
        <f t="shared" si="177"/>
        <v>CREDIT PUBLICITE NEUF</v>
      </c>
      <c r="N290" s="655">
        <f>+IF(OR($Q290=Parametres!$G$2,$Q290=Parametres!$G$3),I290,C290)</f>
        <v>-103950</v>
      </c>
      <c r="O290" s="655">
        <f>+IF(OR($Q290=Parametres!$G$2,$Q290=Parametres!$G$3),J290,D290)</f>
        <v>-5850</v>
      </c>
      <c r="P290" s="655">
        <f>+IF(OR($Q290=Parametres!$G$2,$Q290=Parametres!$G$3),K290,E290)</f>
        <v>-109800</v>
      </c>
      <c r="Q290" s="654" t="str">
        <f t="shared" si="178"/>
        <v>7-Dépenses</v>
      </c>
      <c r="R290" s="653" t="str">
        <f t="shared" si="179"/>
        <v>6114</v>
      </c>
      <c r="S290" s="654">
        <f t="shared" si="180"/>
        <v>0</v>
      </c>
      <c r="T290" s="656" t="str">
        <f>+VLOOKUP($L290,Data_Validation!$A:$D,1,0)</f>
        <v>6115</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hidden="1" customHeight="1">
      <c r="A291" s="1213" t="s">
        <v>1169</v>
      </c>
      <c r="B291" s="1213" t="s">
        <v>1170</v>
      </c>
      <c r="C291" s="1215">
        <v>79106.16</v>
      </c>
      <c r="D291" s="1215">
        <v>5150.68</v>
      </c>
      <c r="E291" s="1215">
        <v>84256.84</v>
      </c>
      <c r="F291" s="1213" t="s">
        <v>1154</v>
      </c>
      <c r="G291" s="1213" t="s">
        <v>1170</v>
      </c>
      <c r="H291" s="651"/>
      <c r="I291" s="651"/>
      <c r="J291" s="651"/>
      <c r="K291" s="670"/>
      <c r="L291" s="653" t="str">
        <f t="shared" si="176"/>
        <v>6121</v>
      </c>
      <c r="M291" s="654" t="str">
        <f t="shared" si="177"/>
        <v>SALAIRES - PROPRIETAIRES</v>
      </c>
      <c r="N291" s="655">
        <f>+IF(OR($Q291=Parametres!$G$2,$Q291=Parametres!$G$3),I291,C291)</f>
        <v>79106.16</v>
      </c>
      <c r="O291" s="659">
        <f>+IF(OR($Q291=Parametres!$G$2,$Q291=Parametres!$G$3),J291,D291)</f>
        <v>5150.68</v>
      </c>
      <c r="P291" s="655">
        <f>+IF(OR($Q291=Parametres!$G$2,$Q291=Parametres!$G$3),K291,E291)</f>
        <v>84256.84</v>
      </c>
      <c r="Q291" s="654" t="str">
        <f t="shared" si="178"/>
        <v>7-Dépenses</v>
      </c>
      <c r="R291" s="653" t="str">
        <f t="shared" si="179"/>
        <v>6121</v>
      </c>
      <c r="S291" s="654">
        <f t="shared" si="180"/>
        <v>0</v>
      </c>
      <c r="T291" s="656" t="str">
        <f>+VLOOKUP($L291,Data_Validation!$A:$D,1,0)</f>
        <v>6121</v>
      </c>
      <c r="U291" s="656" t="str">
        <f>+VLOOKUP($L291,Data_Validation!$A:$D,3,0)</f>
        <v>Véhicules neufs</v>
      </c>
      <c r="V291" s="656" t="str">
        <f>+VLOOKUP($L291,Data_Validation!$A:$D,4,0)</f>
        <v>Salaires propriétaire</v>
      </c>
      <c r="W291" s="656" t="str">
        <f>+VLOOKUP($L291,Data_Validation!$A:$E,5,0)</f>
        <v>$</v>
      </c>
      <c r="X291" s="656">
        <f>+VLOOKUP($L291,Data_Validation!$A:$F,6,0)</f>
        <v>0</v>
      </c>
    </row>
    <row r="292" spans="1:24" ht="15" hidden="1" customHeight="1">
      <c r="A292" s="1213" t="s">
        <v>1171</v>
      </c>
      <c r="B292" s="1213" t="s">
        <v>1172</v>
      </c>
      <c r="C292" s="1215">
        <v>176711.26</v>
      </c>
      <c r="D292" s="1215">
        <v>15924.97</v>
      </c>
      <c r="E292" s="1215">
        <v>192636.23</v>
      </c>
      <c r="F292" s="1213" t="s">
        <v>1154</v>
      </c>
      <c r="G292" s="1213" t="s">
        <v>1172</v>
      </c>
      <c r="H292" s="651"/>
      <c r="I292" s="652"/>
      <c r="J292" s="652"/>
      <c r="K292" s="652"/>
      <c r="L292" s="653" t="str">
        <f t="shared" si="176"/>
        <v>6122</v>
      </c>
      <c r="M292" s="654" t="str">
        <f t="shared" si="177"/>
        <v>SAL SUPERVISION / GERANT</v>
      </c>
      <c r="N292" s="655">
        <f>+IF(OR($Q292=Parametres!$G$2,$Q292=Parametres!$G$3),I292,C292)</f>
        <v>176711.26</v>
      </c>
      <c r="O292" s="655">
        <f>+IF(OR($Q292=Parametres!$G$2,$Q292=Parametres!$G$3),J292,D292)</f>
        <v>15924.97</v>
      </c>
      <c r="P292" s="655">
        <f>+IF(OR($Q292=Parametres!$G$2,$Q292=Parametres!$G$3),K292,E292)</f>
        <v>192636.23</v>
      </c>
      <c r="Q292" s="654" t="str">
        <f t="shared" si="178"/>
        <v>7-Dépenses</v>
      </c>
      <c r="R292" s="653" t="str">
        <f t="shared" si="179"/>
        <v>6122</v>
      </c>
      <c r="S292" s="654">
        <f t="shared" si="180"/>
        <v>0</v>
      </c>
      <c r="T292" s="656" t="str">
        <f>+VLOOKUP($L292,Data_Validation!$A:$D,1,0)</f>
        <v>6122</v>
      </c>
      <c r="U292" s="656" t="str">
        <f>+VLOOKUP($L292,Data_Validation!$A:$D,3,0)</f>
        <v>Véhicules neufs</v>
      </c>
      <c r="V292" s="656" t="str">
        <f>+VLOOKUP($L292,Data_Validation!$A:$D,4,0)</f>
        <v>Salaires cadres</v>
      </c>
      <c r="W292" s="656" t="str">
        <f>+VLOOKUP($L292,Data_Validation!$A:$E,5,0)</f>
        <v>$</v>
      </c>
      <c r="X292" s="656">
        <f>+VLOOKUP($L292,Data_Validation!$A:$F,6,0)</f>
        <v>0</v>
      </c>
    </row>
    <row r="293" spans="1:24" ht="15" hidden="1" customHeight="1">
      <c r="A293" s="1213" t="s">
        <v>1173</v>
      </c>
      <c r="B293" s="1213" t="s">
        <v>1174</v>
      </c>
      <c r="C293" s="1215">
        <v>110797.81</v>
      </c>
      <c r="D293" s="1215">
        <v>8412.6</v>
      </c>
      <c r="E293" s="1215">
        <v>119210.41</v>
      </c>
      <c r="F293" s="1213" t="s">
        <v>1154</v>
      </c>
      <c r="G293" s="1213" t="s">
        <v>1174</v>
      </c>
      <c r="H293" s="651"/>
      <c r="I293" s="651"/>
      <c r="J293" s="651"/>
      <c r="K293" s="651"/>
      <c r="L293" s="653" t="str">
        <f t="shared" si="176"/>
        <v>6123</v>
      </c>
      <c r="M293" s="654" t="str">
        <f t="shared" si="177"/>
        <v>SAL. &amp; RENUM. - CLERICAL</v>
      </c>
      <c r="N293" s="655">
        <f>+IF(OR($Q293=Parametres!$G$2,$Q293=Parametres!$G$3),I293,C293)</f>
        <v>110797.81</v>
      </c>
      <c r="O293" s="655">
        <f>+IF(OR($Q293=Parametres!$G$2,$Q293=Parametres!$G$3),J293,D293)</f>
        <v>8412.6</v>
      </c>
      <c r="P293" s="655">
        <f>+IF(OR($Q293=Parametres!$G$2,$Q293=Parametres!$G$3),K293,E293)</f>
        <v>119210.41</v>
      </c>
      <c r="Q293" s="654" t="str">
        <f t="shared" si="178"/>
        <v>7-Dépenses</v>
      </c>
      <c r="R293" s="653" t="str">
        <f t="shared" si="179"/>
        <v>6123</v>
      </c>
      <c r="S293" s="654">
        <f t="shared" si="180"/>
        <v>0</v>
      </c>
      <c r="T293" s="656" t="str">
        <f>+VLOOKUP($L293,Data_Validation!$A:$D,1,0)</f>
        <v>6123</v>
      </c>
      <c r="U293" s="656" t="str">
        <f>+VLOOKUP($L293,Data_Validation!$A:$D,3,0)</f>
        <v>Véhicules neufs</v>
      </c>
      <c r="V293" s="656" t="str">
        <f>+VLOOKUP($L293,Data_Validation!$A:$D,4,0)</f>
        <v>Salaires commis</v>
      </c>
      <c r="W293" s="656" t="str">
        <f>+VLOOKUP($L293,Data_Validation!$A:$E,5,0)</f>
        <v>$</v>
      </c>
      <c r="X293" s="656">
        <f>+VLOOKUP($L293,Data_Validation!$A:$F,6,0)</f>
        <v>0</v>
      </c>
    </row>
    <row r="294" spans="1:24" ht="15" hidden="1" customHeight="1">
      <c r="A294" s="1213" t="s">
        <v>1175</v>
      </c>
      <c r="B294" s="1213" t="s">
        <v>1176</v>
      </c>
      <c r="C294" s="1215">
        <v>38630.519999999997</v>
      </c>
      <c r="D294" s="1215">
        <v>2835.6</v>
      </c>
      <c r="E294" s="1215">
        <v>41466.120000000003</v>
      </c>
      <c r="F294" s="1213" t="s">
        <v>1154</v>
      </c>
      <c r="G294" s="1213" t="s">
        <v>1176</v>
      </c>
      <c r="H294" s="651"/>
      <c r="I294" s="651"/>
      <c r="J294" s="651"/>
      <c r="K294" s="651"/>
      <c r="L294" s="653" t="str">
        <f t="shared" si="176"/>
        <v>6124</v>
      </c>
      <c r="M294" s="654" t="str">
        <f t="shared" si="177"/>
        <v>SALAIRES &amp; RENUM. - AUTRES</v>
      </c>
      <c r="N294" s="655">
        <f>+IF(OR($Q294=Parametres!$G$2,$Q294=Parametres!$G$3),I294,C294)</f>
        <v>38630.519999999997</v>
      </c>
      <c r="O294" s="655">
        <f>+IF(OR($Q294=Parametres!$G$2,$Q294=Parametres!$G$3),J294,D294)</f>
        <v>2835.6</v>
      </c>
      <c r="P294" s="655">
        <f>+IF(OR($Q294=Parametres!$G$2,$Q294=Parametres!$G$3),K294,E294)</f>
        <v>41466.120000000003</v>
      </c>
      <c r="Q294" s="654" t="str">
        <f t="shared" si="178"/>
        <v>7-Dépenses</v>
      </c>
      <c r="R294" s="653" t="str">
        <f t="shared" si="179"/>
        <v>6124</v>
      </c>
      <c r="S294" s="654">
        <f t="shared" si="180"/>
        <v>0</v>
      </c>
      <c r="T294" s="656" t="str">
        <f>+VLOOKUP($L294,Data_Validation!$A:$D,1,0)</f>
        <v>6124</v>
      </c>
      <c r="U294" s="656" t="str">
        <f>+VLOOKUP($L294,Data_Validation!$A:$D,3,0)</f>
        <v>Véhicules neufs</v>
      </c>
      <c r="V294" s="656" t="str">
        <f>+VLOOKUP($L294,Data_Validation!$A:$D,4,0)</f>
        <v>Salaires autres</v>
      </c>
      <c r="W294" s="656" t="str">
        <f>+VLOOKUP($L294,Data_Validation!$A:$E,5,0)</f>
        <v>$</v>
      </c>
      <c r="X294" s="656">
        <f>+VLOOKUP($L294,Data_Validation!$A:$F,6,0)</f>
        <v>0</v>
      </c>
    </row>
    <row r="295" spans="1:24" ht="15" hidden="1" customHeight="1">
      <c r="A295" s="1213" t="s">
        <v>1177</v>
      </c>
      <c r="B295" s="1213" t="s">
        <v>1178</v>
      </c>
      <c r="C295" s="1215">
        <v>121183.17</v>
      </c>
      <c r="D295" s="1215">
        <v>9362.32</v>
      </c>
      <c r="E295" s="1215">
        <v>130545.49</v>
      </c>
      <c r="F295" s="1213" t="s">
        <v>1154</v>
      </c>
      <c r="G295" s="1213" t="s">
        <v>1178</v>
      </c>
      <c r="H295" s="650"/>
      <c r="I295" s="663"/>
      <c r="J295" s="663"/>
      <c r="K295" s="663"/>
      <c r="L295" s="653" t="str">
        <f t="shared" si="176"/>
        <v>6129</v>
      </c>
      <c r="M295" s="654" t="str">
        <f t="shared" si="177"/>
        <v>ABS., VACANCE &amp; SAL. JOURS FER</v>
      </c>
      <c r="N295" s="655">
        <f>+IF(OR($Q295=Parametres!$G$2,$Q295=Parametres!$G$3),I295,C295)</f>
        <v>121183.17</v>
      </c>
      <c r="O295" s="655">
        <f>+IF(OR($Q295=Parametres!$G$2,$Q295=Parametres!$G$3),J295,D295)</f>
        <v>9362.32</v>
      </c>
      <c r="P295" s="655">
        <f>+IF(OR($Q295=Parametres!$G$2,$Q295=Parametres!$G$3),K295,E295)</f>
        <v>130545.49</v>
      </c>
      <c r="Q295" s="654" t="str">
        <f t="shared" si="178"/>
        <v>7-Dépenses</v>
      </c>
      <c r="R295" s="653" t="str">
        <f t="shared" si="179"/>
        <v>6129</v>
      </c>
      <c r="S295" s="654">
        <f t="shared" si="180"/>
        <v>0</v>
      </c>
      <c r="T295" s="656" t="str">
        <f>+VLOOKUP($L295,Data_Validation!$A:$D,1,0)</f>
        <v>6129</v>
      </c>
      <c r="U295" s="656" t="str">
        <f>+VLOOKUP($L295,Data_Validation!$A:$D,3,0)</f>
        <v>Véhicules neufs</v>
      </c>
      <c r="V295" s="656" t="str">
        <f>+VLOOKUP($L295,Data_Validation!$A:$D,4,0)</f>
        <v>Salaires en absences</v>
      </c>
      <c r="W295" s="656" t="str">
        <f>+VLOOKUP($L295,Data_Validation!$A:$E,5,0)</f>
        <v>$</v>
      </c>
      <c r="X295" s="656">
        <f>+VLOOKUP($L295,Data_Validation!$A:$F,6,0)</f>
        <v>0</v>
      </c>
    </row>
    <row r="296" spans="1:24" ht="15" hidden="1" customHeight="1">
      <c r="A296" s="1213" t="s">
        <v>1179</v>
      </c>
      <c r="B296" s="1213" t="s">
        <v>1180</v>
      </c>
      <c r="C296" s="1215">
        <v>27852.59</v>
      </c>
      <c r="D296" s="1215">
        <v>2840.64</v>
      </c>
      <c r="E296" s="1215">
        <v>30693.23</v>
      </c>
      <c r="F296" s="1213" t="s">
        <v>1154</v>
      </c>
      <c r="G296" s="1213" t="s">
        <v>1180</v>
      </c>
      <c r="H296" s="651"/>
      <c r="I296" s="652"/>
      <c r="J296" s="652"/>
      <c r="K296" s="652"/>
      <c r="L296" s="653" t="str">
        <f t="shared" si="176"/>
        <v>6131</v>
      </c>
      <c r="M296" s="654" t="str">
        <f t="shared" si="177"/>
        <v>CSST</v>
      </c>
      <c r="N296" s="655">
        <f>+IF(OR($Q296=Parametres!$G$2,$Q296=Parametres!$G$3),I296,C296)</f>
        <v>27852.59</v>
      </c>
      <c r="O296" s="655">
        <f>+IF(OR($Q296=Parametres!$G$2,$Q296=Parametres!$G$3),J296,D296)</f>
        <v>2840.64</v>
      </c>
      <c r="P296" s="655">
        <f>+IF(OR($Q296=Parametres!$G$2,$Q296=Parametres!$G$3),K296,E296)</f>
        <v>30693.23</v>
      </c>
      <c r="Q296" s="654" t="str">
        <f t="shared" si="178"/>
        <v>7-Dépenses</v>
      </c>
      <c r="R296" s="653" t="str">
        <f t="shared" si="179"/>
        <v>6131</v>
      </c>
      <c r="S296" s="654">
        <f t="shared" si="180"/>
        <v>0</v>
      </c>
      <c r="T296" s="656" t="str">
        <f>+VLOOKUP($L296,Data_Validation!$A:$D,1,0)</f>
        <v>6131</v>
      </c>
      <c r="U296" s="656" t="str">
        <f>+VLOOKUP($L296,Data_Validation!$A:$D,3,0)</f>
        <v>Véhicules neufs</v>
      </c>
      <c r="V296" s="656" t="str">
        <f>+VLOOKUP($L296,Data_Validation!$A:$D,4,0)</f>
        <v>Csst</v>
      </c>
      <c r="W296" s="656" t="str">
        <f>+VLOOKUP($L296,Data_Validation!$A:$E,5,0)</f>
        <v>$</v>
      </c>
      <c r="X296" s="656">
        <f>+VLOOKUP($L296,Data_Validation!$A:$F,6,0)</f>
        <v>0</v>
      </c>
    </row>
    <row r="297" spans="1:24" ht="15.75" hidden="1" customHeight="1">
      <c r="A297" s="1213" t="s">
        <v>1181</v>
      </c>
      <c r="B297" s="1213" t="s">
        <v>1182</v>
      </c>
      <c r="C297" s="1215">
        <v>164394.35</v>
      </c>
      <c r="D297" s="1215">
        <v>11260.94</v>
      </c>
      <c r="E297" s="1215">
        <v>175655.29</v>
      </c>
      <c r="F297" s="1213" t="s">
        <v>1154</v>
      </c>
      <c r="G297" s="1213" t="s">
        <v>1182</v>
      </c>
      <c r="H297" s="650"/>
      <c r="I297" s="663"/>
      <c r="J297" s="663"/>
      <c r="K297" s="663"/>
      <c r="L297" s="653" t="str">
        <f t="shared" si="176"/>
        <v>6132</v>
      </c>
      <c r="M297" s="654" t="str">
        <f t="shared" si="177"/>
        <v>RRQ RAMQ AC</v>
      </c>
      <c r="N297" s="655">
        <f>+IF(OR($Q297=Parametres!$G$2,$Q297=Parametres!$G$3),I297,C297)</f>
        <v>164394.35</v>
      </c>
      <c r="O297" s="655">
        <f>+IF(OR($Q297=Parametres!$G$2,$Q297=Parametres!$G$3),J297,D297)</f>
        <v>11260.94</v>
      </c>
      <c r="P297" s="655">
        <f>+IF(OR($Q297=Parametres!$G$2,$Q297=Parametres!$G$3),K297,E297)</f>
        <v>175655.29</v>
      </c>
      <c r="Q297" s="654" t="str">
        <f t="shared" si="178"/>
        <v>7-Dépenses</v>
      </c>
      <c r="R297" s="653" t="str">
        <f t="shared" si="179"/>
        <v>6132</v>
      </c>
      <c r="S297" s="654">
        <f t="shared" si="180"/>
        <v>0</v>
      </c>
      <c r="T297" s="656" t="str">
        <f>+VLOOKUP($L297,Data_Validation!$A:$D,1,0)</f>
        <v>6132</v>
      </c>
      <c r="U297" s="656" t="str">
        <f>+VLOOKUP($L297,Data_Validation!$A:$D,3,0)</f>
        <v>Véhicules neufs</v>
      </c>
      <c r="V297" s="656" t="str">
        <f>+VLOOKUP($L297,Data_Validation!$A:$D,4,0)</f>
        <v>Déduction à la source</v>
      </c>
      <c r="W297" s="656" t="str">
        <f>+VLOOKUP($L297,Data_Validation!$A:$E,5,0)</f>
        <v>$</v>
      </c>
      <c r="X297" s="656">
        <f>+VLOOKUP($L297,Data_Validation!$A:$F,6,0)</f>
        <v>0</v>
      </c>
    </row>
    <row r="298" spans="1:24" ht="15" hidden="1" customHeight="1">
      <c r="A298" s="1213" t="s">
        <v>1183</v>
      </c>
      <c r="B298" s="1213" t="s">
        <v>1184</v>
      </c>
      <c r="C298" s="1215">
        <v>46993.8</v>
      </c>
      <c r="D298" s="1215">
        <v>1391.83</v>
      </c>
      <c r="E298" s="1215">
        <v>48385.63</v>
      </c>
      <c r="F298" s="1213" t="s">
        <v>1154</v>
      </c>
      <c r="G298" s="1213" t="s">
        <v>1184</v>
      </c>
      <c r="H298" s="651"/>
      <c r="I298" s="651"/>
      <c r="J298" s="651"/>
      <c r="K298" s="651"/>
      <c r="L298" s="653" t="str">
        <f t="shared" si="176"/>
        <v>6133</v>
      </c>
      <c r="M298" s="654" t="str">
        <f t="shared" si="177"/>
        <v>FOND PENSION - NEUF</v>
      </c>
      <c r="N298" s="655">
        <f>+IF(OR($Q298=Parametres!$G$2,$Q298=Parametres!$G$3),I298,C298)</f>
        <v>46993.8</v>
      </c>
      <c r="O298" s="655">
        <f>+IF(OR($Q298=Parametres!$G$2,$Q298=Parametres!$G$3),J298,D298)</f>
        <v>1391.83</v>
      </c>
      <c r="P298" s="655">
        <f>+IF(OR($Q298=Parametres!$G$2,$Q298=Parametres!$G$3),K298,E298)</f>
        <v>48385.63</v>
      </c>
      <c r="Q298" s="654" t="str">
        <f t="shared" si="178"/>
        <v>7-Dépenses</v>
      </c>
      <c r="R298" s="653" t="str">
        <f t="shared" si="179"/>
        <v>6133</v>
      </c>
      <c r="S298" s="654">
        <f t="shared" si="180"/>
        <v>0</v>
      </c>
      <c r="T298" s="656" t="str">
        <f>+VLOOKUP($L298,Data_Validation!$A:$D,1,0)</f>
        <v>6133</v>
      </c>
      <c r="U298" s="656" t="str">
        <f>+VLOOKUP($L298,Data_Validation!$A:$D,3,0)</f>
        <v>Véhicules neufs</v>
      </c>
      <c r="V298" s="656" t="str">
        <f>+VLOOKUP($L298,Data_Validation!$A:$D,4,0)</f>
        <v>Bénéfices marginaux</v>
      </c>
      <c r="W298" s="656" t="str">
        <f>+VLOOKUP($L298,Data_Validation!$A:$E,5,0)</f>
        <v>$</v>
      </c>
      <c r="X298" s="656">
        <f>+VLOOKUP($L298,Data_Validation!$A:$F,6,0)</f>
        <v>0</v>
      </c>
    </row>
    <row r="299" spans="1:24" ht="15" hidden="1" customHeight="1">
      <c r="A299" s="1213" t="s">
        <v>1185</v>
      </c>
      <c r="B299" s="1213" t="s">
        <v>1186</v>
      </c>
      <c r="C299" s="1215">
        <v>24369.33</v>
      </c>
      <c r="D299" s="1215">
        <v>2790.57</v>
      </c>
      <c r="E299" s="1215">
        <v>27159.9</v>
      </c>
      <c r="F299" s="1213" t="s">
        <v>1154</v>
      </c>
      <c r="G299" s="1213" t="s">
        <v>1186</v>
      </c>
      <c r="H299" s="651"/>
      <c r="I299" s="651"/>
      <c r="J299" s="651"/>
      <c r="K299" s="651"/>
      <c r="L299" s="653" t="str">
        <f t="shared" si="176"/>
        <v>6139</v>
      </c>
      <c r="M299" s="654" t="str">
        <f t="shared" si="177"/>
        <v>ASSURANCE GROUPS</v>
      </c>
      <c r="N299" s="655">
        <f>+IF(OR($Q299=Parametres!$G$2,$Q299=Parametres!$G$3),I299,C299)</f>
        <v>24369.33</v>
      </c>
      <c r="O299" s="655">
        <f>+IF(OR($Q299=Parametres!$G$2,$Q299=Parametres!$G$3),J299,D299)</f>
        <v>2790.57</v>
      </c>
      <c r="P299" s="655">
        <f>+IF(OR($Q299=Parametres!$G$2,$Q299=Parametres!$G$3),K299,E299)</f>
        <v>27159.9</v>
      </c>
      <c r="Q299" s="654" t="str">
        <f t="shared" si="178"/>
        <v>7-Dépenses</v>
      </c>
      <c r="R299" s="653" t="str">
        <f t="shared" si="179"/>
        <v>6139</v>
      </c>
      <c r="S299" s="654">
        <f t="shared" si="180"/>
        <v>0</v>
      </c>
      <c r="T299" s="656" t="str">
        <f>+VLOOKUP($L299,Data_Validation!$A:$D,1,0)</f>
        <v>6139</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hidden="1" customHeight="1">
      <c r="A300" s="1213" t="s">
        <v>1187</v>
      </c>
      <c r="B300" s="1213" t="s">
        <v>1188</v>
      </c>
      <c r="C300" s="1215">
        <v>696.89</v>
      </c>
      <c r="D300" s="1215">
        <v>176.44</v>
      </c>
      <c r="E300" s="1215">
        <v>873.33</v>
      </c>
      <c r="F300" s="1213" t="s">
        <v>1154</v>
      </c>
      <c r="G300" s="1213" t="s">
        <v>1188</v>
      </c>
      <c r="H300" s="651"/>
      <c r="I300" s="651"/>
      <c r="J300" s="651"/>
      <c r="K300" s="670"/>
      <c r="L300" s="653" t="str">
        <f t="shared" si="176"/>
        <v>6142</v>
      </c>
      <c r="M300" s="654" t="str">
        <f t="shared" si="177"/>
        <v>FOURNITURES &amp; PETITS OUTILS</v>
      </c>
      <c r="N300" s="655">
        <f>+IF(OR($Q300=Parametres!$G$2,$Q300=Parametres!$G$3),I300,C300)</f>
        <v>696.89</v>
      </c>
      <c r="O300" s="655">
        <f>+IF(OR($Q300=Parametres!$G$2,$Q300=Parametres!$G$3),J300,D300)</f>
        <v>176.44</v>
      </c>
      <c r="P300" s="655">
        <f>+IF(OR($Q300=Parametres!$G$2,$Q300=Parametres!$G$3),K300,E300)</f>
        <v>873.33</v>
      </c>
      <c r="Q300" s="654" t="str">
        <f t="shared" si="178"/>
        <v>7-Dépenses</v>
      </c>
      <c r="R300" s="653" t="str">
        <f t="shared" si="179"/>
        <v>6142</v>
      </c>
      <c r="S300" s="654">
        <f t="shared" si="180"/>
        <v>0</v>
      </c>
      <c r="T300" s="656" t="str">
        <f>+VLOOKUP($L300,Data_Validation!$A:$D,1,0)</f>
        <v>6142</v>
      </c>
      <c r="U300" s="656" t="str">
        <f>+VLOOKUP($L300,Data_Validation!$A:$D,3,0)</f>
        <v>Véhicules neufs</v>
      </c>
      <c r="V300" s="656" t="str">
        <f>+VLOOKUP($L300,Data_Validation!$A:$D,4,0)</f>
        <v>Fournitures autres</v>
      </c>
      <c r="W300" s="656" t="str">
        <f>+VLOOKUP($L300,Data_Validation!$A:$E,5,0)</f>
        <v>$</v>
      </c>
      <c r="X300" s="656">
        <f>+VLOOKUP($L300,Data_Validation!$A:$F,6,0)</f>
        <v>0</v>
      </c>
    </row>
    <row r="301" spans="1:24" ht="15.75" hidden="1" customHeight="1">
      <c r="A301" s="1213" t="s">
        <v>1189</v>
      </c>
      <c r="B301" s="1213" t="s">
        <v>1190</v>
      </c>
      <c r="C301" s="1215">
        <v>434.88</v>
      </c>
      <c r="D301" s="1215">
        <v>0</v>
      </c>
      <c r="E301" s="1215">
        <v>434.88</v>
      </c>
      <c r="F301" s="1213" t="s">
        <v>1154</v>
      </c>
      <c r="G301" s="1213" t="s">
        <v>1190</v>
      </c>
      <c r="H301" s="651"/>
      <c r="I301" s="652"/>
      <c r="J301" s="652"/>
      <c r="K301" s="652"/>
      <c r="L301" s="653" t="str">
        <f t="shared" si="176"/>
        <v>6143</v>
      </c>
      <c r="M301" s="654" t="str">
        <f t="shared" si="177"/>
        <v>UNIFORMES &amp; LESSIVE</v>
      </c>
      <c r="N301" s="655">
        <f>+IF(OR($Q301=Parametres!$G$2,$Q301=Parametres!$G$3),I301,C301)</f>
        <v>434.88</v>
      </c>
      <c r="O301" s="655">
        <f>+IF(OR($Q301=Parametres!$G$2,$Q301=Parametres!$G$3),J301,D301)</f>
        <v>0</v>
      </c>
      <c r="P301" s="655">
        <f>+IF(OR($Q301=Parametres!$G$2,$Q301=Parametres!$G$3),K301,E301)</f>
        <v>434.88</v>
      </c>
      <c r="Q301" s="654" t="str">
        <f t="shared" si="178"/>
        <v>7-Dépenses</v>
      </c>
      <c r="R301" s="653" t="str">
        <f t="shared" si="179"/>
        <v>6143</v>
      </c>
      <c r="S301" s="654">
        <f t="shared" si="180"/>
        <v>0</v>
      </c>
      <c r="T301" s="656" t="str">
        <f>+VLOOKUP($L301,Data_Validation!$A:$D,1,0)</f>
        <v>6143</v>
      </c>
      <c r="U301" s="656" t="str">
        <f>+VLOOKUP($L301,Data_Validation!$A:$D,3,0)</f>
        <v>Véhicules neufs</v>
      </c>
      <c r="V301" s="656" t="str">
        <f>+VLOOKUP($L301,Data_Validation!$A:$D,4,0)</f>
        <v>Uniformes</v>
      </c>
      <c r="W301" s="656" t="str">
        <f>+VLOOKUP($L301,Data_Validation!$A:$E,5,0)</f>
        <v>$</v>
      </c>
      <c r="X301" s="656">
        <f>+VLOOKUP($L301,Data_Validation!$A:$F,6,0)</f>
        <v>0</v>
      </c>
    </row>
    <row r="302" spans="1:24" ht="15" hidden="1" customHeight="1">
      <c r="A302" s="1213" t="s">
        <v>1191</v>
      </c>
      <c r="B302" s="1213" t="s">
        <v>1192</v>
      </c>
      <c r="C302" s="1215">
        <v>21992.68</v>
      </c>
      <c r="D302" s="1215">
        <v>102.08</v>
      </c>
      <c r="E302" s="1215">
        <v>22094.76</v>
      </c>
      <c r="F302" s="1213" t="s">
        <v>1154</v>
      </c>
      <c r="G302" s="1213" t="s">
        <v>1192</v>
      </c>
      <c r="H302" s="650"/>
      <c r="I302" s="663"/>
      <c r="J302" s="663"/>
      <c r="K302" s="663"/>
      <c r="L302" s="653" t="str">
        <f t="shared" si="176"/>
        <v>6144</v>
      </c>
      <c r="M302" s="654" t="str">
        <f t="shared" si="177"/>
        <v>FORMATION</v>
      </c>
      <c r="N302" s="655">
        <f>+IF(OR($Q302=Parametres!$G$2,$Q302=Parametres!$G$3),I302,C302)</f>
        <v>21992.68</v>
      </c>
      <c r="O302" s="655">
        <f>+IF(OR($Q302=Parametres!$G$2,$Q302=Parametres!$G$3),J302,D302)</f>
        <v>102.08</v>
      </c>
      <c r="P302" s="655">
        <f>+IF(OR($Q302=Parametres!$G$2,$Q302=Parametres!$G$3),K302,E302)</f>
        <v>22094.76</v>
      </c>
      <c r="Q302" s="654" t="str">
        <f t="shared" si="178"/>
        <v>7-Dépenses</v>
      </c>
      <c r="R302" s="653" t="str">
        <f t="shared" si="179"/>
        <v>6144</v>
      </c>
      <c r="S302" s="654">
        <f t="shared" si="180"/>
        <v>0</v>
      </c>
      <c r="T302" s="656" t="str">
        <f>+VLOOKUP($L302,Data_Validation!$A:$D,1,0)</f>
        <v>6144</v>
      </c>
      <c r="U302" s="656" t="str">
        <f>+VLOOKUP($L302,Data_Validation!$A:$D,3,0)</f>
        <v>Véhicules neufs</v>
      </c>
      <c r="V302" s="656" t="str">
        <f>+VLOOKUP($L302,Data_Validation!$A:$D,4,0)</f>
        <v>Formation</v>
      </c>
      <c r="W302" s="656" t="str">
        <f>+VLOOKUP($L302,Data_Validation!$A:$E,5,0)</f>
        <v>$</v>
      </c>
      <c r="X302" s="656">
        <f>+VLOOKUP($L302,Data_Validation!$A:$F,6,0)</f>
        <v>0</v>
      </c>
    </row>
    <row r="303" spans="1:24" ht="15" hidden="1" customHeight="1">
      <c r="A303" s="1213" t="s">
        <v>1193</v>
      </c>
      <c r="B303" s="1213" t="s">
        <v>1194</v>
      </c>
      <c r="C303" s="1215">
        <v>93752.61</v>
      </c>
      <c r="D303" s="1215">
        <v>12087.7</v>
      </c>
      <c r="E303" s="1215">
        <v>105840.31</v>
      </c>
      <c r="F303" s="1213" t="s">
        <v>1154</v>
      </c>
      <c r="G303" s="1213" t="s">
        <v>1194</v>
      </c>
      <c r="H303" s="650"/>
      <c r="I303" s="652"/>
      <c r="J303" s="652"/>
      <c r="K303" s="652"/>
      <c r="L303" s="653" t="str">
        <f t="shared" si="176"/>
        <v>6145</v>
      </c>
      <c r="M303" s="654" t="str">
        <f t="shared" si="177"/>
        <v>VEHICULE DE COMPAGNIE - DEPENS</v>
      </c>
      <c r="N303" s="655">
        <f>+IF(OR($Q303=Parametres!$G$2,$Q303=Parametres!$G$3),I303,C303)</f>
        <v>93752.61</v>
      </c>
      <c r="O303" s="655">
        <f>+IF(OR($Q303=Parametres!$G$2,$Q303=Parametres!$G$3),J303,D303)</f>
        <v>12087.7</v>
      </c>
      <c r="P303" s="655">
        <f>+IF(OR($Q303=Parametres!$G$2,$Q303=Parametres!$G$3),K303,E303)</f>
        <v>105840.31</v>
      </c>
      <c r="Q303" s="654" t="str">
        <f t="shared" si="178"/>
        <v>7-Dépenses</v>
      </c>
      <c r="R303" s="653" t="str">
        <f t="shared" si="179"/>
        <v>6145</v>
      </c>
      <c r="S303" s="654">
        <f t="shared" si="180"/>
        <v>0</v>
      </c>
      <c r="T303" s="656" t="str">
        <f>+VLOOKUP($L303,Data_Validation!$A:$D,1,0)</f>
        <v>6145</v>
      </c>
      <c r="U303" s="656" t="str">
        <f>+VLOOKUP($L303,Data_Validation!$A:$D,3,0)</f>
        <v>Véhicules neufs</v>
      </c>
      <c r="V303" s="656" t="str">
        <f>+VLOOKUP($L303,Data_Validation!$A:$D,4,0)</f>
        <v>Frais véhicules de cie</v>
      </c>
      <c r="W303" s="656" t="str">
        <f>+VLOOKUP($L303,Data_Validation!$A:$E,5,0)</f>
        <v>$</v>
      </c>
      <c r="X303" s="656">
        <f>+VLOOKUP($L303,Data_Validation!$A:$F,6,0)</f>
        <v>0</v>
      </c>
    </row>
    <row r="304" spans="1:24" ht="15" hidden="1" customHeight="1">
      <c r="A304" s="1213" t="s">
        <v>1195</v>
      </c>
      <c r="B304" s="1213" t="s">
        <v>1196</v>
      </c>
      <c r="C304" s="1215">
        <v>863.33</v>
      </c>
      <c r="D304" s="1215">
        <v>32.96</v>
      </c>
      <c r="E304" s="1215">
        <v>896.29</v>
      </c>
      <c r="F304" s="1213" t="s">
        <v>1154</v>
      </c>
      <c r="G304" s="1213" t="s">
        <v>1196</v>
      </c>
      <c r="H304" s="650"/>
      <c r="I304" s="652"/>
      <c r="J304" s="652"/>
      <c r="K304" s="652"/>
      <c r="L304" s="653" t="str">
        <f t="shared" si="176"/>
        <v>6147</v>
      </c>
      <c r="M304" s="654" t="str">
        <f t="shared" si="177"/>
        <v>FRET/EXPRESS/TRANS. PAR CAMION</v>
      </c>
      <c r="N304" s="655">
        <f>+IF(OR($Q304=Parametres!$G$2,$Q304=Parametres!$G$3),I304,C304)</f>
        <v>863.33</v>
      </c>
      <c r="O304" s="655">
        <f>+IF(OR($Q304=Parametres!$G$2,$Q304=Parametres!$G$3),J304,D304)</f>
        <v>32.96</v>
      </c>
      <c r="P304" s="655">
        <f>+IF(OR($Q304=Parametres!$G$2,$Q304=Parametres!$G$3),K304,E304)</f>
        <v>896.29</v>
      </c>
      <c r="Q304" s="654" t="str">
        <f t="shared" si="178"/>
        <v>7-Dépenses</v>
      </c>
      <c r="R304" s="653" t="str">
        <f t="shared" si="179"/>
        <v>6147</v>
      </c>
      <c r="S304" s="654">
        <f t="shared" si="180"/>
        <v>0</v>
      </c>
      <c r="T304" s="656" t="str">
        <f>+VLOOKUP($L304,Data_Validation!$A:$D,1,0)</f>
        <v>6147</v>
      </c>
      <c r="U304" s="656" t="str">
        <f>+VLOOKUP($L304,Data_Validation!$A:$D,3,0)</f>
        <v>Véhicules neufs</v>
      </c>
      <c r="V304" s="656" t="str">
        <f>+VLOOKUP($L304,Data_Validation!$A:$D,4,0)</f>
        <v>Frais postaux</v>
      </c>
      <c r="W304" s="656" t="str">
        <f>+VLOOKUP($L304,Data_Validation!$A:$E,5,0)</f>
        <v>$</v>
      </c>
      <c r="X304" s="656">
        <f>+VLOOKUP($L304,Data_Validation!$A:$F,6,0)</f>
        <v>0</v>
      </c>
    </row>
    <row r="305" spans="1:24" ht="15.75" hidden="1" customHeight="1">
      <c r="A305" s="1213" t="s">
        <v>1197</v>
      </c>
      <c r="B305" s="1213" t="s">
        <v>1198</v>
      </c>
      <c r="C305" s="1215">
        <v>80057.259999999995</v>
      </c>
      <c r="D305" s="1215">
        <v>8179.98</v>
      </c>
      <c r="E305" s="1215">
        <v>88237.24</v>
      </c>
      <c r="F305" s="1213" t="s">
        <v>1154</v>
      </c>
      <c r="G305" s="1213" t="s">
        <v>1198</v>
      </c>
      <c r="H305" s="650"/>
      <c r="I305" s="663"/>
      <c r="J305" s="663"/>
      <c r="K305" s="663"/>
      <c r="L305" s="653" t="str">
        <f t="shared" si="176"/>
        <v>6151</v>
      </c>
      <c r="M305" s="654" t="str">
        <f t="shared" si="177"/>
        <v>DEP. DU TRAITEMENT DES DONNEES</v>
      </c>
      <c r="N305" s="655">
        <f>+IF(OR($Q305=Parametres!$G$2,$Q305=Parametres!$G$3),I305,C305)</f>
        <v>80057.259999999995</v>
      </c>
      <c r="O305" s="655">
        <f>+IF(OR($Q305=Parametres!$G$2,$Q305=Parametres!$G$3),J305,D305)</f>
        <v>8179.98</v>
      </c>
      <c r="P305" s="655">
        <f>+IF(OR($Q305=Parametres!$G$2,$Q305=Parametres!$G$3),K305,E305)</f>
        <v>88237.24</v>
      </c>
      <c r="Q305" s="654" t="str">
        <f t="shared" si="178"/>
        <v>7-Dépenses</v>
      </c>
      <c r="R305" s="653" t="str">
        <f t="shared" si="179"/>
        <v>6151</v>
      </c>
      <c r="S305" s="654">
        <f t="shared" si="180"/>
        <v>0</v>
      </c>
      <c r="T305" s="656" t="str">
        <f>+VLOOKUP($L305,Data_Validation!$A:$D,1,0)</f>
        <v>6151</v>
      </c>
      <c r="U305" s="656" t="str">
        <f>+VLOOKUP($L305,Data_Validation!$A:$D,3,0)</f>
        <v>Véhicules neufs</v>
      </c>
      <c r="V305" s="656" t="str">
        <f>+VLOOKUP($L305,Data_Validation!$A:$D,4,0)</f>
        <v>Informatique</v>
      </c>
      <c r="W305" s="656" t="str">
        <f>+VLOOKUP($L305,Data_Validation!$A:$E,5,0)</f>
        <v>$</v>
      </c>
      <c r="X305" s="656">
        <f>+VLOOKUP($L305,Data_Validation!$A:$F,6,0)</f>
        <v>0</v>
      </c>
    </row>
    <row r="306" spans="1:24" ht="15" hidden="1" customHeight="1">
      <c r="A306" s="1213" t="s">
        <v>1199</v>
      </c>
      <c r="B306" s="1213" t="s">
        <v>1200</v>
      </c>
      <c r="C306" s="1215">
        <v>7963.14</v>
      </c>
      <c r="D306" s="1215">
        <v>1062.18</v>
      </c>
      <c r="E306" s="1215">
        <v>9025.32</v>
      </c>
      <c r="F306" s="1213" t="s">
        <v>1154</v>
      </c>
      <c r="G306" s="1213" t="s">
        <v>1200</v>
      </c>
      <c r="H306" s="651"/>
      <c r="I306" s="670"/>
      <c r="J306" s="651"/>
      <c r="K306" s="670"/>
      <c r="L306" s="653" t="str">
        <f t="shared" si="176"/>
        <v>6152</v>
      </c>
      <c r="M306" s="654" t="str">
        <f t="shared" si="177"/>
        <v>PAPETERIE</v>
      </c>
      <c r="N306" s="655">
        <f>+IF(OR($Q306=Parametres!$G$2,$Q306=Parametres!$G$3),I306,C306)</f>
        <v>7963.14</v>
      </c>
      <c r="O306" s="659">
        <f>+IF(OR($Q306=Parametres!$G$2,$Q306=Parametres!$G$3),J306,D306)</f>
        <v>1062.18</v>
      </c>
      <c r="P306" s="655">
        <f>+IF(OR($Q306=Parametres!$G$2,$Q306=Parametres!$G$3),K306,E306)</f>
        <v>9025.32</v>
      </c>
      <c r="Q306" s="654" t="str">
        <f t="shared" si="178"/>
        <v>7-Dépenses</v>
      </c>
      <c r="R306" s="653" t="str">
        <f t="shared" si="179"/>
        <v>6152</v>
      </c>
      <c r="S306" s="654">
        <f t="shared" si="180"/>
        <v>0</v>
      </c>
      <c r="T306" s="656" t="str">
        <f>+VLOOKUP($L306,Data_Validation!$A:$D,1,0)</f>
        <v>6152</v>
      </c>
      <c r="U306" s="656" t="str">
        <f>+VLOOKUP($L306,Data_Validation!$A:$D,3,0)</f>
        <v>Véhicules neufs</v>
      </c>
      <c r="V306" s="656" t="str">
        <f>+VLOOKUP($L306,Data_Validation!$A:$D,4,0)</f>
        <v>Papeterie</v>
      </c>
      <c r="W306" s="656" t="str">
        <f>+VLOOKUP($L306,Data_Validation!$A:$E,5,0)</f>
        <v>$</v>
      </c>
      <c r="X306" s="656">
        <f>+VLOOKUP($L306,Data_Validation!$A:$F,6,0)</f>
        <v>0</v>
      </c>
    </row>
    <row r="307" spans="1:24" ht="15" hidden="1" customHeight="1">
      <c r="A307" s="1213" t="s">
        <v>1201</v>
      </c>
      <c r="B307" s="1213" t="s">
        <v>1202</v>
      </c>
      <c r="C307" s="1215">
        <v>3909.75</v>
      </c>
      <c r="D307" s="1215">
        <v>328.45</v>
      </c>
      <c r="E307" s="1215">
        <v>4238.2</v>
      </c>
      <c r="F307" s="1213" t="s">
        <v>1154</v>
      </c>
      <c r="G307" s="1213" t="s">
        <v>1202</v>
      </c>
      <c r="H307" s="651"/>
      <c r="I307" s="651"/>
      <c r="J307" s="651"/>
      <c r="K307" s="651"/>
      <c r="L307" s="653" t="str">
        <f t="shared" si="176"/>
        <v>6153</v>
      </c>
      <c r="M307" s="654" t="str">
        <f t="shared" si="177"/>
        <v>TELEPHONE ET TELEX</v>
      </c>
      <c r="N307" s="655">
        <f>+IF(OR($Q307=Parametres!$G$2,$Q307=Parametres!$G$3),I307,C307)</f>
        <v>3909.75</v>
      </c>
      <c r="O307" s="659">
        <f>+IF(OR($Q307=Parametres!$G$2,$Q307=Parametres!$G$3),J307,D307)</f>
        <v>328.45</v>
      </c>
      <c r="P307" s="655">
        <f>+IF(OR($Q307=Parametres!$G$2,$Q307=Parametres!$G$3),K307,E307)</f>
        <v>4238.2</v>
      </c>
      <c r="Q307" s="654" t="str">
        <f t="shared" si="178"/>
        <v>7-Dépenses</v>
      </c>
      <c r="R307" s="653" t="str">
        <f t="shared" si="179"/>
        <v>6153</v>
      </c>
      <c r="S307" s="654">
        <f t="shared" si="180"/>
        <v>0</v>
      </c>
      <c r="T307" s="656" t="str">
        <f>+VLOOKUP($L307,Data_Validation!$A:$D,1,0)</f>
        <v>6153</v>
      </c>
      <c r="U307" s="656" t="str">
        <f>+VLOOKUP($L307,Data_Validation!$A:$D,3,0)</f>
        <v>Véhicules neufs</v>
      </c>
      <c r="V307" s="656" t="str">
        <f>+VLOOKUP($L307,Data_Validation!$A:$D,4,0)</f>
        <v>Téléphone</v>
      </c>
      <c r="W307" s="656" t="str">
        <f>+VLOOKUP($L307,Data_Validation!$A:$E,5,0)</f>
        <v>$</v>
      </c>
      <c r="X307" s="656">
        <f>+VLOOKUP($L307,Data_Validation!$A:$F,6,0)</f>
        <v>0</v>
      </c>
    </row>
    <row r="308" spans="1:24" ht="15" hidden="1" customHeight="1">
      <c r="A308" s="1213" t="s">
        <v>1203</v>
      </c>
      <c r="B308" s="1213" t="s">
        <v>1204</v>
      </c>
      <c r="C308" s="1215">
        <v>2070.15</v>
      </c>
      <c r="D308" s="1215">
        <v>95.63</v>
      </c>
      <c r="E308" s="1215">
        <v>2165.7800000000002</v>
      </c>
      <c r="F308" s="1213" t="s">
        <v>1154</v>
      </c>
      <c r="G308" s="1213" t="s">
        <v>1204</v>
      </c>
      <c r="H308" s="651"/>
      <c r="I308" s="652"/>
      <c r="J308" s="652"/>
      <c r="K308" s="652"/>
      <c r="L308" s="653" t="str">
        <f t="shared" ref="L308:L371" si="181">TEXT(B308,0)</f>
        <v>6155</v>
      </c>
      <c r="M308" s="654" t="str">
        <f t="shared" ref="M308:M371" si="182">+A308</f>
        <v>DEPENSES DIVERS</v>
      </c>
      <c r="N308" s="655">
        <f>+IF(OR($Q308=Parametres!$G$2,$Q308=Parametres!$G$3),I308,C308)</f>
        <v>2070.15</v>
      </c>
      <c r="O308" s="655">
        <f>+IF(OR($Q308=Parametres!$G$2,$Q308=Parametres!$G$3),J308,D308)</f>
        <v>95.63</v>
      </c>
      <c r="P308" s="655">
        <f>+IF(OR($Q308=Parametres!$G$2,$Q308=Parametres!$G$3),K308,E308)</f>
        <v>2165.7800000000002</v>
      </c>
      <c r="Q308" s="654" t="str">
        <f t="shared" ref="Q308:Q371" si="183">+F308</f>
        <v>7-Dépenses</v>
      </c>
      <c r="R308" s="653" t="str">
        <f t="shared" ref="R308:R371" si="184">+G308</f>
        <v>6155</v>
      </c>
      <c r="S308" s="654">
        <f t="shared" ref="S308:S371" si="185">+H308</f>
        <v>0</v>
      </c>
      <c r="T308" s="656" t="str">
        <f>+VLOOKUP($L308,Data_Validation!$A:$D,1,0)</f>
        <v>6155</v>
      </c>
      <c r="U308" s="656" t="str">
        <f>+VLOOKUP($L308,Data_Validation!$A:$D,3,0)</f>
        <v>Véhicules neufs</v>
      </c>
      <c r="V308" s="656" t="str">
        <f>+VLOOKUP($L308,Data_Validation!$A:$D,4,0)</f>
        <v>Divers</v>
      </c>
      <c r="W308" s="656" t="str">
        <f>+VLOOKUP($L308,Data_Validation!$A:$E,5,0)</f>
        <v>$</v>
      </c>
      <c r="X308" s="656">
        <f>+VLOOKUP($L308,Data_Validation!$A:$F,6,0)</f>
        <v>0</v>
      </c>
    </row>
    <row r="309" spans="1:24" ht="15.75" hidden="1" customHeight="1">
      <c r="A309" s="1213" t="s">
        <v>1205</v>
      </c>
      <c r="B309" s="1213" t="s">
        <v>1206</v>
      </c>
      <c r="C309" s="1215">
        <v>17009.580000000002</v>
      </c>
      <c r="D309" s="1215">
        <v>1118.44</v>
      </c>
      <c r="E309" s="1215">
        <v>18128.02</v>
      </c>
      <c r="F309" s="1213" t="s">
        <v>1154</v>
      </c>
      <c r="G309" s="1213" t="s">
        <v>1206</v>
      </c>
      <c r="H309" s="650"/>
      <c r="I309" s="663"/>
      <c r="J309" s="663"/>
      <c r="K309" s="663"/>
      <c r="L309" s="653" t="str">
        <f t="shared" si="181"/>
        <v>6156</v>
      </c>
      <c r="M309" s="654" t="str">
        <f t="shared" si="182"/>
        <v>FRAIS REPRESENTATION - NEUF</v>
      </c>
      <c r="N309" s="655">
        <f>+IF(OR($Q309=Parametres!$G$2,$Q309=Parametres!$G$3),I309,C309)</f>
        <v>17009.580000000002</v>
      </c>
      <c r="O309" s="655">
        <f>+IF(OR($Q309=Parametres!$G$2,$Q309=Parametres!$G$3),J309,D309)</f>
        <v>1118.44</v>
      </c>
      <c r="P309" s="655">
        <f>+IF(OR($Q309=Parametres!$G$2,$Q309=Parametres!$G$3),K309,E309)</f>
        <v>18128.02</v>
      </c>
      <c r="Q309" s="654" t="str">
        <f t="shared" si="183"/>
        <v>7-Dépenses</v>
      </c>
      <c r="R309" s="653" t="str">
        <f t="shared" si="184"/>
        <v>6156</v>
      </c>
      <c r="S309" s="654">
        <f t="shared" si="185"/>
        <v>0</v>
      </c>
      <c r="T309" s="656" t="str">
        <f>+VLOOKUP($L309,Data_Validation!$A:$D,1,0)</f>
        <v>6156</v>
      </c>
      <c r="U309" s="656" t="str">
        <f>+VLOOKUP($L309,Data_Validation!$A:$D,3,0)</f>
        <v>Véhicules neufs</v>
      </c>
      <c r="V309" s="656" t="str">
        <f>+VLOOKUP($L309,Data_Validation!$A:$D,4,0)</f>
        <v>Frais de déplacement</v>
      </c>
      <c r="W309" s="656" t="str">
        <f>+VLOOKUP($L309,Data_Validation!$A:$E,5,0)</f>
        <v>$</v>
      </c>
      <c r="X309" s="656">
        <f>+VLOOKUP($L309,Data_Validation!$A:$F,6,0)</f>
        <v>0</v>
      </c>
    </row>
    <row r="310" spans="1:24" ht="15" hidden="1" customHeight="1">
      <c r="A310" s="1213" t="s">
        <v>1207</v>
      </c>
      <c r="B310" s="1213" t="s">
        <v>3389</v>
      </c>
      <c r="C310" s="1215">
        <v>43238</v>
      </c>
      <c r="D310" s="1215">
        <v>4138.41</v>
      </c>
      <c r="E310" s="1215">
        <v>47376.41</v>
      </c>
      <c r="F310" s="1213" t="s">
        <v>1154</v>
      </c>
      <c r="G310" s="1213" t="s">
        <v>1208</v>
      </c>
      <c r="H310" s="650"/>
      <c r="I310" s="663"/>
      <c r="J310" s="663"/>
      <c r="K310" s="663"/>
      <c r="L310" s="653" t="str">
        <f t="shared" si="181"/>
        <v>6157</v>
      </c>
      <c r="M310" s="654" t="str">
        <f t="shared" si="182"/>
        <v>FRAIS BANCAIRES - NEUF</v>
      </c>
      <c r="N310" s="655">
        <f>+IF(OR($Q310=Parametres!$G$2,$Q310=Parametres!$G$3),I310,C310)</f>
        <v>43238</v>
      </c>
      <c r="O310" s="655">
        <f>+IF(OR($Q310=Parametres!$G$2,$Q310=Parametres!$G$3),J310,D310)</f>
        <v>4138.41</v>
      </c>
      <c r="P310" s="655">
        <f>+IF(OR($Q310=Parametres!$G$2,$Q310=Parametres!$G$3),K310,E310)</f>
        <v>47376.41</v>
      </c>
      <c r="Q310" s="654" t="str">
        <f t="shared" si="183"/>
        <v>7-Dépenses</v>
      </c>
      <c r="R310" s="653" t="str">
        <f t="shared" si="184"/>
        <v>615</v>
      </c>
      <c r="S310" s="654">
        <f t="shared" si="185"/>
        <v>0</v>
      </c>
      <c r="T310" s="656" t="str">
        <f>+VLOOKUP($L310,Data_Validation!$A:$D,1,0)</f>
        <v>6157</v>
      </c>
      <c r="U310" s="656" t="str">
        <f>+VLOOKUP($L310,Data_Validation!$A:$D,3,0)</f>
        <v>Véhicules neufs</v>
      </c>
      <c r="V310" s="656" t="str">
        <f>+VLOOKUP($L310,Data_Validation!$A:$D,4,0)</f>
        <v>Frais bancaires</v>
      </c>
      <c r="W310" s="656" t="str">
        <f>+VLOOKUP($L310,Data_Validation!$A:$E,5,0)</f>
        <v>$</v>
      </c>
      <c r="X310" s="656">
        <f>+VLOOKUP($L310,Data_Validation!$A:$F,6,0)</f>
        <v>0</v>
      </c>
    </row>
    <row r="311" spans="1:24" ht="15" hidden="1" customHeight="1">
      <c r="A311" s="1213" t="s">
        <v>1209</v>
      </c>
      <c r="B311" s="1213" t="s">
        <v>1210</v>
      </c>
      <c r="C311" s="1215">
        <v>81633.149999999994</v>
      </c>
      <c r="D311" s="1215">
        <v>6975.91</v>
      </c>
      <c r="E311" s="1215">
        <v>88609.06</v>
      </c>
      <c r="F311" s="1213" t="s">
        <v>1154</v>
      </c>
      <c r="G311" s="1213" t="s">
        <v>1210</v>
      </c>
      <c r="H311" s="650"/>
      <c r="I311" s="663"/>
      <c r="J311" s="663"/>
      <c r="K311" s="663"/>
      <c r="L311" s="653" t="str">
        <f t="shared" si="181"/>
        <v>6159</v>
      </c>
      <c r="M311" s="654" t="str">
        <f t="shared" si="182"/>
        <v>SERVICE EXTERIEUR</v>
      </c>
      <c r="N311" s="655">
        <f>+IF(OR($Q311=Parametres!$G$2,$Q311=Parametres!$G$3),I311,C311)</f>
        <v>81633.149999999994</v>
      </c>
      <c r="O311" s="655">
        <f>+IF(OR($Q311=Parametres!$G$2,$Q311=Parametres!$G$3),J311,D311)</f>
        <v>6975.91</v>
      </c>
      <c r="P311" s="655">
        <f>+IF(OR($Q311=Parametres!$G$2,$Q311=Parametres!$G$3),K311,E311)</f>
        <v>88609.06</v>
      </c>
      <c r="Q311" s="654" t="str">
        <f t="shared" si="183"/>
        <v>7-Dépenses</v>
      </c>
      <c r="R311" s="653" t="str">
        <f t="shared" si="184"/>
        <v>6159</v>
      </c>
      <c r="S311" s="654">
        <f t="shared" si="185"/>
        <v>0</v>
      </c>
      <c r="T311" s="656" t="str">
        <f>+VLOOKUP($L311,Data_Validation!$A:$D,1,0)</f>
        <v>6159</v>
      </c>
      <c r="U311" s="656" t="str">
        <f>+VLOOKUP($L311,Data_Validation!$A:$D,3,0)</f>
        <v>Véhicules neufs</v>
      </c>
      <c r="V311" s="656" t="str">
        <f>+VLOOKUP($L311,Data_Validation!$A:$D,4,0)</f>
        <v>Services extérieurs</v>
      </c>
      <c r="W311" s="656" t="str">
        <f>+VLOOKUP($L311,Data_Validation!$A:$E,5,0)</f>
        <v>$</v>
      </c>
      <c r="X311" s="656">
        <f>+VLOOKUP($L311,Data_Validation!$A:$F,6,0)</f>
        <v>0</v>
      </c>
    </row>
    <row r="312" spans="1:24" ht="15" hidden="1" customHeight="1">
      <c r="A312" s="1213" t="s">
        <v>1211</v>
      </c>
      <c r="B312" s="1213" t="s">
        <v>1212</v>
      </c>
      <c r="C312" s="1215">
        <v>67561.600000000006</v>
      </c>
      <c r="D312" s="1215">
        <v>14472.24</v>
      </c>
      <c r="E312" s="1215">
        <v>82033.84</v>
      </c>
      <c r="F312" s="1213" t="s">
        <v>1154</v>
      </c>
      <c r="G312" s="1213" t="s">
        <v>1212</v>
      </c>
      <c r="H312" s="651"/>
      <c r="I312" s="651"/>
      <c r="J312" s="651"/>
      <c r="K312" s="651"/>
      <c r="L312" s="653" t="str">
        <f t="shared" si="181"/>
        <v>6161</v>
      </c>
      <c r="M312" s="654" t="str">
        <f t="shared" si="182"/>
        <v>DEPRECIATION EQUIP. &amp; FIXTURES</v>
      </c>
      <c r="N312" s="655">
        <f>+IF(OR($Q312=Parametres!$G$2,$Q312=Parametres!$G$3),I312,C312)</f>
        <v>67561.600000000006</v>
      </c>
      <c r="O312" s="655">
        <f>+IF(OR($Q312=Parametres!$G$2,$Q312=Parametres!$G$3),J312,D312)</f>
        <v>14472.24</v>
      </c>
      <c r="P312" s="655">
        <f>+IF(OR($Q312=Parametres!$G$2,$Q312=Parametres!$G$3),K312,E312)</f>
        <v>82033.84</v>
      </c>
      <c r="Q312" s="654" t="str">
        <f t="shared" si="183"/>
        <v>7-Dépenses</v>
      </c>
      <c r="R312" s="653" t="str">
        <f t="shared" si="184"/>
        <v>6161</v>
      </c>
      <c r="S312" s="654">
        <f t="shared" si="185"/>
        <v>0</v>
      </c>
      <c r="T312" s="656" t="str">
        <f>+VLOOKUP($L312,Data_Validation!$A:$D,1,0)</f>
        <v>6161</v>
      </c>
      <c r="U312" s="656" t="str">
        <f>+VLOOKUP($L312,Data_Validation!$A:$D,3,0)</f>
        <v>Véhicules neufs</v>
      </c>
      <c r="V312" s="656" t="str">
        <f>+VLOOKUP($L312,Data_Validation!$A:$D,4,0)</f>
        <v>Amortissement</v>
      </c>
      <c r="W312" s="656" t="str">
        <f>+VLOOKUP($L312,Data_Validation!$A:$E,5,0)</f>
        <v>$</v>
      </c>
      <c r="X312" s="656">
        <f>+VLOOKUP($L312,Data_Validation!$A:$F,6,0)</f>
        <v>0</v>
      </c>
    </row>
    <row r="313" spans="1:24" ht="15" hidden="1" customHeight="1">
      <c r="A313" s="1213" t="s">
        <v>1213</v>
      </c>
      <c r="B313" s="1213" t="s">
        <v>1214</v>
      </c>
      <c r="C313" s="1215">
        <v>13559.35</v>
      </c>
      <c r="D313" s="1215">
        <v>1860.09</v>
      </c>
      <c r="E313" s="1215">
        <v>15419.44</v>
      </c>
      <c r="F313" s="1213" t="s">
        <v>1154</v>
      </c>
      <c r="G313" s="1213" t="s">
        <v>1214</v>
      </c>
      <c r="H313" s="650"/>
      <c r="I313" s="652"/>
      <c r="J313" s="652"/>
      <c r="K313" s="652"/>
      <c r="L313" s="653" t="str">
        <f t="shared" si="181"/>
        <v>6181</v>
      </c>
      <c r="M313" s="654" t="str">
        <f t="shared" si="182"/>
        <v>ELECTRICITE CHAUFFAGE</v>
      </c>
      <c r="N313" s="655">
        <f>+IF(OR($Q313=Parametres!$G$2,$Q313=Parametres!$G$3),I313,C313)</f>
        <v>13559.35</v>
      </c>
      <c r="O313" s="655">
        <f>+IF(OR($Q313=Parametres!$G$2,$Q313=Parametres!$G$3),J313,D313)</f>
        <v>1860.09</v>
      </c>
      <c r="P313" s="655">
        <f>+IF(OR($Q313=Parametres!$G$2,$Q313=Parametres!$G$3),K313,E313)</f>
        <v>15419.44</v>
      </c>
      <c r="Q313" s="654" t="str">
        <f t="shared" si="183"/>
        <v>7-Dépenses</v>
      </c>
      <c r="R313" s="653" t="str">
        <f t="shared" si="184"/>
        <v>6181</v>
      </c>
      <c r="S313" s="654">
        <f t="shared" si="185"/>
        <v>0</v>
      </c>
      <c r="T313" s="656" t="str">
        <f>+VLOOKUP($L313,Data_Validation!$A:$D,1,0)</f>
        <v>6181</v>
      </c>
      <c r="U313" s="656" t="str">
        <f>+VLOOKUP($L313,Data_Validation!$A:$D,3,0)</f>
        <v>Véhicules neufs</v>
      </c>
      <c r="V313" s="656" t="str">
        <f>+VLOOKUP($L313,Data_Validation!$A:$D,4,0)</f>
        <v>Chauffage, éclairage</v>
      </c>
      <c r="W313" s="656" t="str">
        <f>+VLOOKUP($L313,Data_Validation!$A:$E,5,0)</f>
        <v>$</v>
      </c>
      <c r="X313" s="656">
        <f>+VLOOKUP($L313,Data_Validation!$A:$F,6,0)</f>
        <v>0</v>
      </c>
    </row>
    <row r="314" spans="1:24" ht="15" hidden="1" customHeight="1">
      <c r="A314" s="1213" t="s">
        <v>1215</v>
      </c>
      <c r="B314" s="1213" t="s">
        <v>1216</v>
      </c>
      <c r="C314" s="1215">
        <v>126720</v>
      </c>
      <c r="D314" s="1215">
        <v>11520</v>
      </c>
      <c r="E314" s="1215">
        <v>138240</v>
      </c>
      <c r="F314" s="1213" t="s">
        <v>1154</v>
      </c>
      <c r="G314" s="1213" t="s">
        <v>1216</v>
      </c>
      <c r="H314" s="651"/>
      <c r="I314" s="651"/>
      <c r="J314" s="651"/>
      <c r="K314" s="651"/>
      <c r="L314" s="653" t="str">
        <f t="shared" si="181"/>
        <v>6182</v>
      </c>
      <c r="M314" s="654" t="str">
        <f t="shared" si="182"/>
        <v>LOYER NEUFS</v>
      </c>
      <c r="N314" s="655">
        <f>+IF(OR($Q314=Parametres!$G$2,$Q314=Parametres!$G$3),I314,C314)</f>
        <v>126720</v>
      </c>
      <c r="O314" s="659">
        <f>+IF(OR($Q314=Parametres!$G$2,$Q314=Parametres!$G$3),J314,D314)</f>
        <v>11520</v>
      </c>
      <c r="P314" s="655">
        <f>+IF(OR($Q314=Parametres!$G$2,$Q314=Parametres!$G$3),K314,E314)</f>
        <v>138240</v>
      </c>
      <c r="Q314" s="654" t="str">
        <f t="shared" si="183"/>
        <v>7-Dépenses</v>
      </c>
      <c r="R314" s="653" t="str">
        <f t="shared" si="184"/>
        <v>6182</v>
      </c>
      <c r="S314" s="654">
        <f t="shared" si="185"/>
        <v>0</v>
      </c>
      <c r="T314" s="656" t="str">
        <f>+VLOOKUP($L314,Data_Validation!$A:$D,1,0)</f>
        <v>6182</v>
      </c>
      <c r="U314" s="656" t="str">
        <f>+VLOOKUP($L314,Data_Validation!$A:$D,3,0)</f>
        <v>Véhicules neufs</v>
      </c>
      <c r="V314" s="656" t="str">
        <f>+VLOOKUP($L314,Data_Validation!$A:$D,4,0)</f>
        <v>Loyer</v>
      </c>
      <c r="W314" s="656" t="str">
        <f>+VLOOKUP($L314,Data_Validation!$A:$E,5,0)</f>
        <v>$</v>
      </c>
      <c r="X314" s="656">
        <f>+VLOOKUP($L314,Data_Validation!$A:$F,6,0)</f>
        <v>0</v>
      </c>
    </row>
    <row r="315" spans="1:24" ht="15" hidden="1" customHeight="1">
      <c r="A315" s="1213" t="s">
        <v>1217</v>
      </c>
      <c r="B315" s="1213" t="s">
        <v>1218</v>
      </c>
      <c r="C315" s="1215">
        <v>13703.69</v>
      </c>
      <c r="D315" s="1215">
        <v>1245.79</v>
      </c>
      <c r="E315" s="1215">
        <v>14949.48</v>
      </c>
      <c r="F315" s="1213" t="s">
        <v>1154</v>
      </c>
      <c r="G315" s="1213" t="s">
        <v>1218</v>
      </c>
      <c r="H315" s="651"/>
      <c r="I315" s="652"/>
      <c r="J315" s="652"/>
      <c r="K315" s="652"/>
      <c r="L315" s="653" t="str">
        <f t="shared" si="181"/>
        <v>6186</v>
      </c>
      <c r="M315" s="654" t="str">
        <f t="shared" si="182"/>
        <v>ASSURANCE BATIMENT</v>
      </c>
      <c r="N315" s="655">
        <f>+IF(OR($Q315=Parametres!$G$2,$Q315=Parametres!$G$3),I315,C315)</f>
        <v>13703.69</v>
      </c>
      <c r="O315" s="655">
        <f>+IF(OR($Q315=Parametres!$G$2,$Q315=Parametres!$G$3),J315,D315)</f>
        <v>1245.79</v>
      </c>
      <c r="P315" s="655">
        <f>+IF(OR($Q315=Parametres!$G$2,$Q315=Parametres!$G$3),K315,E315)</f>
        <v>14949.48</v>
      </c>
      <c r="Q315" s="654" t="str">
        <f t="shared" si="183"/>
        <v>7-Dépenses</v>
      </c>
      <c r="R315" s="653" t="str">
        <f t="shared" si="184"/>
        <v>6186</v>
      </c>
      <c r="S315" s="654">
        <f t="shared" si="185"/>
        <v>0</v>
      </c>
      <c r="T315" s="656" t="str">
        <f>+VLOOKUP($L315,Data_Validation!$A:$D,1,0)</f>
        <v>6186</v>
      </c>
      <c r="U315" s="656" t="str">
        <f>+VLOOKUP($L315,Data_Validation!$A:$D,3,0)</f>
        <v>Véhicules neufs</v>
      </c>
      <c r="V315" s="656" t="str">
        <f>+VLOOKUP($L315,Data_Validation!$A:$D,4,0)</f>
        <v>Assurances</v>
      </c>
      <c r="W315" s="656" t="str">
        <f>+VLOOKUP($L315,Data_Validation!$A:$E,5,0)</f>
        <v>$</v>
      </c>
      <c r="X315" s="656">
        <f>+VLOOKUP($L315,Data_Validation!$A:$F,6,0)</f>
        <v>0</v>
      </c>
    </row>
    <row r="316" spans="1:24" ht="15" hidden="1" customHeight="1">
      <c r="A316" s="1213" t="s">
        <v>1219</v>
      </c>
      <c r="B316" s="1213" t="s">
        <v>1220</v>
      </c>
      <c r="C316" s="1215">
        <v>18223.04</v>
      </c>
      <c r="D316" s="1215">
        <v>1656.64</v>
      </c>
      <c r="E316" s="1215">
        <v>19879.68</v>
      </c>
      <c r="F316" s="1213" t="s">
        <v>1154</v>
      </c>
      <c r="G316" s="1213" t="s">
        <v>1220</v>
      </c>
      <c r="H316" s="651"/>
      <c r="I316" s="651"/>
      <c r="J316" s="651"/>
      <c r="K316" s="651"/>
      <c r="L316" s="653" t="str">
        <f t="shared" si="181"/>
        <v>6187</v>
      </c>
      <c r="M316" s="654" t="str">
        <f t="shared" si="182"/>
        <v>TAXE SUR PROPRIETE</v>
      </c>
      <c r="N316" s="655">
        <f>+IF(OR($Q316=Parametres!$G$2,$Q316=Parametres!$G$3),I316,C316)</f>
        <v>18223.04</v>
      </c>
      <c r="O316" s="655">
        <f>+IF(OR($Q316=Parametres!$G$2,$Q316=Parametres!$G$3),J316,D316)</f>
        <v>1656.64</v>
      </c>
      <c r="P316" s="655">
        <f>+IF(OR($Q316=Parametres!$G$2,$Q316=Parametres!$G$3),K316,E316)</f>
        <v>19879.68</v>
      </c>
      <c r="Q316" s="654" t="str">
        <f t="shared" si="183"/>
        <v>7-Dépenses</v>
      </c>
      <c r="R316" s="653" t="str">
        <f t="shared" si="184"/>
        <v>6187</v>
      </c>
      <c r="S316" s="654">
        <f t="shared" si="185"/>
        <v>0</v>
      </c>
      <c r="T316" s="656" t="str">
        <f>+VLOOKUP($L316,Data_Validation!$A:$D,1,0)</f>
        <v>6187</v>
      </c>
      <c r="U316" s="656" t="str">
        <f>+VLOOKUP($L316,Data_Validation!$A:$D,3,0)</f>
        <v>Véhicules neufs</v>
      </c>
      <c r="V316" s="656" t="str">
        <f>+VLOOKUP($L316,Data_Validation!$A:$D,4,0)</f>
        <v>Taxes foncières</v>
      </c>
      <c r="W316" s="656" t="str">
        <f>+VLOOKUP($L316,Data_Validation!$A:$E,5,0)</f>
        <v>$</v>
      </c>
      <c r="X316" s="656">
        <f>+VLOOKUP($L316,Data_Validation!$A:$F,6,0)</f>
        <v>0</v>
      </c>
    </row>
    <row r="317" spans="1:24" ht="15" hidden="1" customHeight="1">
      <c r="A317" s="1213" t="s">
        <v>1221</v>
      </c>
      <c r="B317" s="1213" t="s">
        <v>1222</v>
      </c>
      <c r="C317" s="1215">
        <v>12317.75</v>
      </c>
      <c r="D317" s="1215">
        <v>1102.4000000000001</v>
      </c>
      <c r="E317" s="1215">
        <v>13420.15</v>
      </c>
      <c r="F317" s="1213" t="s">
        <v>1154</v>
      </c>
      <c r="G317" s="1213" t="s">
        <v>1222</v>
      </c>
      <c r="H317" s="651"/>
      <c r="I317" s="652"/>
      <c r="J317" s="652"/>
      <c r="K317" s="652"/>
      <c r="L317" s="653" t="str">
        <f t="shared" si="181"/>
        <v>6193</v>
      </c>
      <c r="M317" s="654" t="str">
        <f t="shared" si="182"/>
        <v>TAXES AUTRES PERMIS LICENCE</v>
      </c>
      <c r="N317" s="655">
        <f>+IF(OR($Q317=Parametres!$G$2,$Q317=Parametres!$G$3),I317,C317)</f>
        <v>12317.75</v>
      </c>
      <c r="O317" s="659">
        <f>+IF(OR($Q317=Parametres!$G$2,$Q317=Parametres!$G$3),J317,D317)</f>
        <v>1102.4000000000001</v>
      </c>
      <c r="P317" s="655">
        <f>+IF(OR($Q317=Parametres!$G$2,$Q317=Parametres!$G$3),K317,E317)</f>
        <v>13420.15</v>
      </c>
      <c r="Q317" s="654" t="str">
        <f t="shared" si="183"/>
        <v>7-Dépenses</v>
      </c>
      <c r="R317" s="653" t="str">
        <f t="shared" si="184"/>
        <v>6193</v>
      </c>
      <c r="S317" s="654">
        <f t="shared" si="185"/>
        <v>0</v>
      </c>
      <c r="T317" s="656" t="str">
        <f>+VLOOKUP($L317,Data_Validation!$A:$D,1,0)</f>
        <v>6193</v>
      </c>
      <c r="U317" s="656" t="str">
        <f>+VLOOKUP($L317,Data_Validation!$A:$D,3,0)</f>
        <v>Véhicules neufs</v>
      </c>
      <c r="V317" s="656" t="str">
        <f>+VLOOKUP($L317,Data_Validation!$A:$D,4,0)</f>
        <v>Taxes d`affaires</v>
      </c>
      <c r="W317" s="656" t="str">
        <f>+VLOOKUP($L317,Data_Validation!$A:$E,5,0)</f>
        <v>$</v>
      </c>
      <c r="X317" s="656">
        <f>+VLOOKUP($L317,Data_Validation!$A:$F,6,0)</f>
        <v>0</v>
      </c>
    </row>
    <row r="318" spans="1:24" ht="15.75" hidden="1" customHeight="1">
      <c r="A318" s="1213" t="s">
        <v>1223</v>
      </c>
      <c r="B318" s="1213" t="s">
        <v>1224</v>
      </c>
      <c r="C318" s="1215">
        <v>23178.57</v>
      </c>
      <c r="D318" s="1215">
        <v>2055.4699999999998</v>
      </c>
      <c r="E318" s="1215">
        <v>25234.04</v>
      </c>
      <c r="F318" s="1213" t="s">
        <v>1154</v>
      </c>
      <c r="G318" s="1213" t="s">
        <v>1224</v>
      </c>
      <c r="H318" s="651"/>
      <c r="I318" s="651"/>
      <c r="J318" s="651"/>
      <c r="K318" s="651"/>
      <c r="L318" s="653" t="str">
        <f t="shared" si="181"/>
        <v>6194</v>
      </c>
      <c r="M318" s="654" t="str">
        <f t="shared" si="182"/>
        <v>HONORAIRES PROFESSIONNELS</v>
      </c>
      <c r="N318" s="655">
        <f>+IF(OR($Q318=Parametres!$G$2,$Q318=Parametres!$G$3),I318,C318)</f>
        <v>23178.57</v>
      </c>
      <c r="O318" s="655">
        <f>+IF(OR($Q318=Parametres!$G$2,$Q318=Parametres!$G$3),J318,D318)</f>
        <v>2055.4699999999998</v>
      </c>
      <c r="P318" s="655">
        <f>+IF(OR($Q318=Parametres!$G$2,$Q318=Parametres!$G$3),K318,E318)</f>
        <v>25234.04</v>
      </c>
      <c r="Q318" s="654" t="str">
        <f t="shared" si="183"/>
        <v>7-Dépenses</v>
      </c>
      <c r="R318" s="653" t="str">
        <f t="shared" si="184"/>
        <v>6194</v>
      </c>
      <c r="S318" s="654">
        <f t="shared" si="185"/>
        <v>0</v>
      </c>
      <c r="T318" s="656" t="str">
        <f>+VLOOKUP($L318,Data_Validation!$A:$D,1,0)</f>
        <v>6194</v>
      </c>
      <c r="U318" s="656" t="str">
        <f>+VLOOKUP($L318,Data_Validation!$A:$D,3,0)</f>
        <v>Véhicules neufs</v>
      </c>
      <c r="V318" s="656" t="str">
        <f>+VLOOKUP($L318,Data_Validation!$A:$D,4,0)</f>
        <v>Honoraires</v>
      </c>
      <c r="W318" s="656" t="str">
        <f>+VLOOKUP($L318,Data_Validation!$A:$E,5,0)</f>
        <v>$</v>
      </c>
      <c r="X318" s="656">
        <f>+VLOOKUP($L318,Data_Validation!$A:$F,6,0)</f>
        <v>0</v>
      </c>
    </row>
    <row r="319" spans="1:24" ht="15" hidden="1" customHeight="1">
      <c r="A319" s="1213" t="s">
        <v>1225</v>
      </c>
      <c r="B319" s="1213" t="s">
        <v>2319</v>
      </c>
      <c r="C319" s="1215">
        <v>186172.47</v>
      </c>
      <c r="D319" s="1215">
        <v>13763.98</v>
      </c>
      <c r="E319" s="1215">
        <v>199936.45</v>
      </c>
      <c r="F319" s="1213" t="s">
        <v>1154</v>
      </c>
      <c r="G319" s="1213" t="s">
        <v>1155</v>
      </c>
      <c r="H319" s="651"/>
      <c r="I319" s="652"/>
      <c r="J319" s="652"/>
      <c r="K319" s="652"/>
      <c r="L319" s="653" t="str">
        <f t="shared" si="181"/>
        <v>6201</v>
      </c>
      <c r="M319" s="654" t="str">
        <f t="shared" si="182"/>
        <v>COMMISSION USAGES</v>
      </c>
      <c r="N319" s="655">
        <f>+IF(OR($Q319=Parametres!$G$2,$Q319=Parametres!$G$3),I319,C319)</f>
        <v>186172.47</v>
      </c>
      <c r="O319" s="659">
        <f>+IF(OR($Q319=Parametres!$G$2,$Q319=Parametres!$G$3),J319,D319)</f>
        <v>13763.98</v>
      </c>
      <c r="P319" s="655">
        <f>+IF(OR($Q319=Parametres!$G$2,$Q319=Parametres!$G$3),K319,E319)</f>
        <v>199936.45</v>
      </c>
      <c r="Q319" s="654" t="str">
        <f t="shared" si="183"/>
        <v>7-Dépenses</v>
      </c>
      <c r="R319" s="653" t="str">
        <f t="shared" si="184"/>
        <v>6101</v>
      </c>
      <c r="S319" s="654">
        <f t="shared" si="185"/>
        <v>0</v>
      </c>
      <c r="T319" s="656" t="str">
        <f>+VLOOKUP($L319,Data_Validation!$A:$D,1,0)</f>
        <v>6201</v>
      </c>
      <c r="U319" s="656" t="str">
        <f>+VLOOKUP($L319,Data_Validation!$A:$D,3,0)</f>
        <v>Véhicules usagés</v>
      </c>
      <c r="V319" s="656" t="str">
        <f>+VLOOKUP($L319,Data_Validation!$A:$D,4,0)</f>
        <v>Comm. vendeurs</v>
      </c>
      <c r="W319" s="656" t="str">
        <f>+VLOOKUP($L319,Data_Validation!$A:$E,5,0)</f>
        <v>$</v>
      </c>
      <c r="X319" s="656">
        <f>+VLOOKUP($L319,Data_Validation!$A:$F,6,0)</f>
        <v>0</v>
      </c>
    </row>
    <row r="320" spans="1:24" ht="15" hidden="1" customHeight="1">
      <c r="A320" s="1213" t="s">
        <v>1156</v>
      </c>
      <c r="B320" s="1213" t="s">
        <v>2322</v>
      </c>
      <c r="C320" s="1215">
        <v>155574.74</v>
      </c>
      <c r="D320" s="1215">
        <v>9680.76</v>
      </c>
      <c r="E320" s="1215">
        <v>165255.5</v>
      </c>
      <c r="F320" s="1213" t="s">
        <v>1154</v>
      </c>
      <c r="G320" s="1213" t="s">
        <v>1157</v>
      </c>
      <c r="H320" s="650"/>
      <c r="I320" s="663"/>
      <c r="J320" s="663"/>
      <c r="K320" s="663"/>
      <c r="L320" s="653" t="str">
        <f t="shared" si="181"/>
        <v>6202</v>
      </c>
      <c r="M320" s="654" t="str">
        <f t="shared" si="182"/>
        <v>RENUMERATION F &amp; I</v>
      </c>
      <c r="N320" s="655">
        <f>+IF(OR($Q320=Parametres!$G$2,$Q320=Parametres!$G$3),I320,C320)</f>
        <v>155574.74</v>
      </c>
      <c r="O320" s="655">
        <f>+IF(OR($Q320=Parametres!$G$2,$Q320=Parametres!$G$3),J320,D320)</f>
        <v>9680.76</v>
      </c>
      <c r="P320" s="655">
        <f>+IF(OR($Q320=Parametres!$G$2,$Q320=Parametres!$G$3),K320,E320)</f>
        <v>165255.5</v>
      </c>
      <c r="Q320" s="654" t="str">
        <f t="shared" si="183"/>
        <v>7-Dépenses</v>
      </c>
      <c r="R320" s="653" t="str">
        <f t="shared" si="184"/>
        <v>6102</v>
      </c>
      <c r="S320" s="654">
        <f t="shared" si="185"/>
        <v>0</v>
      </c>
      <c r="T320" s="656" t="str">
        <f>+VLOOKUP($L320,Data_Validation!$A:$D,1,0)</f>
        <v>6202</v>
      </c>
      <c r="U320" s="656" t="str">
        <f>+VLOOKUP($L320,Data_Validation!$A:$D,3,0)</f>
        <v>Véhicules usagés</v>
      </c>
      <c r="V320" s="656" t="str">
        <f>+VLOOKUP($L320,Data_Validation!$A:$D,4,0)</f>
        <v>Comm. F&amp;I</v>
      </c>
      <c r="W320" s="656" t="str">
        <f>+VLOOKUP($L320,Data_Validation!$A:$E,5,0)</f>
        <v>$</v>
      </c>
      <c r="X320" s="656">
        <f>+VLOOKUP($L320,Data_Validation!$A:$F,6,0)</f>
        <v>0</v>
      </c>
    </row>
    <row r="321" spans="1:24" ht="15" hidden="1" customHeight="1">
      <c r="A321" s="1213" t="s">
        <v>1226</v>
      </c>
      <c r="B321" s="1213" t="s">
        <v>2325</v>
      </c>
      <c r="C321" s="1215">
        <v>20530.740000000002</v>
      </c>
      <c r="D321" s="1215">
        <v>-1675.6</v>
      </c>
      <c r="E321" s="1215">
        <v>18855.14</v>
      </c>
      <c r="F321" s="1213" t="s">
        <v>1154</v>
      </c>
      <c r="G321" s="1213" t="s">
        <v>1159</v>
      </c>
      <c r="H321" s="650"/>
      <c r="I321" s="663"/>
      <c r="J321" s="663"/>
      <c r="K321" s="663"/>
      <c r="L321" s="653" t="str">
        <f t="shared" si="181"/>
        <v>6203</v>
      </c>
      <c r="M321" s="654" t="str">
        <f t="shared" si="182"/>
        <v>RELAT. A LA CLIENTELLE &amp; AJUST</v>
      </c>
      <c r="N321" s="655">
        <f>+IF(OR($Q321=Parametres!$G$2,$Q321=Parametres!$G$3),I321,C321)</f>
        <v>20530.740000000002</v>
      </c>
      <c r="O321" s="655">
        <f>+IF(OR($Q321=Parametres!$G$2,$Q321=Parametres!$G$3),J321,D321)</f>
        <v>-1675.6</v>
      </c>
      <c r="P321" s="655">
        <f>+IF(OR($Q321=Parametres!$G$2,$Q321=Parametres!$G$3),K321,E321)</f>
        <v>18855.14</v>
      </c>
      <c r="Q321" s="654" t="str">
        <f t="shared" si="183"/>
        <v>7-Dépenses</v>
      </c>
      <c r="R321" s="653" t="str">
        <f t="shared" si="184"/>
        <v>6103</v>
      </c>
      <c r="S321" s="654">
        <f t="shared" si="185"/>
        <v>0</v>
      </c>
      <c r="T321" s="656" t="str">
        <f>+VLOOKUP($L321,Data_Validation!$A:$D,1,0)</f>
        <v>6203</v>
      </c>
      <c r="U321" s="656" t="str">
        <f>+VLOOKUP($L321,Data_Validation!$A:$D,3,0)</f>
        <v>Véhicules usagés</v>
      </c>
      <c r="V321" s="656" t="str">
        <f>+VLOOKUP($L321,Data_Validation!$A:$D,4,0)</f>
        <v>Service gratuit 1</v>
      </c>
      <c r="W321" s="656" t="str">
        <f>+VLOOKUP($L321,Data_Validation!$A:$E,5,0)</f>
        <v>$</v>
      </c>
      <c r="X321" s="656">
        <f>+VLOOKUP($L321,Data_Validation!$A:$F,6,0)</f>
        <v>0</v>
      </c>
    </row>
    <row r="322" spans="1:24" ht="15.75" hidden="1" customHeight="1">
      <c r="A322" s="1213" t="s">
        <v>1160</v>
      </c>
      <c r="B322" s="1213" t="s">
        <v>2328</v>
      </c>
      <c r="C322" s="1215">
        <v>50728.45</v>
      </c>
      <c r="D322" s="1215">
        <v>3783.53</v>
      </c>
      <c r="E322" s="1215">
        <v>54511.98</v>
      </c>
      <c r="F322" s="1213" t="s">
        <v>1154</v>
      </c>
      <c r="G322" s="1213" t="s">
        <v>1161</v>
      </c>
      <c r="H322" s="651"/>
      <c r="I322" s="651"/>
      <c r="J322" s="651"/>
      <c r="K322" s="651"/>
      <c r="L322" s="653" t="str">
        <f t="shared" si="181"/>
        <v>6206</v>
      </c>
      <c r="M322" s="654" t="str">
        <f t="shared" si="182"/>
        <v>ENTRETIEN DES STOCKS</v>
      </c>
      <c r="N322" s="655">
        <f>+IF(OR($Q322=Parametres!$G$2,$Q322=Parametres!$G$3),I322,C322)</f>
        <v>50728.45</v>
      </c>
      <c r="O322" s="659">
        <f>+IF(OR($Q322=Parametres!$G$2,$Q322=Parametres!$G$3),J322,D322)</f>
        <v>3783.53</v>
      </c>
      <c r="P322" s="655">
        <f>+IF(OR($Q322=Parametres!$G$2,$Q322=Parametres!$G$3),K322,E322)</f>
        <v>54511.98</v>
      </c>
      <c r="Q322" s="654" t="str">
        <f t="shared" si="183"/>
        <v>7-Dépenses</v>
      </c>
      <c r="R322" s="653" t="str">
        <f t="shared" si="184"/>
        <v>6106</v>
      </c>
      <c r="S322" s="654">
        <f t="shared" si="185"/>
        <v>0</v>
      </c>
      <c r="T322" s="656" t="str">
        <f>+VLOOKUP($L322,Data_Validation!$A:$D,1,0)</f>
        <v>6206</v>
      </c>
      <c r="U322" s="656" t="str">
        <f>+VLOOKUP($L322,Data_Validation!$A:$D,3,0)</f>
        <v>Véhicules usagés</v>
      </c>
      <c r="V322" s="656" t="str">
        <f>+VLOOKUP($L322,Data_Validation!$A:$D,4,0)</f>
        <v>Entretien stock</v>
      </c>
      <c r="W322" s="656" t="str">
        <f>+VLOOKUP($L322,Data_Validation!$A:$E,5,0)</f>
        <v>$</v>
      </c>
      <c r="X322" s="656">
        <f>+VLOOKUP($L322,Data_Validation!$A:$F,6,0)</f>
        <v>0</v>
      </c>
    </row>
    <row r="323" spans="1:24" ht="15" hidden="1" customHeight="1">
      <c r="A323" s="1213" t="s">
        <v>1162</v>
      </c>
      <c r="B323" s="1213" t="s">
        <v>2331</v>
      </c>
      <c r="C323" s="1215">
        <v>56683.99</v>
      </c>
      <c r="D323" s="1215">
        <v>2510.9899999999998</v>
      </c>
      <c r="E323" s="1215">
        <v>59194.98</v>
      </c>
      <c r="F323" s="1213" t="s">
        <v>1154</v>
      </c>
      <c r="G323" s="1213" t="s">
        <v>1163</v>
      </c>
      <c r="H323" s="651"/>
      <c r="I323" s="652"/>
      <c r="J323" s="652"/>
      <c r="K323" s="652"/>
      <c r="L323" s="653" t="str">
        <f t="shared" si="181"/>
        <v>6207</v>
      </c>
      <c r="M323" s="654" t="str">
        <f t="shared" si="182"/>
        <v>INTERET-PLAN DE FINANCEMENT</v>
      </c>
      <c r="N323" s="655">
        <f>+IF(OR($Q323=Parametres!$G$2,$Q323=Parametres!$G$3),I323,C323)</f>
        <v>56683.99</v>
      </c>
      <c r="O323" s="659">
        <f>+IF(OR($Q323=Parametres!$G$2,$Q323=Parametres!$G$3),J323,D323)</f>
        <v>2510.9899999999998</v>
      </c>
      <c r="P323" s="655">
        <f>+IF(OR($Q323=Parametres!$G$2,$Q323=Parametres!$G$3),K323,E323)</f>
        <v>59194.98</v>
      </c>
      <c r="Q323" s="654" t="str">
        <f t="shared" si="183"/>
        <v>7-Dépenses</v>
      </c>
      <c r="R323" s="653" t="str">
        <f t="shared" si="184"/>
        <v>6107</v>
      </c>
      <c r="S323" s="654">
        <f t="shared" si="185"/>
        <v>0</v>
      </c>
      <c r="T323" s="656" t="str">
        <f>+VLOOKUP($L323,Data_Validation!$A:$D,1,0)</f>
        <v>6207</v>
      </c>
      <c r="U323" s="656" t="str">
        <f>+VLOOKUP($L323,Data_Validation!$A:$D,3,0)</f>
        <v>Véhicules usagés</v>
      </c>
      <c r="V323" s="656" t="str">
        <f>+VLOOKUP($L323,Data_Validation!$A:$D,4,0)</f>
        <v>Intérêt de gros</v>
      </c>
      <c r="W323" s="656" t="str">
        <f>+VLOOKUP($L323,Data_Validation!$A:$E,5,0)</f>
        <v>$</v>
      </c>
      <c r="X323" s="656">
        <f>+VLOOKUP($L323,Data_Validation!$A:$F,6,0)</f>
        <v>0</v>
      </c>
    </row>
    <row r="324" spans="1:24" ht="15" hidden="1" customHeight="1">
      <c r="A324" s="1213" t="s">
        <v>1164</v>
      </c>
      <c r="B324" s="1213" t="s">
        <v>2334</v>
      </c>
      <c r="C324" s="1215">
        <v>1095.75</v>
      </c>
      <c r="D324" s="1215">
        <v>1473.18</v>
      </c>
      <c r="E324" s="1215">
        <v>2568.9299999999998</v>
      </c>
      <c r="F324" s="1213" t="s">
        <v>1154</v>
      </c>
      <c r="G324" s="1213" t="s">
        <v>1165</v>
      </c>
      <c r="H324" s="651"/>
      <c r="I324" s="670"/>
      <c r="J324" s="651"/>
      <c r="K324" s="670"/>
      <c r="L324" s="653" t="str">
        <f t="shared" si="181"/>
        <v>6208</v>
      </c>
      <c r="M324" s="654" t="str">
        <f t="shared" si="182"/>
        <v>FRAIS DE LIVRAISON</v>
      </c>
      <c r="N324" s="655">
        <f>+IF(OR($Q324=Parametres!$G$2,$Q324=Parametres!$G$3),I324,C324)</f>
        <v>1095.75</v>
      </c>
      <c r="O324" s="655">
        <f>+IF(OR($Q324=Parametres!$G$2,$Q324=Parametres!$G$3),J324,D324)</f>
        <v>1473.18</v>
      </c>
      <c r="P324" s="655">
        <f>+IF(OR($Q324=Parametres!$G$2,$Q324=Parametres!$G$3),K324,E324)</f>
        <v>2568.9299999999998</v>
      </c>
      <c r="Q324" s="654" t="str">
        <f t="shared" si="183"/>
        <v>7-Dépenses</v>
      </c>
      <c r="R324" s="653" t="str">
        <f t="shared" si="184"/>
        <v>6108</v>
      </c>
      <c r="S324" s="654">
        <f t="shared" si="185"/>
        <v>0</v>
      </c>
      <c r="T324" s="656" t="str">
        <f>+VLOOKUP($L324,Data_Validation!$A:$D,1,0)</f>
        <v>6208</v>
      </c>
      <c r="U324" s="656" t="str">
        <f>+VLOOKUP($L324,Data_Validation!$A:$D,3,0)</f>
        <v>Véhicules usagés</v>
      </c>
      <c r="V324" s="656" t="str">
        <f>+VLOOKUP($L324,Data_Validation!$A:$D,4,0)</f>
        <v>Frais de livraison</v>
      </c>
      <c r="W324" s="656" t="str">
        <f>+VLOOKUP($L324,Data_Validation!$A:$E,5,0)</f>
        <v>$</v>
      </c>
      <c r="X324" s="656">
        <f>+VLOOKUP($L324,Data_Validation!$A:$F,6,0)</f>
        <v>0</v>
      </c>
    </row>
    <row r="325" spans="1:24" ht="15" hidden="1" customHeight="1">
      <c r="A325" s="1213" t="s">
        <v>1166</v>
      </c>
      <c r="B325" s="1213" t="s">
        <v>2340</v>
      </c>
      <c r="C325" s="1215">
        <v>161215.32</v>
      </c>
      <c r="D325" s="1215">
        <v>15828.85</v>
      </c>
      <c r="E325" s="1215">
        <v>177044.17</v>
      </c>
      <c r="F325" s="1213" t="s">
        <v>1154</v>
      </c>
      <c r="G325" s="1213" t="s">
        <v>1167</v>
      </c>
      <c r="H325" s="651"/>
      <c r="I325" s="670"/>
      <c r="J325" s="651"/>
      <c r="K325" s="670"/>
      <c r="L325" s="653" t="str">
        <f t="shared" si="181"/>
        <v>6214</v>
      </c>
      <c r="M325" s="654" t="str">
        <f t="shared" si="182"/>
        <v>PUBLICITE</v>
      </c>
      <c r="N325" s="655">
        <f>+IF(OR($Q325=Parametres!$G$2,$Q325=Parametres!$G$3),I325,C325)</f>
        <v>161215.32</v>
      </c>
      <c r="O325" s="659">
        <f>+IF(OR($Q325=Parametres!$G$2,$Q325=Parametres!$G$3),J325,D325)</f>
        <v>15828.85</v>
      </c>
      <c r="P325" s="655">
        <f>+IF(OR($Q325=Parametres!$G$2,$Q325=Parametres!$G$3),K325,E325)</f>
        <v>177044.17</v>
      </c>
      <c r="Q325" s="654" t="str">
        <f t="shared" si="183"/>
        <v>7-Dépenses</v>
      </c>
      <c r="R325" s="653" t="str">
        <f t="shared" si="184"/>
        <v>6114</v>
      </c>
      <c r="S325" s="654">
        <f t="shared" si="185"/>
        <v>0</v>
      </c>
      <c r="T325" s="656" t="str">
        <f>+VLOOKUP($L325,Data_Validation!$A:$D,1,0)</f>
        <v>6214</v>
      </c>
      <c r="U325" s="656" t="str">
        <f>+VLOOKUP($L325,Data_Validation!$A:$D,3,0)</f>
        <v>Véhicules usagés</v>
      </c>
      <c r="V325" s="656" t="str">
        <f>+VLOOKUP($L325,Data_Validation!$A:$D,4,0)</f>
        <v>Publicité 1</v>
      </c>
      <c r="W325" s="656" t="str">
        <f>+VLOOKUP($L325,Data_Validation!$A:$E,5,0)</f>
        <v>$</v>
      </c>
      <c r="X325" s="656">
        <f>+VLOOKUP($L325,Data_Validation!$A:$F,6,0)</f>
        <v>0</v>
      </c>
    </row>
    <row r="326" spans="1:24" ht="15" hidden="1" customHeight="1">
      <c r="A326" s="1213" t="s">
        <v>1227</v>
      </c>
      <c r="B326" s="1213" t="s">
        <v>2343</v>
      </c>
      <c r="C326" s="1215">
        <v>-31000</v>
      </c>
      <c r="D326" s="1215">
        <v>-1800</v>
      </c>
      <c r="E326" s="1215">
        <v>-32800</v>
      </c>
      <c r="F326" s="1213" t="s">
        <v>1154</v>
      </c>
      <c r="G326" s="1213" t="s">
        <v>1167</v>
      </c>
      <c r="H326" s="651"/>
      <c r="I326" s="652"/>
      <c r="J326" s="652"/>
      <c r="K326" s="652"/>
      <c r="L326" s="653" t="str">
        <f t="shared" si="181"/>
        <v>6215</v>
      </c>
      <c r="M326" s="654" t="str">
        <f t="shared" si="182"/>
        <v>CREDIT PUBLICITE USAGES</v>
      </c>
      <c r="N326" s="655">
        <f>+IF(OR($Q326=Parametres!$G$2,$Q326=Parametres!$G$3),I326,C326)</f>
        <v>-31000</v>
      </c>
      <c r="O326" s="659">
        <f>+IF(OR($Q326=Parametres!$G$2,$Q326=Parametres!$G$3),J326,D326)</f>
        <v>-1800</v>
      </c>
      <c r="P326" s="655">
        <f>+IF(OR($Q326=Parametres!$G$2,$Q326=Parametres!$G$3),K326,E326)</f>
        <v>-32800</v>
      </c>
      <c r="Q326" s="654" t="str">
        <f t="shared" si="183"/>
        <v>7-Dépenses</v>
      </c>
      <c r="R326" s="653" t="str">
        <f t="shared" si="184"/>
        <v>6114</v>
      </c>
      <c r="S326" s="654">
        <f t="shared" si="185"/>
        <v>0</v>
      </c>
      <c r="T326" s="656" t="str">
        <f>+VLOOKUP($L326,Data_Validation!$A:$D,1,0)</f>
        <v>6215</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hidden="1" customHeight="1">
      <c r="A327" s="1213" t="s">
        <v>1169</v>
      </c>
      <c r="B327" s="1213" t="s">
        <v>2349</v>
      </c>
      <c r="C327" s="1215">
        <v>17579.150000000001</v>
      </c>
      <c r="D327" s="1215">
        <v>1144.5999999999999</v>
      </c>
      <c r="E327" s="1215">
        <v>18723.75</v>
      </c>
      <c r="F327" s="1213" t="s">
        <v>1154</v>
      </c>
      <c r="G327" s="1213" t="s">
        <v>1170</v>
      </c>
      <c r="H327" s="650"/>
      <c r="I327" s="652"/>
      <c r="J327" s="652"/>
      <c r="K327" s="652"/>
      <c r="L327" s="653" t="str">
        <f t="shared" si="181"/>
        <v>6221</v>
      </c>
      <c r="M327" s="654" t="str">
        <f t="shared" si="182"/>
        <v>SALAIRES - PROPRIETAIRES</v>
      </c>
      <c r="N327" s="655">
        <f>+IF(OR($Q327=Parametres!$G$2,$Q327=Parametres!$G$3),I327,C327)</f>
        <v>17579.150000000001</v>
      </c>
      <c r="O327" s="655">
        <f>+IF(OR($Q327=Parametres!$G$2,$Q327=Parametres!$G$3),J327,D327)</f>
        <v>1144.5999999999999</v>
      </c>
      <c r="P327" s="655">
        <f>+IF(OR($Q327=Parametres!$G$2,$Q327=Parametres!$G$3),K327,E327)</f>
        <v>18723.75</v>
      </c>
      <c r="Q327" s="654" t="str">
        <f t="shared" si="183"/>
        <v>7-Dépenses</v>
      </c>
      <c r="R327" s="653" t="str">
        <f t="shared" si="184"/>
        <v>6121</v>
      </c>
      <c r="S327" s="654">
        <f t="shared" si="185"/>
        <v>0</v>
      </c>
      <c r="T327" s="656" t="str">
        <f>+VLOOKUP($L327,Data_Validation!$A:$D,1,0)</f>
        <v>6221</v>
      </c>
      <c r="U327" s="656" t="str">
        <f>+VLOOKUP($L327,Data_Validation!$A:$D,3,0)</f>
        <v>Véhicules usagés</v>
      </c>
      <c r="V327" s="656" t="str">
        <f>+VLOOKUP($L327,Data_Validation!$A:$D,4,0)</f>
        <v>Salaires propriétaire</v>
      </c>
      <c r="W327" s="656" t="str">
        <f>+VLOOKUP($L327,Data_Validation!$A:$E,5,0)</f>
        <v>$</v>
      </c>
      <c r="X327" s="656">
        <f>+VLOOKUP($L327,Data_Validation!$A:$F,6,0)</f>
        <v>0</v>
      </c>
    </row>
    <row r="328" spans="1:24" ht="15" hidden="1" customHeight="1">
      <c r="A328" s="1213" t="s">
        <v>1171</v>
      </c>
      <c r="B328" s="1213" t="s">
        <v>2352</v>
      </c>
      <c r="C328" s="1215">
        <v>119463.67999999999</v>
      </c>
      <c r="D328" s="1215">
        <v>11107.96</v>
      </c>
      <c r="E328" s="1215">
        <v>130571.64</v>
      </c>
      <c r="F328" s="1213" t="s">
        <v>1154</v>
      </c>
      <c r="G328" s="1213" t="s">
        <v>1172</v>
      </c>
      <c r="H328" s="650"/>
      <c r="I328" s="652"/>
      <c r="J328" s="652"/>
      <c r="K328" s="652"/>
      <c r="L328" s="653" t="str">
        <f t="shared" si="181"/>
        <v>6222</v>
      </c>
      <c r="M328" s="654" t="str">
        <f t="shared" si="182"/>
        <v>SAL SUPERVISION / GERANT</v>
      </c>
      <c r="N328" s="655">
        <f>+IF(OR($Q328=Parametres!$G$2,$Q328=Parametres!$G$3),I328,C328)</f>
        <v>119463.67999999999</v>
      </c>
      <c r="O328" s="655">
        <f>+IF(OR($Q328=Parametres!$G$2,$Q328=Parametres!$G$3),J328,D328)</f>
        <v>11107.96</v>
      </c>
      <c r="P328" s="655">
        <f>+IF(OR($Q328=Parametres!$G$2,$Q328=Parametres!$G$3),K328,E328)</f>
        <v>130571.64</v>
      </c>
      <c r="Q328" s="654" t="str">
        <f t="shared" si="183"/>
        <v>7-Dépenses</v>
      </c>
      <c r="R328" s="653" t="str">
        <f t="shared" si="184"/>
        <v>6122</v>
      </c>
      <c r="S328" s="654">
        <f t="shared" si="185"/>
        <v>0</v>
      </c>
      <c r="T328" s="656" t="str">
        <f>+VLOOKUP($L328,Data_Validation!$A:$D,1,0)</f>
        <v>6222</v>
      </c>
      <c r="U328" s="656" t="str">
        <f>+VLOOKUP($L328,Data_Validation!$A:$D,3,0)</f>
        <v>Véhicules usagés</v>
      </c>
      <c r="V328" s="656" t="str">
        <f>+VLOOKUP($L328,Data_Validation!$A:$D,4,0)</f>
        <v>Salaires cadres</v>
      </c>
      <c r="W328" s="656" t="str">
        <f>+VLOOKUP($L328,Data_Validation!$A:$E,5,0)</f>
        <v>$</v>
      </c>
      <c r="X328" s="656">
        <f>+VLOOKUP($L328,Data_Validation!$A:$F,6,0)</f>
        <v>0</v>
      </c>
    </row>
    <row r="329" spans="1:24" ht="15" hidden="1" customHeight="1">
      <c r="A329" s="1213" t="s">
        <v>1173</v>
      </c>
      <c r="B329" s="1213" t="s">
        <v>2355</v>
      </c>
      <c r="C329" s="1215">
        <v>20367.63</v>
      </c>
      <c r="D329" s="1215">
        <v>1842.07</v>
      </c>
      <c r="E329" s="1215">
        <v>22209.7</v>
      </c>
      <c r="F329" s="1213" t="s">
        <v>1154</v>
      </c>
      <c r="G329" s="1213" t="s">
        <v>1174</v>
      </c>
      <c r="H329" s="651"/>
      <c r="I329" s="651"/>
      <c r="J329" s="651"/>
      <c r="K329" s="651"/>
      <c r="L329" s="653" t="str">
        <f t="shared" si="181"/>
        <v>6223</v>
      </c>
      <c r="M329" s="654" t="str">
        <f t="shared" si="182"/>
        <v>SAL. &amp; RENUM. - CLERICAL</v>
      </c>
      <c r="N329" s="655">
        <f>+IF(OR($Q329=Parametres!$G$2,$Q329=Parametres!$G$3),I329,C329)</f>
        <v>20367.63</v>
      </c>
      <c r="O329" s="655">
        <f>+IF(OR($Q329=Parametres!$G$2,$Q329=Parametres!$G$3),J329,D329)</f>
        <v>1842.07</v>
      </c>
      <c r="P329" s="655">
        <f>+IF(OR($Q329=Parametres!$G$2,$Q329=Parametres!$G$3),K329,E329)</f>
        <v>22209.7</v>
      </c>
      <c r="Q329" s="654" t="str">
        <f t="shared" si="183"/>
        <v>7-Dépenses</v>
      </c>
      <c r="R329" s="653" t="str">
        <f t="shared" si="184"/>
        <v>6123</v>
      </c>
      <c r="S329" s="654">
        <f t="shared" si="185"/>
        <v>0</v>
      </c>
      <c r="T329" s="656" t="str">
        <f>+VLOOKUP($L329,Data_Validation!$A:$D,1,0)</f>
        <v>6223</v>
      </c>
      <c r="U329" s="656" t="str">
        <f>+VLOOKUP($L329,Data_Validation!$A:$D,3,0)</f>
        <v>Véhicules usagés</v>
      </c>
      <c r="V329" s="656" t="str">
        <f>+VLOOKUP($L329,Data_Validation!$A:$D,4,0)</f>
        <v>Salaires commis</v>
      </c>
      <c r="W329" s="656" t="str">
        <f>+VLOOKUP($L329,Data_Validation!$A:$E,5,0)</f>
        <v>$</v>
      </c>
      <c r="X329" s="656">
        <f>+VLOOKUP($L329,Data_Validation!$A:$F,6,0)</f>
        <v>0</v>
      </c>
    </row>
    <row r="330" spans="1:24" ht="15" hidden="1" customHeight="1">
      <c r="A330" s="1213" t="s">
        <v>1228</v>
      </c>
      <c r="B330" s="1213" t="s">
        <v>2358</v>
      </c>
      <c r="C330" s="1215">
        <v>66694.31</v>
      </c>
      <c r="D330" s="1215">
        <v>6383.58</v>
      </c>
      <c r="E330" s="1215">
        <v>73077.89</v>
      </c>
      <c r="F330" s="1213" t="s">
        <v>1154</v>
      </c>
      <c r="G330" s="1213" t="s">
        <v>1176</v>
      </c>
      <c r="H330" s="650"/>
      <c r="I330" s="663"/>
      <c r="J330" s="663"/>
      <c r="K330" s="663"/>
      <c r="L330" s="653" t="str">
        <f t="shared" si="181"/>
        <v>6224</v>
      </c>
      <c r="M330" s="654" t="str">
        <f t="shared" si="182"/>
        <v>SALAIRE &amp; RENUM. - AUTRES</v>
      </c>
      <c r="N330" s="655">
        <f>+IF(OR($Q330=Parametres!$G$2,$Q330=Parametres!$G$3),I330,C330)</f>
        <v>66694.31</v>
      </c>
      <c r="O330" s="655">
        <f>+IF(OR($Q330=Parametres!$G$2,$Q330=Parametres!$G$3),J330,D330)</f>
        <v>6383.58</v>
      </c>
      <c r="P330" s="655">
        <f>+IF(OR($Q330=Parametres!$G$2,$Q330=Parametres!$G$3),K330,E330)</f>
        <v>73077.89</v>
      </c>
      <c r="Q330" s="654" t="str">
        <f t="shared" si="183"/>
        <v>7-Dépenses</v>
      </c>
      <c r="R330" s="653" t="str">
        <f t="shared" si="184"/>
        <v>6124</v>
      </c>
      <c r="S330" s="654">
        <f t="shared" si="185"/>
        <v>0</v>
      </c>
      <c r="T330" s="656" t="str">
        <f>+VLOOKUP($L330,Data_Validation!$A:$D,1,0)</f>
        <v>6224</v>
      </c>
      <c r="U330" s="656" t="str">
        <f>+VLOOKUP($L330,Data_Validation!$A:$D,3,0)</f>
        <v>Véhicules usagés</v>
      </c>
      <c r="V330" s="656" t="str">
        <f>+VLOOKUP($L330,Data_Validation!$A:$D,4,0)</f>
        <v>Salaires autres</v>
      </c>
      <c r="W330" s="656" t="str">
        <f>+VLOOKUP($L330,Data_Validation!$A:$E,5,0)</f>
        <v>$</v>
      </c>
      <c r="X330" s="656">
        <f>+VLOOKUP($L330,Data_Validation!$A:$F,6,0)</f>
        <v>0</v>
      </c>
    </row>
    <row r="331" spans="1:24" ht="15" hidden="1" customHeight="1">
      <c r="A331" s="1213" t="s">
        <v>1229</v>
      </c>
      <c r="B331" s="1213" t="s">
        <v>2359</v>
      </c>
      <c r="C331" s="1215">
        <v>70267.899999999994</v>
      </c>
      <c r="D331" s="1215">
        <v>6479.74</v>
      </c>
      <c r="E331" s="1215">
        <v>76747.64</v>
      </c>
      <c r="F331" s="1213" t="s">
        <v>1154</v>
      </c>
      <c r="G331" s="1213" t="s">
        <v>1178</v>
      </c>
      <c r="H331" s="650"/>
      <c r="I331" s="663"/>
      <c r="J331" s="663"/>
      <c r="K331" s="663"/>
      <c r="L331" s="653" t="str">
        <f t="shared" si="181"/>
        <v>6229</v>
      </c>
      <c r="M331" s="654" t="str">
        <f t="shared" si="182"/>
        <v>ABS.,VACANCES &amp; SAL. JOURS FER</v>
      </c>
      <c r="N331" s="655">
        <f>+IF(OR($Q331=Parametres!$G$2,$Q331=Parametres!$G$3),I331,C331)</f>
        <v>70267.899999999994</v>
      </c>
      <c r="O331" s="655">
        <f>+IF(OR($Q331=Parametres!$G$2,$Q331=Parametres!$G$3),J331,D331)</f>
        <v>6479.74</v>
      </c>
      <c r="P331" s="655">
        <f>+IF(OR($Q331=Parametres!$G$2,$Q331=Parametres!$G$3),K331,E331)</f>
        <v>76747.64</v>
      </c>
      <c r="Q331" s="654" t="str">
        <f t="shared" si="183"/>
        <v>7-Dépenses</v>
      </c>
      <c r="R331" s="653" t="str">
        <f t="shared" si="184"/>
        <v>6129</v>
      </c>
      <c r="S331" s="654">
        <f t="shared" si="185"/>
        <v>0</v>
      </c>
      <c r="T331" s="656" t="str">
        <f>+VLOOKUP($L331,Data_Validation!$A:$D,1,0)</f>
        <v>6229</v>
      </c>
      <c r="U331" s="656" t="str">
        <f>+VLOOKUP($L331,Data_Validation!$A:$D,3,0)</f>
        <v>Véhicules usagés</v>
      </c>
      <c r="V331" s="656" t="str">
        <f>+VLOOKUP($L331,Data_Validation!$A:$D,4,0)</f>
        <v>Salaires en absences</v>
      </c>
      <c r="W331" s="656" t="str">
        <f>+VLOOKUP($L331,Data_Validation!$A:$E,5,0)</f>
        <v>$</v>
      </c>
      <c r="X331" s="656">
        <f>+VLOOKUP($L331,Data_Validation!$A:$F,6,0)</f>
        <v>0</v>
      </c>
    </row>
    <row r="332" spans="1:24" ht="15" hidden="1" customHeight="1">
      <c r="A332" s="1213" t="s">
        <v>1179</v>
      </c>
      <c r="B332" s="1213" t="s">
        <v>2362</v>
      </c>
      <c r="C332" s="1215">
        <v>10796.26</v>
      </c>
      <c r="D332" s="1215">
        <v>1440.25</v>
      </c>
      <c r="E332" s="1215">
        <v>12236.51</v>
      </c>
      <c r="F332" s="1213" t="s">
        <v>1154</v>
      </c>
      <c r="G332" s="1213" t="s">
        <v>1180</v>
      </c>
      <c r="H332" s="650"/>
      <c r="I332" s="663"/>
      <c r="J332" s="663"/>
      <c r="K332" s="663"/>
      <c r="L332" s="653" t="str">
        <f t="shared" si="181"/>
        <v>6231</v>
      </c>
      <c r="M332" s="654" t="str">
        <f t="shared" si="182"/>
        <v>CSST</v>
      </c>
      <c r="N332" s="655">
        <f>+IF(OR($Q332=Parametres!$G$2,$Q332=Parametres!$G$3),I332,C332)</f>
        <v>10796.26</v>
      </c>
      <c r="O332" s="655">
        <f>+IF(OR($Q332=Parametres!$G$2,$Q332=Parametres!$G$3),J332,D332)</f>
        <v>1440.25</v>
      </c>
      <c r="P332" s="655">
        <f>+IF(OR($Q332=Parametres!$G$2,$Q332=Parametres!$G$3),K332,E332)</f>
        <v>12236.51</v>
      </c>
      <c r="Q332" s="654" t="str">
        <f t="shared" si="183"/>
        <v>7-Dépenses</v>
      </c>
      <c r="R332" s="653" t="str">
        <f t="shared" si="184"/>
        <v>6131</v>
      </c>
      <c r="S332" s="654">
        <f t="shared" si="185"/>
        <v>0</v>
      </c>
      <c r="T332" s="656" t="str">
        <f>+VLOOKUP($L332,Data_Validation!$A:$D,1,0)</f>
        <v>6231</v>
      </c>
      <c r="U332" s="656" t="str">
        <f>+VLOOKUP($L332,Data_Validation!$A:$D,3,0)</f>
        <v>Véhicules usagés</v>
      </c>
      <c r="V332" s="656" t="str">
        <f>+VLOOKUP($L332,Data_Validation!$A:$D,4,0)</f>
        <v>Csst</v>
      </c>
      <c r="W332" s="656" t="str">
        <f>+VLOOKUP($L332,Data_Validation!$A:$E,5,0)</f>
        <v>$</v>
      </c>
      <c r="X332" s="656">
        <f>+VLOOKUP($L332,Data_Validation!$A:$F,6,0)</f>
        <v>0</v>
      </c>
    </row>
    <row r="333" spans="1:24" ht="15.75" hidden="1" customHeight="1">
      <c r="A333" s="1213" t="s">
        <v>1181</v>
      </c>
      <c r="B333" s="1213" t="s">
        <v>2365</v>
      </c>
      <c r="C333" s="1215">
        <v>80116.429999999993</v>
      </c>
      <c r="D333" s="1215">
        <v>5314.54</v>
      </c>
      <c r="E333" s="1215">
        <v>85430.97</v>
      </c>
      <c r="F333" s="1213" t="s">
        <v>1154</v>
      </c>
      <c r="G333" s="1213" t="s">
        <v>1182</v>
      </c>
      <c r="H333" s="650"/>
      <c r="I333" s="652"/>
      <c r="J333" s="652"/>
      <c r="K333" s="652"/>
      <c r="L333" s="653" t="str">
        <f t="shared" si="181"/>
        <v>6232</v>
      </c>
      <c r="M333" s="654" t="str">
        <f t="shared" si="182"/>
        <v>RRQ RAMQ AC</v>
      </c>
      <c r="N333" s="655">
        <f>+IF(OR($Q333=Parametres!$G$2,$Q333=Parametres!$G$3),I333,C333)</f>
        <v>80116.429999999993</v>
      </c>
      <c r="O333" s="655">
        <f>+IF(OR($Q333=Parametres!$G$2,$Q333=Parametres!$G$3),J333,D333)</f>
        <v>5314.54</v>
      </c>
      <c r="P333" s="655">
        <f>+IF(OR($Q333=Parametres!$G$2,$Q333=Parametres!$G$3),K333,E333)</f>
        <v>85430.97</v>
      </c>
      <c r="Q333" s="654" t="str">
        <f t="shared" si="183"/>
        <v>7-Dépenses</v>
      </c>
      <c r="R333" s="653" t="str">
        <f t="shared" si="184"/>
        <v>6132</v>
      </c>
      <c r="S333" s="654">
        <f t="shared" si="185"/>
        <v>0</v>
      </c>
      <c r="T333" s="656" t="str">
        <f>+VLOOKUP($L333,Data_Validation!$A:$D,1,0)</f>
        <v>6232</v>
      </c>
      <c r="U333" s="656" t="str">
        <f>+VLOOKUP($L333,Data_Validation!$A:$D,3,0)</f>
        <v>Véhicules usagés</v>
      </c>
      <c r="V333" s="656" t="str">
        <f>+VLOOKUP($L333,Data_Validation!$A:$D,4,0)</f>
        <v>Déduction à la source</v>
      </c>
      <c r="W333" s="656" t="str">
        <f>+VLOOKUP($L333,Data_Validation!$A:$E,5,0)</f>
        <v>$</v>
      </c>
      <c r="X333" s="656">
        <f>+VLOOKUP($L333,Data_Validation!$A:$F,6,0)</f>
        <v>0</v>
      </c>
    </row>
    <row r="334" spans="1:24" ht="15.75" hidden="1" customHeight="1">
      <c r="A334" s="1213" t="s">
        <v>1230</v>
      </c>
      <c r="B334" s="1213" t="s">
        <v>3391</v>
      </c>
      <c r="C334" s="1215">
        <v>14625.6</v>
      </c>
      <c r="D334" s="1215">
        <v>102.08</v>
      </c>
      <c r="E334" s="1215">
        <v>14727.68</v>
      </c>
      <c r="F334" s="1213" t="s">
        <v>1154</v>
      </c>
      <c r="G334" s="1213" t="s">
        <v>1184</v>
      </c>
      <c r="H334" s="650"/>
      <c r="I334" s="663"/>
      <c r="J334" s="663"/>
      <c r="K334" s="663"/>
      <c r="L334" s="653" t="str">
        <f t="shared" si="181"/>
        <v>6233</v>
      </c>
      <c r="M334" s="654" t="str">
        <f t="shared" si="182"/>
        <v>FOND PENSION - USAGE</v>
      </c>
      <c r="N334" s="655">
        <f>+IF(OR($Q334=Parametres!$G$2,$Q334=Parametres!$G$3),I334,C334)</f>
        <v>14625.6</v>
      </c>
      <c r="O334" s="655">
        <f>+IF(OR($Q334=Parametres!$G$2,$Q334=Parametres!$G$3),J334,D334)</f>
        <v>102.08</v>
      </c>
      <c r="P334" s="655">
        <f>+IF(OR($Q334=Parametres!$G$2,$Q334=Parametres!$G$3),K334,E334)</f>
        <v>14727.68</v>
      </c>
      <c r="Q334" s="654" t="str">
        <f t="shared" si="183"/>
        <v>7-Dépenses</v>
      </c>
      <c r="R334" s="653" t="str">
        <f t="shared" si="184"/>
        <v>6133</v>
      </c>
      <c r="S334" s="654">
        <f t="shared" si="185"/>
        <v>0</v>
      </c>
      <c r="T334" s="656" t="str">
        <f>+VLOOKUP($L334,Data_Validation!$A:$D,1,0)</f>
        <v>6233</v>
      </c>
      <c r="U334" s="656" t="str">
        <f>+VLOOKUP($L334,Data_Validation!$A:$D,3,0)</f>
        <v>Véhicules usagés</v>
      </c>
      <c r="V334" s="656" t="str">
        <f>+VLOOKUP($L334,Data_Validation!$A:$D,4,0)</f>
        <v>Bénéfices marginaux</v>
      </c>
      <c r="W334" s="656" t="str">
        <f>+VLOOKUP($L334,Data_Validation!$A:$E,5,0)</f>
        <v>$</v>
      </c>
      <c r="X334" s="656">
        <f>+VLOOKUP($L334,Data_Validation!$A:$F,6,0)</f>
        <v>0</v>
      </c>
    </row>
    <row r="335" spans="1:24" ht="15" hidden="1" customHeight="1">
      <c r="A335" s="1213" t="s">
        <v>1231</v>
      </c>
      <c r="B335" s="1213" t="s">
        <v>2368</v>
      </c>
      <c r="C335" s="1215">
        <v>6909.5</v>
      </c>
      <c r="D335" s="1215">
        <v>615.65</v>
      </c>
      <c r="E335" s="1215">
        <v>7525.15</v>
      </c>
      <c r="F335" s="1213" t="s">
        <v>1154</v>
      </c>
      <c r="G335" s="1213" t="s">
        <v>1186</v>
      </c>
      <c r="H335" s="650"/>
      <c r="I335" s="652"/>
      <c r="J335" s="652"/>
      <c r="K335" s="652"/>
      <c r="L335" s="653" t="str">
        <f t="shared" si="181"/>
        <v>6239</v>
      </c>
      <c r="M335" s="654" t="str">
        <f t="shared" si="182"/>
        <v>ASSURANCE GROUPE</v>
      </c>
      <c r="N335" s="655">
        <f>+IF(OR($Q335=Parametres!$G$2,$Q335=Parametres!$G$3),I335,C335)</f>
        <v>6909.5</v>
      </c>
      <c r="O335" s="655">
        <f>+IF(OR($Q335=Parametres!$G$2,$Q335=Parametres!$G$3),J335,D335)</f>
        <v>615.65</v>
      </c>
      <c r="P335" s="655">
        <f>+IF(OR($Q335=Parametres!$G$2,$Q335=Parametres!$G$3),K335,E335)</f>
        <v>7525.15</v>
      </c>
      <c r="Q335" s="654" t="str">
        <f t="shared" si="183"/>
        <v>7-Dépenses</v>
      </c>
      <c r="R335" s="653" t="str">
        <f t="shared" si="184"/>
        <v>6139</v>
      </c>
      <c r="S335" s="654">
        <f t="shared" si="185"/>
        <v>0</v>
      </c>
      <c r="T335" s="656" t="str">
        <f>+VLOOKUP($L335,Data_Validation!$A:$D,1,0)</f>
        <v>6239</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hidden="1" customHeight="1">
      <c r="A336" s="1213" t="s">
        <v>1187</v>
      </c>
      <c r="B336" s="1213" t="s">
        <v>2374</v>
      </c>
      <c r="C336" s="1215">
        <v>542.61</v>
      </c>
      <c r="D336" s="1215">
        <v>21.93</v>
      </c>
      <c r="E336" s="1215">
        <v>564.54</v>
      </c>
      <c r="F336" s="1213" t="s">
        <v>1154</v>
      </c>
      <c r="G336" s="1213" t="s">
        <v>1188</v>
      </c>
      <c r="H336" s="650"/>
      <c r="I336" s="652"/>
      <c r="J336" s="652"/>
      <c r="K336" s="652"/>
      <c r="L336" s="653" t="str">
        <f t="shared" si="181"/>
        <v>6242</v>
      </c>
      <c r="M336" s="654" t="str">
        <f t="shared" si="182"/>
        <v>FOURNITURES &amp; PETITS OUTILS</v>
      </c>
      <c r="N336" s="655">
        <f>+IF(OR($Q336=Parametres!$G$2,$Q336=Parametres!$G$3),I336,C336)</f>
        <v>542.61</v>
      </c>
      <c r="O336" s="655">
        <f>+IF(OR($Q336=Parametres!$G$2,$Q336=Parametres!$G$3),J336,D336)</f>
        <v>21.93</v>
      </c>
      <c r="P336" s="655">
        <f>+IF(OR($Q336=Parametres!$G$2,$Q336=Parametres!$G$3),K336,E336)</f>
        <v>564.54</v>
      </c>
      <c r="Q336" s="654" t="str">
        <f t="shared" si="183"/>
        <v>7-Dépenses</v>
      </c>
      <c r="R336" s="653" t="str">
        <f t="shared" si="184"/>
        <v>6142</v>
      </c>
      <c r="S336" s="654">
        <f t="shared" si="185"/>
        <v>0</v>
      </c>
      <c r="T336" s="656" t="str">
        <f>+VLOOKUP($L336,Data_Validation!$A:$D,1,0)</f>
        <v>6242</v>
      </c>
      <c r="U336" s="656" t="str">
        <f>+VLOOKUP($L336,Data_Validation!$A:$D,3,0)</f>
        <v>Véhicules usagés</v>
      </c>
      <c r="V336" s="656" t="str">
        <f>+VLOOKUP($L336,Data_Validation!$A:$D,4,0)</f>
        <v>Fournitures autres</v>
      </c>
      <c r="W336" s="656" t="str">
        <f>+VLOOKUP($L336,Data_Validation!$A:$E,5,0)</f>
        <v>$</v>
      </c>
      <c r="X336" s="656">
        <f>+VLOOKUP($L336,Data_Validation!$A:$F,6,0)</f>
        <v>0</v>
      </c>
    </row>
    <row r="337" spans="1:24" ht="15" hidden="1" customHeight="1">
      <c r="A337" s="1213" t="s">
        <v>1189</v>
      </c>
      <c r="B337" s="1213" t="s">
        <v>2376</v>
      </c>
      <c r="C337" s="1215">
        <v>434.88</v>
      </c>
      <c r="D337" s="1215">
        <v>0</v>
      </c>
      <c r="E337" s="1215">
        <v>434.88</v>
      </c>
      <c r="F337" s="1213" t="s">
        <v>1154</v>
      </c>
      <c r="G337" s="1213" t="s">
        <v>1190</v>
      </c>
      <c r="H337" s="1156"/>
      <c r="I337" s="1156"/>
      <c r="J337" s="1156"/>
      <c r="K337" s="1156"/>
      <c r="L337" s="653" t="str">
        <f t="shared" si="181"/>
        <v>6243</v>
      </c>
      <c r="M337" s="654" t="str">
        <f t="shared" si="182"/>
        <v>UNIFORMES &amp; LESSIVE</v>
      </c>
      <c r="N337" s="655">
        <f>+IF(OR($Q337=Parametres!$G$2,$Q337=Parametres!$G$3),I337,C337)</f>
        <v>434.88</v>
      </c>
      <c r="O337" s="655">
        <f>+IF(OR($Q337=Parametres!$G$2,$Q337=Parametres!$G$3),J337,D337)</f>
        <v>0</v>
      </c>
      <c r="P337" s="655">
        <f>+IF(OR($Q337=Parametres!$G$2,$Q337=Parametres!$G$3),K337,E337)</f>
        <v>434.88</v>
      </c>
      <c r="Q337" s="654" t="str">
        <f t="shared" si="183"/>
        <v>7-Dépenses</v>
      </c>
      <c r="R337" s="653" t="str">
        <f t="shared" si="184"/>
        <v>6143</v>
      </c>
      <c r="S337" s="654">
        <f t="shared" si="185"/>
        <v>0</v>
      </c>
      <c r="T337" s="656" t="str">
        <f>+VLOOKUP($L337,Data_Validation!$A:$D,1,0)</f>
        <v>6243</v>
      </c>
      <c r="U337" s="656" t="str">
        <f>+VLOOKUP($L337,Data_Validation!$A:$D,3,0)</f>
        <v>Véhicules usagés</v>
      </c>
      <c r="V337" s="656" t="str">
        <f>+VLOOKUP($L337,Data_Validation!$A:$D,4,0)</f>
        <v>Uniformes</v>
      </c>
      <c r="W337" s="656" t="str">
        <f>+VLOOKUP($L337,Data_Validation!$A:$E,5,0)</f>
        <v>$</v>
      </c>
      <c r="X337" s="656">
        <f>+VLOOKUP($L337,Data_Validation!$A:$F,6,0)</f>
        <v>0</v>
      </c>
    </row>
    <row r="338" spans="1:24" ht="15.75" hidden="1" customHeight="1">
      <c r="A338" s="1213" t="s">
        <v>1191</v>
      </c>
      <c r="B338" s="1213" t="s">
        <v>2379</v>
      </c>
      <c r="C338" s="1215">
        <v>1577.51</v>
      </c>
      <c r="D338" s="1215">
        <v>38.28</v>
      </c>
      <c r="E338" s="1215">
        <v>1615.79</v>
      </c>
      <c r="F338" s="1213" t="s">
        <v>1154</v>
      </c>
      <c r="G338" s="1213" t="s">
        <v>1192</v>
      </c>
      <c r="H338" s="1156"/>
      <c r="I338" s="1156"/>
      <c r="J338" s="1156"/>
      <c r="K338" s="1156"/>
      <c r="L338" s="653" t="str">
        <f t="shared" si="181"/>
        <v>6244</v>
      </c>
      <c r="M338" s="654" t="str">
        <f t="shared" si="182"/>
        <v>FORMATION</v>
      </c>
      <c r="N338" s="655">
        <f>+IF(OR($Q338=Parametres!$G$2,$Q338=Parametres!$G$3),I338,C338)</f>
        <v>1577.51</v>
      </c>
      <c r="O338" s="659">
        <f>+IF(OR($Q338=Parametres!$G$2,$Q338=Parametres!$G$3),J338,D338)</f>
        <v>38.28</v>
      </c>
      <c r="P338" s="655">
        <f>+IF(OR($Q338=Parametres!$G$2,$Q338=Parametres!$G$3),K338,E338)</f>
        <v>1615.79</v>
      </c>
      <c r="Q338" s="654" t="str">
        <f t="shared" si="183"/>
        <v>7-Dépenses</v>
      </c>
      <c r="R338" s="653" t="str">
        <f t="shared" si="184"/>
        <v>6144</v>
      </c>
      <c r="S338" s="654">
        <f t="shared" si="185"/>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hidden="1" customHeight="1">
      <c r="A339" s="1213" t="s">
        <v>1193</v>
      </c>
      <c r="B339" s="1213" t="s">
        <v>2382</v>
      </c>
      <c r="C339" s="1215">
        <v>10740.46</v>
      </c>
      <c r="D339" s="1215">
        <v>2741.68</v>
      </c>
      <c r="E339" s="1215">
        <v>13482.14</v>
      </c>
      <c r="F339" s="1213" t="s">
        <v>1154</v>
      </c>
      <c r="G339" s="1213" t="s">
        <v>1194</v>
      </c>
      <c r="H339" s="1156"/>
      <c r="I339" s="1156"/>
      <c r="J339" s="1156"/>
      <c r="K339" s="1156"/>
      <c r="L339" s="653" t="str">
        <f t="shared" si="181"/>
        <v>6245</v>
      </c>
      <c r="M339" s="654" t="str">
        <f t="shared" si="182"/>
        <v>VEHICULE DE COMPAGNIE - DEPENS</v>
      </c>
      <c r="N339" s="655">
        <f>+IF(OR($Q339=Parametres!$G$2,$Q339=Parametres!$G$3),I339,C339)</f>
        <v>10740.46</v>
      </c>
      <c r="O339" s="655">
        <f>+IF(OR($Q339=Parametres!$G$2,$Q339=Parametres!$G$3),J339,D339)</f>
        <v>2741.68</v>
      </c>
      <c r="P339" s="655">
        <f>+IF(OR($Q339=Parametres!$G$2,$Q339=Parametres!$G$3),K339,E339)</f>
        <v>13482.14</v>
      </c>
      <c r="Q339" s="654" t="str">
        <f t="shared" si="183"/>
        <v>7-Dépenses</v>
      </c>
      <c r="R339" s="653" t="str">
        <f t="shared" si="184"/>
        <v>6145</v>
      </c>
      <c r="S339" s="654">
        <f t="shared" si="18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hidden="1" customHeight="1">
      <c r="A340" s="1213" t="s">
        <v>1195</v>
      </c>
      <c r="B340" s="1213" t="s">
        <v>2385</v>
      </c>
      <c r="C340" s="1215">
        <v>365.76</v>
      </c>
      <c r="D340" s="1215">
        <v>12.36</v>
      </c>
      <c r="E340" s="1215">
        <v>378.12</v>
      </c>
      <c r="F340" s="1213" t="s">
        <v>1154</v>
      </c>
      <c r="G340" s="1213" t="s">
        <v>1196</v>
      </c>
      <c r="H340" s="1156"/>
      <c r="I340" s="1156"/>
      <c r="J340" s="1156"/>
      <c r="K340" s="1156"/>
      <c r="L340" s="653" t="str">
        <f t="shared" si="181"/>
        <v>6247</v>
      </c>
      <c r="M340" s="654" t="str">
        <f t="shared" si="182"/>
        <v>FRET/EXPRESS/TRANS. PAR CAMION</v>
      </c>
      <c r="N340" s="655">
        <f>+IF(OR($Q340=Parametres!$G$2,$Q340=Parametres!$G$3),I340,C340)</f>
        <v>365.76</v>
      </c>
      <c r="O340" s="659">
        <f>+IF(OR($Q340=Parametres!$G$2,$Q340=Parametres!$G$3),J340,D340)</f>
        <v>12.36</v>
      </c>
      <c r="P340" s="655">
        <f>+IF(OR($Q340=Parametres!$G$2,$Q340=Parametres!$G$3),K340,E340)</f>
        <v>378.12</v>
      </c>
      <c r="Q340" s="654" t="str">
        <f t="shared" si="183"/>
        <v>7-Dépenses</v>
      </c>
      <c r="R340" s="653" t="str">
        <f t="shared" si="184"/>
        <v>6147</v>
      </c>
      <c r="S340" s="654">
        <f t="shared" si="185"/>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hidden="1" customHeight="1">
      <c r="A341" s="1213" t="s">
        <v>1197</v>
      </c>
      <c r="B341" s="1213" t="s">
        <v>2388</v>
      </c>
      <c r="C341" s="1215">
        <v>40738.199999999997</v>
      </c>
      <c r="D341" s="1215">
        <v>3915.83</v>
      </c>
      <c r="E341" s="1215">
        <v>44654.03</v>
      </c>
      <c r="F341" s="1213" t="s">
        <v>1154</v>
      </c>
      <c r="G341" s="1213" t="s">
        <v>1198</v>
      </c>
      <c r="H341" s="1156"/>
      <c r="I341" s="1156"/>
      <c r="J341" s="1156"/>
      <c r="K341" s="1156"/>
      <c r="L341" s="653" t="str">
        <f t="shared" si="181"/>
        <v>6251</v>
      </c>
      <c r="M341" s="654" t="str">
        <f t="shared" si="182"/>
        <v>DEP. DU TRAITEMENT DES DONNEES</v>
      </c>
      <c r="N341" s="655">
        <f>+IF(OR($Q341=Parametres!$G$2,$Q341=Parametres!$G$3),I341,C341)</f>
        <v>40738.199999999997</v>
      </c>
      <c r="O341" s="659">
        <f>+IF(OR($Q341=Parametres!$G$2,$Q341=Parametres!$G$3),J341,D341)</f>
        <v>3915.83</v>
      </c>
      <c r="P341" s="655">
        <f>+IF(OR($Q341=Parametres!$G$2,$Q341=Parametres!$G$3),K341,E341)</f>
        <v>44654.03</v>
      </c>
      <c r="Q341" s="654" t="str">
        <f t="shared" si="183"/>
        <v>7-Dépenses</v>
      </c>
      <c r="R341" s="653" t="str">
        <f t="shared" si="184"/>
        <v>6151</v>
      </c>
      <c r="S341" s="654">
        <f t="shared" si="185"/>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hidden="1" customHeight="1">
      <c r="A342" s="1213" t="s">
        <v>1199</v>
      </c>
      <c r="B342" s="1213" t="s">
        <v>2391</v>
      </c>
      <c r="C342" s="1215">
        <v>3430.71</v>
      </c>
      <c r="D342" s="1215">
        <v>433.14</v>
      </c>
      <c r="E342" s="1215">
        <v>3863.85</v>
      </c>
      <c r="F342" s="1213" t="s">
        <v>1154</v>
      </c>
      <c r="G342" s="1213" t="s">
        <v>1200</v>
      </c>
      <c r="H342" s="1156"/>
      <c r="I342" s="1156"/>
      <c r="J342" s="1156"/>
      <c r="K342" s="1156"/>
      <c r="L342" s="653" t="str">
        <f t="shared" si="181"/>
        <v>6252</v>
      </c>
      <c r="M342" s="654" t="str">
        <f t="shared" si="182"/>
        <v>PAPETERIE</v>
      </c>
      <c r="N342" s="655">
        <f>+IF(OR($Q342=Parametres!$G$2,$Q342=Parametres!$G$3),I342,C342)</f>
        <v>3430.71</v>
      </c>
      <c r="O342" s="655">
        <f>+IF(OR($Q342=Parametres!$G$2,$Q342=Parametres!$G$3),J342,D342)</f>
        <v>433.14</v>
      </c>
      <c r="P342" s="655">
        <f>+IF(OR($Q342=Parametres!$G$2,$Q342=Parametres!$G$3),K342,E342)</f>
        <v>3863.85</v>
      </c>
      <c r="Q342" s="654" t="str">
        <f t="shared" si="183"/>
        <v>7-Dépenses</v>
      </c>
      <c r="R342" s="653" t="str">
        <f t="shared" si="184"/>
        <v>6152</v>
      </c>
      <c r="S342" s="654">
        <f t="shared" si="185"/>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hidden="1" customHeight="1">
      <c r="A343" s="1213" t="s">
        <v>1201</v>
      </c>
      <c r="B343" s="1213" t="s">
        <v>2394</v>
      </c>
      <c r="C343" s="1215">
        <v>681.99</v>
      </c>
      <c r="D343" s="1215">
        <v>81.040000000000006</v>
      </c>
      <c r="E343" s="1215">
        <v>763.03</v>
      </c>
      <c r="F343" s="1213" t="s">
        <v>1154</v>
      </c>
      <c r="G343" s="1213" t="s">
        <v>1202</v>
      </c>
      <c r="H343" s="1156"/>
      <c r="I343" s="1156"/>
      <c r="J343" s="1156"/>
      <c r="K343" s="1156"/>
      <c r="L343" s="653" t="str">
        <f t="shared" si="181"/>
        <v>6253</v>
      </c>
      <c r="M343" s="654" t="str">
        <f t="shared" si="182"/>
        <v>TELEPHONE ET TELEX</v>
      </c>
      <c r="N343" s="655">
        <f>+IF(OR($Q343=Parametres!$G$2,$Q343=Parametres!$G$3),I343,C343)</f>
        <v>681.99</v>
      </c>
      <c r="O343" s="655">
        <f>+IF(OR($Q343=Parametres!$G$2,$Q343=Parametres!$G$3),J343,D343)</f>
        <v>81.040000000000006</v>
      </c>
      <c r="P343" s="655">
        <f>+IF(OR($Q343=Parametres!$G$2,$Q343=Parametres!$G$3),K343,E343)</f>
        <v>763.03</v>
      </c>
      <c r="Q343" s="654" t="str">
        <f t="shared" si="183"/>
        <v>7-Dépenses</v>
      </c>
      <c r="R343" s="653" t="str">
        <f t="shared" si="184"/>
        <v>6153</v>
      </c>
      <c r="S343" s="654">
        <f t="shared" si="185"/>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hidden="1" customHeight="1">
      <c r="A344" s="1213" t="s">
        <v>1203</v>
      </c>
      <c r="B344" s="1213" t="s">
        <v>2397</v>
      </c>
      <c r="C344" s="1215">
        <v>776.29</v>
      </c>
      <c r="D344" s="1215">
        <v>35.86</v>
      </c>
      <c r="E344" s="1215">
        <v>812.15</v>
      </c>
      <c r="F344" s="1213" t="s">
        <v>1154</v>
      </c>
      <c r="G344" s="1213" t="s">
        <v>1204</v>
      </c>
      <c r="H344" s="1156"/>
      <c r="I344" s="1156"/>
      <c r="J344" s="1156"/>
      <c r="K344" s="1156"/>
      <c r="L344" s="653" t="str">
        <f t="shared" si="181"/>
        <v>6255</v>
      </c>
      <c r="M344" s="654" t="str">
        <f t="shared" si="182"/>
        <v>DEPENSES DIVERS</v>
      </c>
      <c r="N344" s="655">
        <f>+IF(OR($Q344=Parametres!$G$2,$Q344=Parametres!$G$3),I344,C344)</f>
        <v>776.29</v>
      </c>
      <c r="O344" s="659">
        <f>+IF(OR($Q344=Parametres!$G$2,$Q344=Parametres!$G$3),J344,D344)</f>
        <v>35.86</v>
      </c>
      <c r="P344" s="655">
        <f>+IF(OR($Q344=Parametres!$G$2,$Q344=Parametres!$G$3),K344,E344)</f>
        <v>812.15</v>
      </c>
      <c r="Q344" s="654" t="str">
        <f t="shared" si="183"/>
        <v>7-Dépenses</v>
      </c>
      <c r="R344" s="653" t="str">
        <f t="shared" si="184"/>
        <v>6155</v>
      </c>
      <c r="S344" s="654">
        <f t="shared" si="185"/>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hidden="1" customHeight="1">
      <c r="A345" s="1213" t="s">
        <v>1232</v>
      </c>
      <c r="B345" s="1213" t="s">
        <v>2400</v>
      </c>
      <c r="C345" s="1215">
        <v>6975.83</v>
      </c>
      <c r="D345" s="1215">
        <v>419.41</v>
      </c>
      <c r="E345" s="1215">
        <v>7395.24</v>
      </c>
      <c r="F345" s="1213" t="s">
        <v>1154</v>
      </c>
      <c r="G345" s="1213" t="s">
        <v>1206</v>
      </c>
      <c r="H345" s="1156"/>
      <c r="I345" s="1156"/>
      <c r="J345" s="1156"/>
      <c r="K345" s="1156"/>
      <c r="L345" s="653" t="str">
        <f t="shared" si="181"/>
        <v>6256</v>
      </c>
      <c r="M345" s="654" t="str">
        <f t="shared" si="182"/>
        <v>FRAIS REPRESENTATION - USAGE</v>
      </c>
      <c r="N345" s="655">
        <f>+IF(OR($Q345=Parametres!$G$2,$Q345=Parametres!$G$3),I345,C345)</f>
        <v>6975.83</v>
      </c>
      <c r="O345" s="655">
        <f>+IF(OR($Q345=Parametres!$G$2,$Q345=Parametres!$G$3),J345,D345)</f>
        <v>419.41</v>
      </c>
      <c r="P345" s="655">
        <f>+IF(OR($Q345=Parametres!$G$2,$Q345=Parametres!$G$3),K345,E345)</f>
        <v>7395.24</v>
      </c>
      <c r="Q345" s="654" t="str">
        <f t="shared" si="183"/>
        <v>7-Dépenses</v>
      </c>
      <c r="R345" s="653" t="str">
        <f t="shared" si="184"/>
        <v>6156</v>
      </c>
      <c r="S345" s="654">
        <f t="shared" si="185"/>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hidden="1" customHeight="1">
      <c r="A346" s="1213" t="s">
        <v>1233</v>
      </c>
      <c r="B346" s="1213" t="s">
        <v>3392</v>
      </c>
      <c r="C346" s="1215">
        <v>9756.4599999999991</v>
      </c>
      <c r="D346" s="1215">
        <v>934.45</v>
      </c>
      <c r="E346" s="1215">
        <v>10690.91</v>
      </c>
      <c r="F346" s="1213" t="s">
        <v>1154</v>
      </c>
      <c r="G346" s="1213" t="s">
        <v>1234</v>
      </c>
      <c r="H346" s="1156"/>
      <c r="I346" s="1156"/>
      <c r="J346" s="1156"/>
      <c r="K346" s="1156"/>
      <c r="L346" s="653" t="str">
        <f t="shared" si="181"/>
        <v>6257</v>
      </c>
      <c r="M346" s="654" t="str">
        <f t="shared" si="182"/>
        <v>FRAIS BANCAIRES - USAGE</v>
      </c>
      <c r="N346" s="655">
        <f>+IF(OR($Q346=Parametres!$G$2,$Q346=Parametres!$G$3),I346,C346)</f>
        <v>9756.4599999999991</v>
      </c>
      <c r="O346" s="655">
        <f>+IF(OR($Q346=Parametres!$G$2,$Q346=Parametres!$G$3),J346,D346)</f>
        <v>934.45</v>
      </c>
      <c r="P346" s="655">
        <f>+IF(OR($Q346=Parametres!$G$2,$Q346=Parametres!$G$3),K346,E346)</f>
        <v>10690.91</v>
      </c>
      <c r="Q346" s="654" t="str">
        <f t="shared" si="183"/>
        <v>7-Dépenses</v>
      </c>
      <c r="R346" s="653" t="str">
        <f t="shared" si="184"/>
        <v>625</v>
      </c>
      <c r="S346" s="654">
        <f t="shared" si="185"/>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hidden="1" customHeight="1">
      <c r="A347" s="1213" t="s">
        <v>1209</v>
      </c>
      <c r="B347" s="1213" t="s">
        <v>2403</v>
      </c>
      <c r="C347" s="1215">
        <v>16746.96</v>
      </c>
      <c r="D347" s="1215">
        <v>2602.9</v>
      </c>
      <c r="E347" s="1215">
        <v>19349.86</v>
      </c>
      <c r="F347" s="1213" t="s">
        <v>1154</v>
      </c>
      <c r="G347" s="1213" t="s">
        <v>1210</v>
      </c>
      <c r="H347" s="1156"/>
      <c r="I347" s="1155"/>
      <c r="J347" s="1155"/>
      <c r="K347" s="1155"/>
      <c r="L347" s="653" t="str">
        <f t="shared" si="181"/>
        <v>6259</v>
      </c>
      <c r="M347" s="654" t="str">
        <f t="shared" si="182"/>
        <v>SERVICE EXTERIEUR</v>
      </c>
      <c r="N347" s="655">
        <f>+IF(OR($Q347=Parametres!$G$2,$Q347=Parametres!$G$3),I347,C347)</f>
        <v>16746.96</v>
      </c>
      <c r="O347" s="655">
        <f>+IF(OR($Q347=Parametres!$G$2,$Q347=Parametres!$G$3),J347,D347)</f>
        <v>2602.9</v>
      </c>
      <c r="P347" s="655">
        <f>+IF(OR($Q347=Parametres!$G$2,$Q347=Parametres!$G$3),K347,E347)</f>
        <v>19349.86</v>
      </c>
      <c r="Q347" s="654" t="str">
        <f t="shared" si="183"/>
        <v>7-Dépenses</v>
      </c>
      <c r="R347" s="653" t="str">
        <f t="shared" si="184"/>
        <v>6159</v>
      </c>
      <c r="S347" s="654">
        <f t="shared" si="185"/>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hidden="1" customHeight="1">
      <c r="A348" s="1213" t="s">
        <v>1211</v>
      </c>
      <c r="B348" s="1213" t="s">
        <v>2406</v>
      </c>
      <c r="C348" s="1215">
        <v>25335.599999999999</v>
      </c>
      <c r="D348" s="1215">
        <v>5427.09</v>
      </c>
      <c r="E348" s="1215">
        <v>30762.69</v>
      </c>
      <c r="F348" s="1213" t="s">
        <v>1154</v>
      </c>
      <c r="G348" s="1213" t="s">
        <v>1212</v>
      </c>
      <c r="H348" s="1156"/>
      <c r="I348" s="1155"/>
      <c r="J348" s="1155"/>
      <c r="K348" s="1155"/>
      <c r="L348" s="653" t="str">
        <f t="shared" si="181"/>
        <v>6261</v>
      </c>
      <c r="M348" s="654" t="str">
        <f t="shared" si="182"/>
        <v>DEPRECIATION EQUIP. &amp; FIXTURES</v>
      </c>
      <c r="N348" s="655">
        <f>+IF(OR($Q348=Parametres!$G$2,$Q348=Parametres!$G$3),I348,C348)</f>
        <v>25335.599999999999</v>
      </c>
      <c r="O348" s="659">
        <f>+IF(OR($Q348=Parametres!$G$2,$Q348=Parametres!$G$3),J348,D348)</f>
        <v>5427.09</v>
      </c>
      <c r="P348" s="655">
        <f>+IF(OR($Q348=Parametres!$G$2,$Q348=Parametres!$G$3),K348,E348)</f>
        <v>30762.69</v>
      </c>
      <c r="Q348" s="654" t="str">
        <f t="shared" si="183"/>
        <v>7-Dépenses</v>
      </c>
      <c r="R348" s="653" t="str">
        <f t="shared" si="184"/>
        <v>6161</v>
      </c>
      <c r="S348" s="654">
        <f t="shared" si="185"/>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hidden="1" customHeight="1">
      <c r="A349" s="1213" t="s">
        <v>1235</v>
      </c>
      <c r="B349" s="1213" t="s">
        <v>2412</v>
      </c>
      <c r="C349" s="1215">
        <v>5084.76</v>
      </c>
      <c r="D349" s="1215">
        <v>697.53</v>
      </c>
      <c r="E349" s="1215">
        <v>5782.29</v>
      </c>
      <c r="F349" s="1213" t="s">
        <v>1154</v>
      </c>
      <c r="G349" s="1213" t="s">
        <v>1214</v>
      </c>
      <c r="H349" s="1156"/>
      <c r="I349" s="1155"/>
      <c r="J349" s="1155"/>
      <c r="K349" s="1155"/>
      <c r="L349" s="653" t="str">
        <f t="shared" si="181"/>
        <v>6281</v>
      </c>
      <c r="M349" s="654" t="str">
        <f t="shared" si="182"/>
        <v>CHAUFFAGE,ELECTRICITE,EAU-USAGE</v>
      </c>
      <c r="N349" s="655">
        <f>+IF(OR($Q349=Parametres!$G$2,$Q349=Parametres!$G$3),I349,C349)</f>
        <v>5084.76</v>
      </c>
      <c r="O349" s="655">
        <f>+IF(OR($Q349=Parametres!$G$2,$Q349=Parametres!$G$3),J349,D349)</f>
        <v>697.53</v>
      </c>
      <c r="P349" s="655">
        <f>+IF(OR($Q349=Parametres!$G$2,$Q349=Parametres!$G$3),K349,E349)</f>
        <v>5782.29</v>
      </c>
      <c r="Q349" s="654" t="str">
        <f t="shared" si="183"/>
        <v>7-Dépenses</v>
      </c>
      <c r="R349" s="653" t="str">
        <f t="shared" si="184"/>
        <v>6181</v>
      </c>
      <c r="S349" s="654">
        <f t="shared" si="18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hidden="1" customHeight="1">
      <c r="A350" s="1213" t="s">
        <v>1236</v>
      </c>
      <c r="B350" s="1213" t="s">
        <v>2415</v>
      </c>
      <c r="C350" s="1215">
        <v>47520</v>
      </c>
      <c r="D350" s="1215">
        <v>4320</v>
      </c>
      <c r="E350" s="1215">
        <v>51840</v>
      </c>
      <c r="F350" s="1213" t="s">
        <v>1154</v>
      </c>
      <c r="G350" s="1213" t="s">
        <v>1216</v>
      </c>
      <c r="H350" s="1156"/>
      <c r="I350" s="1155"/>
      <c r="J350" s="1155"/>
      <c r="K350" s="1155"/>
      <c r="L350" s="653" t="str">
        <f t="shared" si="181"/>
        <v>6282</v>
      </c>
      <c r="M350" s="654" t="str">
        <f t="shared" si="182"/>
        <v>LOYER - USAGE</v>
      </c>
      <c r="N350" s="655">
        <f>+IF(OR($Q350=Parametres!$G$2,$Q350=Parametres!$G$3),I350,C350)</f>
        <v>47520</v>
      </c>
      <c r="O350" s="659">
        <f>+IF(OR($Q350=Parametres!$G$2,$Q350=Parametres!$G$3),J350,D350)</f>
        <v>4320</v>
      </c>
      <c r="P350" s="655">
        <f>+IF(OR($Q350=Parametres!$G$2,$Q350=Parametres!$G$3),K350,E350)</f>
        <v>51840</v>
      </c>
      <c r="Q350" s="654" t="str">
        <f t="shared" si="183"/>
        <v>7-Dépenses</v>
      </c>
      <c r="R350" s="653" t="str">
        <f t="shared" si="184"/>
        <v>6182</v>
      </c>
      <c r="S350" s="654">
        <f t="shared" si="185"/>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hidden="1" customHeight="1">
      <c r="A351" s="1213" t="s">
        <v>1237</v>
      </c>
      <c r="B351" s="1213" t="s">
        <v>2418</v>
      </c>
      <c r="C351" s="1215">
        <v>5138.87</v>
      </c>
      <c r="D351" s="1215">
        <v>467.17</v>
      </c>
      <c r="E351" s="1215">
        <v>5606.04</v>
      </c>
      <c r="F351" s="1213" t="s">
        <v>1154</v>
      </c>
      <c r="G351" s="1213" t="s">
        <v>1218</v>
      </c>
      <c r="H351" s="1156"/>
      <c r="I351" s="1155"/>
      <c r="J351" s="1155"/>
      <c r="K351" s="1155"/>
      <c r="L351" s="653" t="str">
        <f t="shared" si="181"/>
        <v>6286</v>
      </c>
      <c r="M351" s="654" t="str">
        <f t="shared" si="182"/>
        <v>ASSURANCE BATISSE &amp; AMEL.-USAGE</v>
      </c>
      <c r="N351" s="655">
        <f>+IF(OR($Q351=Parametres!$G$2,$Q351=Parametres!$G$3),I351,C351)</f>
        <v>5138.87</v>
      </c>
      <c r="O351" s="655">
        <f>+IF(OR($Q351=Parametres!$G$2,$Q351=Parametres!$G$3),J351,D351)</f>
        <v>467.17</v>
      </c>
      <c r="P351" s="655">
        <f>+IF(OR($Q351=Parametres!$G$2,$Q351=Parametres!$G$3),K351,E351)</f>
        <v>5606.04</v>
      </c>
      <c r="Q351" s="654" t="str">
        <f t="shared" si="183"/>
        <v>7-Dépenses</v>
      </c>
      <c r="R351" s="653" t="str">
        <f t="shared" si="184"/>
        <v>6186</v>
      </c>
      <c r="S351" s="654">
        <f t="shared" si="185"/>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hidden="1" customHeight="1">
      <c r="A352" s="1213" t="s">
        <v>1238</v>
      </c>
      <c r="B352" s="1213" t="s">
        <v>2421</v>
      </c>
      <c r="C352" s="1215">
        <v>6833.64</v>
      </c>
      <c r="D352" s="1215">
        <v>621.24</v>
      </c>
      <c r="E352" s="1215">
        <v>7454.88</v>
      </c>
      <c r="F352" s="1213" t="s">
        <v>1154</v>
      </c>
      <c r="G352" s="1213" t="s">
        <v>1220</v>
      </c>
      <c r="H352" s="1156"/>
      <c r="I352" s="1155"/>
      <c r="J352" s="1155"/>
      <c r="K352" s="1155"/>
      <c r="L352" s="653" t="str">
        <f t="shared" si="181"/>
        <v>6287</v>
      </c>
      <c r="M352" s="654" t="str">
        <f t="shared" si="182"/>
        <v>TAXES FONCIERES - USAGE</v>
      </c>
      <c r="N352" s="655">
        <f>+IF(OR($Q352=Parametres!$G$2,$Q352=Parametres!$G$3),I352,C352)</f>
        <v>6833.64</v>
      </c>
      <c r="O352" s="659">
        <f>+IF(OR($Q352=Parametres!$G$2,$Q352=Parametres!$G$3),J352,D352)</f>
        <v>621.24</v>
      </c>
      <c r="P352" s="655">
        <f>+IF(OR($Q352=Parametres!$G$2,$Q352=Parametres!$G$3),K352,E352)</f>
        <v>7454.88</v>
      </c>
      <c r="Q352" s="654" t="str">
        <f t="shared" si="183"/>
        <v>7-Dépenses</v>
      </c>
      <c r="R352" s="653" t="str">
        <f t="shared" si="184"/>
        <v>6187</v>
      </c>
      <c r="S352" s="654">
        <f t="shared" si="185"/>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hidden="1" customHeight="1">
      <c r="A353" s="1213" t="s">
        <v>1239</v>
      </c>
      <c r="B353" s="1213" t="s">
        <v>2424</v>
      </c>
      <c r="C353" s="1215">
        <v>4619.1499999999996</v>
      </c>
      <c r="D353" s="1215">
        <v>413.4</v>
      </c>
      <c r="E353" s="1215">
        <v>5032.55</v>
      </c>
      <c r="F353" s="1213" t="s">
        <v>1154</v>
      </c>
      <c r="G353" s="1213" t="s">
        <v>1222</v>
      </c>
      <c r="H353" s="1156"/>
      <c r="I353" s="1155"/>
      <c r="J353" s="1155"/>
      <c r="K353" s="1155"/>
      <c r="L353" s="653" t="str">
        <f t="shared" si="181"/>
        <v>6293</v>
      </c>
      <c r="M353" s="654" t="str">
        <f t="shared" si="182"/>
        <v>AUTRE TAXES - USAGES</v>
      </c>
      <c r="N353" s="655">
        <f>+IF(OR($Q353=Parametres!$G$2,$Q353=Parametres!$G$3),I353,C353)</f>
        <v>4619.1499999999996</v>
      </c>
      <c r="O353" s="655">
        <f>+IF(OR($Q353=Parametres!$G$2,$Q353=Parametres!$G$3),J353,D353)</f>
        <v>413.4</v>
      </c>
      <c r="P353" s="655">
        <f>+IF(OR($Q353=Parametres!$G$2,$Q353=Parametres!$G$3),K353,E353)</f>
        <v>5032.55</v>
      </c>
      <c r="Q353" s="654" t="str">
        <f t="shared" si="183"/>
        <v>7-Dépenses</v>
      </c>
      <c r="R353" s="653" t="str">
        <f t="shared" si="184"/>
        <v>6193</v>
      </c>
      <c r="S353" s="654">
        <f t="shared" si="185"/>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hidden="1" customHeight="1">
      <c r="A354" s="1213" t="s">
        <v>1240</v>
      </c>
      <c r="B354" s="1213" t="s">
        <v>2427</v>
      </c>
      <c r="C354" s="1215">
        <v>13091.95</v>
      </c>
      <c r="D354" s="1215">
        <v>770.8</v>
      </c>
      <c r="E354" s="1215">
        <v>13862.75</v>
      </c>
      <c r="F354" s="1213" t="s">
        <v>1154</v>
      </c>
      <c r="G354" s="1213" t="s">
        <v>1224</v>
      </c>
      <c r="H354" s="1156"/>
      <c r="I354" s="1155"/>
      <c r="J354" s="1155"/>
      <c r="K354" s="1155"/>
      <c r="L354" s="653" t="str">
        <f t="shared" si="181"/>
        <v>6294</v>
      </c>
      <c r="M354" s="654" t="str">
        <f t="shared" si="182"/>
        <v>FRAIS PROFESSIONNEL-USAGE</v>
      </c>
      <c r="N354" s="655">
        <f>+IF(OR($Q354=Parametres!$G$2,$Q354=Parametres!$G$3),I354,C354)</f>
        <v>13091.95</v>
      </c>
      <c r="O354" s="655">
        <f>+IF(OR($Q354=Parametres!$G$2,$Q354=Parametres!$G$3),J354,D354)</f>
        <v>770.8</v>
      </c>
      <c r="P354" s="655">
        <f>+IF(OR($Q354=Parametres!$G$2,$Q354=Parametres!$G$3),K354,E354)</f>
        <v>13862.75</v>
      </c>
      <c r="Q354" s="654" t="str">
        <f t="shared" si="183"/>
        <v>7-Dépenses</v>
      </c>
      <c r="R354" s="653" t="str">
        <f t="shared" si="184"/>
        <v>6194</v>
      </c>
      <c r="S354" s="654">
        <f t="shared" si="185"/>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hidden="1" customHeight="1">
      <c r="A355" s="1213" t="s">
        <v>1241</v>
      </c>
      <c r="B355" s="1213" t="s">
        <v>2430</v>
      </c>
      <c r="C355" s="1215">
        <v>28543.53</v>
      </c>
      <c r="D355" s="1215">
        <v>11082.2</v>
      </c>
      <c r="E355" s="1215">
        <v>39625.730000000003</v>
      </c>
      <c r="F355" s="1213" t="s">
        <v>1154</v>
      </c>
      <c r="G355" s="1213" t="s">
        <v>1242</v>
      </c>
      <c r="H355" s="1156"/>
      <c r="I355" s="1155"/>
      <c r="J355" s="1155"/>
      <c r="K355" s="1155"/>
      <c r="L355" s="653" t="str">
        <f t="shared" si="181"/>
        <v>6403</v>
      </c>
      <c r="M355" s="654" t="str">
        <f t="shared" si="182"/>
        <v>RELAT. A LA CLIENTELE &amp; AJUST</v>
      </c>
      <c r="N355" s="655">
        <f>+IF(OR($Q355=Parametres!$G$2,$Q355=Parametres!$G$3),I355,C355)</f>
        <v>28543.53</v>
      </c>
      <c r="O355" s="655">
        <f>+IF(OR($Q355=Parametres!$G$2,$Q355=Parametres!$G$3),J355,D355)</f>
        <v>11082.2</v>
      </c>
      <c r="P355" s="655">
        <f>+IF(OR($Q355=Parametres!$G$2,$Q355=Parametres!$G$3),K355,E355)</f>
        <v>39625.730000000003</v>
      </c>
      <c r="Q355" s="654" t="str">
        <f t="shared" si="183"/>
        <v>7-Dépenses</v>
      </c>
      <c r="R355" s="653" t="str">
        <f t="shared" si="184"/>
        <v>6112</v>
      </c>
      <c r="S355" s="654">
        <f t="shared" si="185"/>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hidden="1" customHeight="1">
      <c r="A356" s="1213" t="s">
        <v>1243</v>
      </c>
      <c r="B356" s="1213" t="s">
        <v>2433</v>
      </c>
      <c r="C356" s="1215">
        <v>4958.62</v>
      </c>
      <c r="D356" s="1215">
        <v>111.24</v>
      </c>
      <c r="E356" s="1215">
        <v>5069.8599999999997</v>
      </c>
      <c r="F356" s="1213" t="s">
        <v>1154</v>
      </c>
      <c r="G356" s="1213" t="s">
        <v>1242</v>
      </c>
      <c r="H356" s="1156"/>
      <c r="I356" s="1155"/>
      <c r="J356" s="1155"/>
      <c r="K356" s="1155"/>
      <c r="L356" s="653" t="str">
        <f t="shared" si="181"/>
        <v>6412</v>
      </c>
      <c r="M356" s="654" t="str">
        <f t="shared" si="182"/>
        <v>AUTORISATION &amp; GAR./VEH. USA</v>
      </c>
      <c r="N356" s="655">
        <f>+IF(OR($Q356=Parametres!$G$2,$Q356=Parametres!$G$3),I356,C356)</f>
        <v>4958.62</v>
      </c>
      <c r="O356" s="655">
        <f>+IF(OR($Q356=Parametres!$G$2,$Q356=Parametres!$G$3),J356,D356)</f>
        <v>111.24</v>
      </c>
      <c r="P356" s="655">
        <f>+IF(OR($Q356=Parametres!$G$2,$Q356=Parametres!$G$3),K356,E356)</f>
        <v>5069.8599999999997</v>
      </c>
      <c r="Q356" s="654" t="str">
        <f t="shared" si="183"/>
        <v>7-Dépenses</v>
      </c>
      <c r="R356" s="653" t="str">
        <f t="shared" si="184"/>
        <v>6112</v>
      </c>
      <c r="S356" s="654">
        <f t="shared" si="185"/>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hidden="1" customHeight="1">
      <c r="A357" s="1213" t="s">
        <v>1166</v>
      </c>
      <c r="B357" s="1213" t="s">
        <v>2436</v>
      </c>
      <c r="C357" s="1215">
        <v>122437.44</v>
      </c>
      <c r="D357" s="1215">
        <v>11869.48</v>
      </c>
      <c r="E357" s="1215">
        <v>134306.92000000001</v>
      </c>
      <c r="F357" s="1213" t="s">
        <v>1154</v>
      </c>
      <c r="G357" s="1213" t="s">
        <v>1167</v>
      </c>
      <c r="H357" s="1156"/>
      <c r="I357" s="1155"/>
      <c r="J357" s="1155"/>
      <c r="K357" s="1155"/>
      <c r="L357" s="653" t="str">
        <f t="shared" si="181"/>
        <v>6414</v>
      </c>
      <c r="M357" s="654" t="str">
        <f t="shared" si="182"/>
        <v>PUBLICITE</v>
      </c>
      <c r="N357" s="655">
        <f>+IF(OR($Q357=Parametres!$G$2,$Q357=Parametres!$G$3),I357,C357)</f>
        <v>122437.44</v>
      </c>
      <c r="O357" s="655">
        <f>+IF(OR($Q357=Parametres!$G$2,$Q357=Parametres!$G$3),J357,D357)</f>
        <v>11869.48</v>
      </c>
      <c r="P357" s="655">
        <f>+IF(OR($Q357=Parametres!$G$2,$Q357=Parametres!$G$3),K357,E357)</f>
        <v>134306.92000000001</v>
      </c>
      <c r="Q357" s="654" t="str">
        <f t="shared" si="183"/>
        <v>7-Dépenses</v>
      </c>
      <c r="R357" s="653" t="str">
        <f t="shared" si="184"/>
        <v>6114</v>
      </c>
      <c r="S357" s="654">
        <f t="shared" si="185"/>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hidden="1" customHeight="1">
      <c r="A358" s="1213" t="s">
        <v>1169</v>
      </c>
      <c r="B358" s="1213" t="s">
        <v>2439</v>
      </c>
      <c r="C358" s="1215">
        <v>39553.24</v>
      </c>
      <c r="D358" s="1215">
        <v>2575.35</v>
      </c>
      <c r="E358" s="1215">
        <v>42128.59</v>
      </c>
      <c r="F358" s="1213" t="s">
        <v>1154</v>
      </c>
      <c r="G358" s="1213" t="s">
        <v>1170</v>
      </c>
      <c r="H358" s="1156"/>
      <c r="I358" s="1155"/>
      <c r="J358" s="1155"/>
      <c r="K358" s="1155"/>
      <c r="L358" s="653" t="str">
        <f t="shared" si="181"/>
        <v>6421</v>
      </c>
      <c r="M358" s="654" t="str">
        <f t="shared" si="182"/>
        <v>SALAIRES - PROPRIETAIRES</v>
      </c>
      <c r="N358" s="655">
        <f>+IF(OR($Q358=Parametres!$G$2,$Q358=Parametres!$G$3),I358,C358)</f>
        <v>39553.24</v>
      </c>
      <c r="O358" s="655">
        <f>+IF(OR($Q358=Parametres!$G$2,$Q358=Parametres!$G$3),J358,D358)</f>
        <v>2575.35</v>
      </c>
      <c r="P358" s="655">
        <f>+IF(OR($Q358=Parametres!$G$2,$Q358=Parametres!$G$3),K358,E358)</f>
        <v>42128.59</v>
      </c>
      <c r="Q358" s="654" t="str">
        <f t="shared" si="183"/>
        <v>7-Dépenses</v>
      </c>
      <c r="R358" s="653" t="str">
        <f t="shared" si="184"/>
        <v>6121</v>
      </c>
      <c r="S358" s="654">
        <f t="shared" si="185"/>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hidden="1" customHeight="1">
      <c r="A359" s="1213" t="s">
        <v>1171</v>
      </c>
      <c r="B359" s="1213" t="s">
        <v>2442</v>
      </c>
      <c r="C359" s="1215">
        <v>157317.66</v>
      </c>
      <c r="D359" s="1215">
        <v>17739.560000000001</v>
      </c>
      <c r="E359" s="1215">
        <v>175057.22</v>
      </c>
      <c r="F359" s="1213" t="s">
        <v>1154</v>
      </c>
      <c r="G359" s="1213" t="s">
        <v>1172</v>
      </c>
      <c r="H359" s="1156"/>
      <c r="I359" s="1155"/>
      <c r="J359" s="1155"/>
      <c r="K359" s="1155"/>
      <c r="L359" s="653" t="str">
        <f t="shared" si="181"/>
        <v>6422</v>
      </c>
      <c r="M359" s="654" t="str">
        <f t="shared" si="182"/>
        <v>SAL SUPERVISION / GERANT</v>
      </c>
      <c r="N359" s="655">
        <f>+IF(OR($Q359=Parametres!$G$2,$Q359=Parametres!$G$3),I359,C359)</f>
        <v>157317.66</v>
      </c>
      <c r="O359" s="655">
        <f>+IF(OR($Q359=Parametres!$G$2,$Q359=Parametres!$G$3),J359,D359)</f>
        <v>17739.560000000001</v>
      </c>
      <c r="P359" s="655">
        <f>+IF(OR($Q359=Parametres!$G$2,$Q359=Parametres!$G$3),K359,E359)</f>
        <v>175057.22</v>
      </c>
      <c r="Q359" s="654" t="str">
        <f t="shared" si="183"/>
        <v>7-Dépenses</v>
      </c>
      <c r="R359" s="653" t="str">
        <f t="shared" si="184"/>
        <v>6122</v>
      </c>
      <c r="S359" s="654">
        <f t="shared" si="18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hidden="1" customHeight="1">
      <c r="A360" s="1213" t="s">
        <v>1244</v>
      </c>
      <c r="B360" s="1213" t="s">
        <v>2445</v>
      </c>
      <c r="C360" s="1215">
        <v>87620.11</v>
      </c>
      <c r="D360" s="1215">
        <v>7290.69</v>
      </c>
      <c r="E360" s="1215">
        <v>94910.8</v>
      </c>
      <c r="F360" s="1213" t="s">
        <v>1154</v>
      </c>
      <c r="G360" s="1213" t="s">
        <v>1174</v>
      </c>
      <c r="H360" s="1156"/>
      <c r="I360" s="1155"/>
      <c r="J360" s="1155"/>
      <c r="K360" s="1155"/>
      <c r="L360" s="653" t="str">
        <f t="shared" si="181"/>
        <v>6423</v>
      </c>
      <c r="M360" s="654" t="str">
        <f t="shared" si="182"/>
        <v>SAL. &amp; RENUM. CLERICAL</v>
      </c>
      <c r="N360" s="655">
        <f>+IF(OR($Q360=Parametres!$G$2,$Q360=Parametres!$G$3),I360,C360)</f>
        <v>87620.11</v>
      </c>
      <c r="O360" s="655">
        <f>+IF(OR($Q360=Parametres!$G$2,$Q360=Parametres!$G$3),J360,D360)</f>
        <v>7290.69</v>
      </c>
      <c r="P360" s="655">
        <f>+IF(OR($Q360=Parametres!$G$2,$Q360=Parametres!$G$3),K360,E360)</f>
        <v>94910.8</v>
      </c>
      <c r="Q360" s="654" t="str">
        <f t="shared" si="183"/>
        <v>7-Dépenses</v>
      </c>
      <c r="R360" s="653" t="str">
        <f t="shared" si="184"/>
        <v>6123</v>
      </c>
      <c r="S360" s="654">
        <f t="shared" si="185"/>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hidden="1" customHeight="1">
      <c r="A361" s="1213" t="s">
        <v>1175</v>
      </c>
      <c r="B361" s="1213" t="s">
        <v>2448</v>
      </c>
      <c r="C361" s="1215">
        <v>204878.87</v>
      </c>
      <c r="D361" s="1215">
        <v>11607.22</v>
      </c>
      <c r="E361" s="1215">
        <v>216486.09</v>
      </c>
      <c r="F361" s="1213" t="s">
        <v>1154</v>
      </c>
      <c r="G361" s="1213" t="s">
        <v>1176</v>
      </c>
      <c r="H361" s="1156"/>
      <c r="I361" s="1155"/>
      <c r="J361" s="1155"/>
      <c r="K361" s="1155"/>
      <c r="L361" s="653" t="str">
        <f t="shared" si="181"/>
        <v>6424</v>
      </c>
      <c r="M361" s="654" t="str">
        <f t="shared" si="182"/>
        <v>SALAIRES &amp; RENUM. - AUTRES</v>
      </c>
      <c r="N361" s="655">
        <f>+IF(OR($Q361=Parametres!$G$2,$Q361=Parametres!$G$3),I361,C361)</f>
        <v>204878.87</v>
      </c>
      <c r="O361" s="655">
        <f>+IF(OR($Q361=Parametres!$G$2,$Q361=Parametres!$G$3),J361,D361)</f>
        <v>11607.22</v>
      </c>
      <c r="P361" s="655">
        <f>+IF(OR($Q361=Parametres!$G$2,$Q361=Parametres!$G$3),K361,E361)</f>
        <v>216486.09</v>
      </c>
      <c r="Q361" s="654" t="str">
        <f t="shared" si="183"/>
        <v>7-Dépenses</v>
      </c>
      <c r="R361" s="653" t="str">
        <f t="shared" si="184"/>
        <v>6124</v>
      </c>
      <c r="S361" s="654">
        <f t="shared" si="185"/>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hidden="1" customHeight="1">
      <c r="A362" s="1213" t="s">
        <v>1245</v>
      </c>
      <c r="B362" s="1213" t="s">
        <v>2451</v>
      </c>
      <c r="C362" s="1215">
        <v>326838.28999999998</v>
      </c>
      <c r="D362" s="1215">
        <v>20622.5</v>
      </c>
      <c r="E362" s="1215">
        <v>347460.79</v>
      </c>
      <c r="F362" s="1213" t="s">
        <v>1154</v>
      </c>
      <c r="G362" s="1213" t="s">
        <v>1246</v>
      </c>
      <c r="H362" s="1156"/>
      <c r="I362" s="1155"/>
      <c r="J362" s="1155"/>
      <c r="K362" s="1155"/>
      <c r="L362" s="653" t="str">
        <f t="shared" si="181"/>
        <v>6425</v>
      </c>
      <c r="M362" s="654" t="str">
        <f t="shared" si="182"/>
        <v>SALAIRE SPECIALISTES</v>
      </c>
      <c r="N362" s="655">
        <f>+IF(OR($Q362=Parametres!$G$2,$Q362=Parametres!$G$3),I362,C362)</f>
        <v>326838.28999999998</v>
      </c>
      <c r="O362" s="655">
        <f>+IF(OR($Q362=Parametres!$G$2,$Q362=Parametres!$G$3),J362,D362)</f>
        <v>20622.5</v>
      </c>
      <c r="P362" s="655">
        <f>+IF(OR($Q362=Parametres!$G$2,$Q362=Parametres!$G$3),K362,E362)</f>
        <v>347460.79</v>
      </c>
      <c r="Q362" s="654" t="str">
        <f t="shared" si="183"/>
        <v>7-Dépenses</v>
      </c>
      <c r="R362" s="653" t="str">
        <f t="shared" si="184"/>
        <v>6125</v>
      </c>
      <c r="S362" s="654">
        <f t="shared" si="185"/>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hidden="1" customHeight="1">
      <c r="A363" s="1213" t="s">
        <v>1247</v>
      </c>
      <c r="B363" s="1213" t="s">
        <v>2454</v>
      </c>
      <c r="C363" s="1215">
        <v>184571.84</v>
      </c>
      <c r="D363" s="1215">
        <v>14158.46</v>
      </c>
      <c r="E363" s="1215">
        <v>198730.3</v>
      </c>
      <c r="F363" s="1213" t="s">
        <v>1154</v>
      </c>
      <c r="G363" s="1213" t="s">
        <v>1178</v>
      </c>
      <c r="H363" s="1156"/>
      <c r="I363" s="1155"/>
      <c r="J363" s="1155"/>
      <c r="K363" s="1155"/>
      <c r="L363" s="653" t="str">
        <f t="shared" si="181"/>
        <v>6429</v>
      </c>
      <c r="M363" s="654" t="str">
        <f t="shared" si="182"/>
        <v>SAL.,VACANCE, &amp; SAL. JOURS FER</v>
      </c>
      <c r="N363" s="655">
        <f>+IF(OR($Q363=Parametres!$G$2,$Q363=Parametres!$G$3),I363,C363)</f>
        <v>184571.84</v>
      </c>
      <c r="O363" s="655">
        <f>+IF(OR($Q363=Parametres!$G$2,$Q363=Parametres!$G$3),J363,D363)</f>
        <v>14158.46</v>
      </c>
      <c r="P363" s="655">
        <f>+IF(OR($Q363=Parametres!$G$2,$Q363=Parametres!$G$3),K363,E363)</f>
        <v>198730.3</v>
      </c>
      <c r="Q363" s="654" t="str">
        <f t="shared" si="183"/>
        <v>7-Dépenses</v>
      </c>
      <c r="R363" s="653" t="str">
        <f t="shared" si="184"/>
        <v>6129</v>
      </c>
      <c r="S363" s="654">
        <f t="shared" si="185"/>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hidden="1" customHeight="1">
      <c r="A364" s="1213" t="s">
        <v>1179</v>
      </c>
      <c r="B364" s="1213" t="s">
        <v>2457</v>
      </c>
      <c r="C364" s="1215">
        <v>45053.75</v>
      </c>
      <c r="D364" s="1215">
        <v>4450.8500000000004</v>
      </c>
      <c r="E364" s="1215">
        <v>49504.6</v>
      </c>
      <c r="F364" s="1213" t="s">
        <v>1154</v>
      </c>
      <c r="G364" s="1213" t="s">
        <v>1180</v>
      </c>
      <c r="H364" s="1156"/>
      <c r="I364" s="1155"/>
      <c r="J364" s="1155"/>
      <c r="K364" s="1155"/>
      <c r="L364" s="653" t="str">
        <f t="shared" si="181"/>
        <v>6431</v>
      </c>
      <c r="M364" s="654" t="str">
        <f t="shared" si="182"/>
        <v>CSST</v>
      </c>
      <c r="N364" s="655">
        <f>+IF(OR($Q364=Parametres!$G$2,$Q364=Parametres!$G$3),I364,C364)</f>
        <v>45053.75</v>
      </c>
      <c r="O364" s="655">
        <f>+IF(OR($Q364=Parametres!$G$2,$Q364=Parametres!$G$3),J364,D364)</f>
        <v>4450.8500000000004</v>
      </c>
      <c r="P364" s="655">
        <f>+IF(OR($Q364=Parametres!$G$2,$Q364=Parametres!$G$3),K364,E364)</f>
        <v>49504.6</v>
      </c>
      <c r="Q364" s="654" t="str">
        <f t="shared" si="183"/>
        <v>7-Dépenses</v>
      </c>
      <c r="R364" s="653" t="str">
        <f t="shared" si="184"/>
        <v>6131</v>
      </c>
      <c r="S364" s="654">
        <f t="shared" si="185"/>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hidden="1" customHeight="1">
      <c r="A365" s="1213" t="s">
        <v>1181</v>
      </c>
      <c r="B365" s="1213" t="s">
        <v>2460</v>
      </c>
      <c r="C365" s="1215">
        <v>237643.72</v>
      </c>
      <c r="D365" s="1215">
        <v>17254.759999999998</v>
      </c>
      <c r="E365" s="1215">
        <v>254898.48</v>
      </c>
      <c r="F365" s="1213" t="s">
        <v>1154</v>
      </c>
      <c r="G365" s="1213" t="s">
        <v>1182</v>
      </c>
      <c r="H365" s="1156"/>
      <c r="I365" s="1155"/>
      <c r="J365" s="1155"/>
      <c r="K365" s="1155"/>
      <c r="L365" s="653" t="str">
        <f t="shared" si="181"/>
        <v>6432</v>
      </c>
      <c r="M365" s="654" t="str">
        <f t="shared" si="182"/>
        <v>RRQ RAMQ AC</v>
      </c>
      <c r="N365" s="655">
        <f>+IF(OR($Q365=Parametres!$G$2,$Q365=Parametres!$G$3),I365,C365)</f>
        <v>237643.72</v>
      </c>
      <c r="O365" s="655">
        <f>+IF(OR($Q365=Parametres!$G$2,$Q365=Parametres!$G$3),J365,D365)</f>
        <v>17254.759999999998</v>
      </c>
      <c r="P365" s="655">
        <f>+IF(OR($Q365=Parametres!$G$2,$Q365=Parametres!$G$3),K365,E365)</f>
        <v>254898.48</v>
      </c>
      <c r="Q365" s="654" t="str">
        <f t="shared" si="183"/>
        <v>7-Dépenses</v>
      </c>
      <c r="R365" s="653" t="str">
        <f t="shared" si="184"/>
        <v>6132</v>
      </c>
      <c r="S365" s="654">
        <f t="shared" si="185"/>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hidden="1" customHeight="1">
      <c r="A366" s="1213" t="s">
        <v>1248</v>
      </c>
      <c r="B366" s="1213" t="s">
        <v>2463</v>
      </c>
      <c r="C366" s="1215">
        <v>67249.070000000007</v>
      </c>
      <c r="D366" s="1215">
        <v>3878.63</v>
      </c>
      <c r="E366" s="1215">
        <v>71127.7</v>
      </c>
      <c r="F366" s="1213" t="s">
        <v>1154</v>
      </c>
      <c r="G366" s="1213" t="s">
        <v>1184</v>
      </c>
      <c r="H366" s="1156"/>
      <c r="I366" s="1155"/>
      <c r="J366" s="1155"/>
      <c r="K366" s="1155"/>
      <c r="L366" s="653" t="str">
        <f t="shared" si="181"/>
        <v>6433</v>
      </c>
      <c r="M366" s="654" t="str">
        <f t="shared" si="182"/>
        <v>FOND PENSION - SERVICE</v>
      </c>
      <c r="N366" s="655">
        <f>+IF(OR($Q366=Parametres!$G$2,$Q366=Parametres!$G$3),I366,C366)</f>
        <v>67249.070000000007</v>
      </c>
      <c r="O366" s="659">
        <f>+IF(OR($Q366=Parametres!$G$2,$Q366=Parametres!$G$3),J366,D366)</f>
        <v>3878.63</v>
      </c>
      <c r="P366" s="655">
        <f>+IF(OR($Q366=Parametres!$G$2,$Q366=Parametres!$G$3),K366,E366)</f>
        <v>71127.7</v>
      </c>
      <c r="Q366" s="654" t="str">
        <f t="shared" si="183"/>
        <v>7-Dépenses</v>
      </c>
      <c r="R366" s="653" t="str">
        <f t="shared" si="184"/>
        <v>6133</v>
      </c>
      <c r="S366" s="654">
        <f t="shared" si="185"/>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hidden="1" customHeight="1">
      <c r="A367" s="1213" t="s">
        <v>1231</v>
      </c>
      <c r="B367" s="1213" t="s">
        <v>2466</v>
      </c>
      <c r="C367" s="1215">
        <v>53139.02</v>
      </c>
      <c r="D367" s="1215">
        <v>5123.6499999999996</v>
      </c>
      <c r="E367" s="1215">
        <v>58262.67</v>
      </c>
      <c r="F367" s="1213" t="s">
        <v>1154</v>
      </c>
      <c r="G367" s="1213" t="s">
        <v>1186</v>
      </c>
      <c r="H367" s="1156"/>
      <c r="I367" s="1155"/>
      <c r="J367" s="1155"/>
      <c r="K367" s="1155"/>
      <c r="L367" s="653" t="str">
        <f t="shared" si="181"/>
        <v>6439</v>
      </c>
      <c r="M367" s="654" t="str">
        <f t="shared" si="182"/>
        <v>ASSURANCE GROUPE</v>
      </c>
      <c r="N367" s="655">
        <f>+IF(OR($Q367=Parametres!$G$2,$Q367=Parametres!$G$3),I367,C367)</f>
        <v>53139.02</v>
      </c>
      <c r="O367" s="655">
        <f>+IF(OR($Q367=Parametres!$G$2,$Q367=Parametres!$G$3),J367,D367)</f>
        <v>5123.6499999999996</v>
      </c>
      <c r="P367" s="655">
        <f>+IF(OR($Q367=Parametres!$G$2,$Q367=Parametres!$G$3),K367,E367)</f>
        <v>58262.67</v>
      </c>
      <c r="Q367" s="654" t="str">
        <f t="shared" si="183"/>
        <v>7-Dépenses</v>
      </c>
      <c r="R367" s="653" t="str">
        <f t="shared" si="184"/>
        <v>6139</v>
      </c>
      <c r="S367" s="654">
        <f t="shared" si="185"/>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hidden="1" customHeight="1">
      <c r="A368" s="1213" t="s">
        <v>1249</v>
      </c>
      <c r="B368" s="1213" t="s">
        <v>2472</v>
      </c>
      <c r="C368" s="1215">
        <v>7405.26</v>
      </c>
      <c r="D368" s="1215">
        <v>936.74</v>
      </c>
      <c r="E368" s="1215">
        <v>8342</v>
      </c>
      <c r="F368" s="1213" t="s">
        <v>1154</v>
      </c>
      <c r="G368" s="1213" t="s">
        <v>1242</v>
      </c>
      <c r="H368" s="1156"/>
      <c r="I368" s="1155"/>
      <c r="J368" s="1155"/>
      <c r="K368" s="1155"/>
      <c r="L368" s="653" t="str">
        <f t="shared" si="181"/>
        <v>6441</v>
      </c>
      <c r="M368" s="654" t="str">
        <f t="shared" si="182"/>
        <v>RETOURS</v>
      </c>
      <c r="N368" s="655">
        <f>+IF(OR($Q368=Parametres!$G$2,$Q368=Parametres!$G$3),I368,C368)</f>
        <v>7405.26</v>
      </c>
      <c r="O368" s="655">
        <f>+IF(OR($Q368=Parametres!$G$2,$Q368=Parametres!$G$3),J368,D368)</f>
        <v>936.74</v>
      </c>
      <c r="P368" s="655">
        <f>+IF(OR($Q368=Parametres!$G$2,$Q368=Parametres!$G$3),K368,E368)</f>
        <v>8342</v>
      </c>
      <c r="Q368" s="654" t="str">
        <f t="shared" si="183"/>
        <v>7-Dépenses</v>
      </c>
      <c r="R368" s="653" t="str">
        <f t="shared" si="184"/>
        <v>6112</v>
      </c>
      <c r="S368" s="654">
        <f t="shared" si="185"/>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hidden="1" customHeight="1">
      <c r="A369" s="1213" t="s">
        <v>1187</v>
      </c>
      <c r="B369" s="1213" t="s">
        <v>2475</v>
      </c>
      <c r="C369" s="1215">
        <v>47845.02</v>
      </c>
      <c r="D369" s="1215">
        <v>9472.7999999999993</v>
      </c>
      <c r="E369" s="1215">
        <v>57317.82</v>
      </c>
      <c r="F369" s="1213" t="s">
        <v>1154</v>
      </c>
      <c r="G369" s="1213" t="s">
        <v>1188</v>
      </c>
      <c r="H369" s="1156"/>
      <c r="I369" s="1155"/>
      <c r="J369" s="1155"/>
      <c r="K369" s="1155"/>
      <c r="L369" s="653" t="str">
        <f t="shared" si="181"/>
        <v>6442</v>
      </c>
      <c r="M369" s="654" t="str">
        <f t="shared" si="182"/>
        <v>FOURNITURES &amp; PETITS OUTILS</v>
      </c>
      <c r="N369" s="655">
        <f>+IF(OR($Q369=Parametres!$G$2,$Q369=Parametres!$G$3),I369,C369)</f>
        <v>47845.02</v>
      </c>
      <c r="O369" s="655">
        <f>+IF(OR($Q369=Parametres!$G$2,$Q369=Parametres!$G$3),J369,D369)</f>
        <v>9472.7999999999993</v>
      </c>
      <c r="P369" s="655">
        <f>+IF(OR($Q369=Parametres!$G$2,$Q369=Parametres!$G$3),K369,E369)</f>
        <v>57317.82</v>
      </c>
      <c r="Q369" s="654" t="str">
        <f t="shared" si="183"/>
        <v>7-Dépenses</v>
      </c>
      <c r="R369" s="653" t="str">
        <f t="shared" si="184"/>
        <v>6142</v>
      </c>
      <c r="S369" s="654">
        <f t="shared" si="18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hidden="1" customHeight="1">
      <c r="A370" s="1213" t="s">
        <v>1189</v>
      </c>
      <c r="B370" s="1213" t="s">
        <v>2478</v>
      </c>
      <c r="C370" s="1215">
        <v>13490.77</v>
      </c>
      <c r="D370" s="1215">
        <v>1044.83</v>
      </c>
      <c r="E370" s="1215">
        <v>14535.6</v>
      </c>
      <c r="F370" s="1213" t="s">
        <v>1154</v>
      </c>
      <c r="G370" s="1213" t="s">
        <v>1190</v>
      </c>
      <c r="H370" s="1156"/>
      <c r="I370" s="1155"/>
      <c r="J370" s="1155"/>
      <c r="K370" s="1155"/>
      <c r="L370" s="653" t="str">
        <f t="shared" si="181"/>
        <v>6443</v>
      </c>
      <c r="M370" s="654" t="str">
        <f t="shared" si="182"/>
        <v>UNIFORMES &amp; LESSIVE</v>
      </c>
      <c r="N370" s="655">
        <f>+IF(OR($Q370=Parametres!$G$2,$Q370=Parametres!$G$3),I370,C370)</f>
        <v>13490.77</v>
      </c>
      <c r="O370" s="655">
        <f>+IF(OR($Q370=Parametres!$G$2,$Q370=Parametres!$G$3),J370,D370)</f>
        <v>1044.83</v>
      </c>
      <c r="P370" s="655">
        <f>+IF(OR($Q370=Parametres!$G$2,$Q370=Parametres!$G$3),K370,E370)</f>
        <v>14535.6</v>
      </c>
      <c r="Q370" s="654" t="str">
        <f t="shared" si="183"/>
        <v>7-Dépenses</v>
      </c>
      <c r="R370" s="653" t="str">
        <f t="shared" si="184"/>
        <v>6143</v>
      </c>
      <c r="S370" s="654">
        <f t="shared" si="185"/>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hidden="1" customHeight="1">
      <c r="A371" s="1213" t="s">
        <v>1191</v>
      </c>
      <c r="B371" s="1213" t="s">
        <v>2481</v>
      </c>
      <c r="C371" s="1215">
        <v>22848.33</v>
      </c>
      <c r="D371" s="1215">
        <v>338.27</v>
      </c>
      <c r="E371" s="1215">
        <v>23186.6</v>
      </c>
      <c r="F371" s="1213" t="s">
        <v>1154</v>
      </c>
      <c r="G371" s="1213" t="s">
        <v>1192</v>
      </c>
      <c r="H371" s="1156"/>
      <c r="I371" s="1155"/>
      <c r="J371" s="1155"/>
      <c r="K371" s="1155"/>
      <c r="L371" s="653" t="str">
        <f t="shared" si="181"/>
        <v>6444</v>
      </c>
      <c r="M371" s="654" t="str">
        <f t="shared" si="182"/>
        <v>FORMATION</v>
      </c>
      <c r="N371" s="655">
        <f>+IF(OR($Q371=Parametres!$G$2,$Q371=Parametres!$G$3),I371,C371)</f>
        <v>22848.33</v>
      </c>
      <c r="O371" s="655">
        <f>+IF(OR($Q371=Parametres!$G$2,$Q371=Parametres!$G$3),J371,D371)</f>
        <v>338.27</v>
      </c>
      <c r="P371" s="655">
        <f>+IF(OR($Q371=Parametres!$G$2,$Q371=Parametres!$G$3),K371,E371)</f>
        <v>23186.6</v>
      </c>
      <c r="Q371" s="654" t="str">
        <f t="shared" si="183"/>
        <v>7-Dépenses</v>
      </c>
      <c r="R371" s="653" t="str">
        <f t="shared" si="184"/>
        <v>6144</v>
      </c>
      <c r="S371" s="654">
        <f t="shared" si="185"/>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hidden="1" customHeight="1">
      <c r="A372" s="1213" t="s">
        <v>1250</v>
      </c>
      <c r="B372" s="1213" t="s">
        <v>2484</v>
      </c>
      <c r="C372" s="1215">
        <v>129618.15</v>
      </c>
      <c r="D372" s="1215">
        <v>12584.47</v>
      </c>
      <c r="E372" s="1215">
        <v>142202.62</v>
      </c>
      <c r="F372" s="1213" t="s">
        <v>1154</v>
      </c>
      <c r="G372" s="1213" t="s">
        <v>1194</v>
      </c>
      <c r="H372" s="1156"/>
      <c r="I372" s="1155"/>
      <c r="J372" s="1155"/>
      <c r="K372" s="1155"/>
      <c r="L372" s="653" t="str">
        <f t="shared" ref="L372:L435" si="186">TEXT(B372,0)</f>
        <v>6445</v>
      </c>
      <c r="M372" s="654" t="str">
        <f t="shared" ref="M372:M435" si="187">+A372</f>
        <v>LOCATION COURTOISIE</v>
      </c>
      <c r="N372" s="655">
        <f>+IF(OR($Q372=Parametres!$G$2,$Q372=Parametres!$G$3),I372,C372)</f>
        <v>129618.15</v>
      </c>
      <c r="O372" s="655">
        <f>+IF(OR($Q372=Parametres!$G$2,$Q372=Parametres!$G$3),J372,D372)</f>
        <v>12584.47</v>
      </c>
      <c r="P372" s="655">
        <f>+IF(OR($Q372=Parametres!$G$2,$Q372=Parametres!$G$3),K372,E372)</f>
        <v>142202.62</v>
      </c>
      <c r="Q372" s="654" t="str">
        <f t="shared" ref="Q372:Q435" si="188">+F372</f>
        <v>7-Dépenses</v>
      </c>
      <c r="R372" s="653" t="str">
        <f t="shared" ref="R372:R435" si="189">+G372</f>
        <v>6145</v>
      </c>
      <c r="S372" s="654">
        <f t="shared" ref="S372:S435" si="190">+H372</f>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hidden="1" customHeight="1">
      <c r="A373" s="1213" t="s">
        <v>1195</v>
      </c>
      <c r="B373" s="1213" t="s">
        <v>2487</v>
      </c>
      <c r="C373" s="1215">
        <v>870.06</v>
      </c>
      <c r="D373" s="1215">
        <v>24.72</v>
      </c>
      <c r="E373" s="1215">
        <v>894.78</v>
      </c>
      <c r="F373" s="1213" t="s">
        <v>1154</v>
      </c>
      <c r="G373" s="1213" t="s">
        <v>1196</v>
      </c>
      <c r="H373" s="1156"/>
      <c r="I373" s="1155"/>
      <c r="J373" s="1155"/>
      <c r="K373" s="1155"/>
      <c r="L373" s="653" t="str">
        <f t="shared" si="186"/>
        <v>6447</v>
      </c>
      <c r="M373" s="654" t="str">
        <f t="shared" si="187"/>
        <v>FRET/EXPRESS/TRANS. PAR CAMION</v>
      </c>
      <c r="N373" s="655">
        <f>+IF(OR($Q373=Parametres!$G$2,$Q373=Parametres!$G$3),I373,C373)</f>
        <v>870.06</v>
      </c>
      <c r="O373" s="655">
        <f>+IF(OR($Q373=Parametres!$G$2,$Q373=Parametres!$G$3),J373,D373)</f>
        <v>24.72</v>
      </c>
      <c r="P373" s="655">
        <f>+IF(OR($Q373=Parametres!$G$2,$Q373=Parametres!$G$3),K373,E373)</f>
        <v>894.78</v>
      </c>
      <c r="Q373" s="654" t="str">
        <f t="shared" si="188"/>
        <v>7-Dépenses</v>
      </c>
      <c r="R373" s="653" t="str">
        <f t="shared" si="189"/>
        <v>6147</v>
      </c>
      <c r="S373" s="654">
        <f t="shared" si="190"/>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hidden="1" customHeight="1">
      <c r="A374" s="1213" t="s">
        <v>1197</v>
      </c>
      <c r="B374" s="1213" t="s">
        <v>2490</v>
      </c>
      <c r="C374" s="1215">
        <v>54108.08</v>
      </c>
      <c r="D374" s="1215">
        <v>5943.38</v>
      </c>
      <c r="E374" s="1215">
        <v>60051.46</v>
      </c>
      <c r="F374" s="1213" t="s">
        <v>1154</v>
      </c>
      <c r="G374" s="1213" t="s">
        <v>1198</v>
      </c>
      <c r="H374" s="1156"/>
      <c r="I374" s="1155"/>
      <c r="J374" s="1155"/>
      <c r="K374" s="1155"/>
      <c r="L374" s="653" t="str">
        <f t="shared" si="186"/>
        <v>6451</v>
      </c>
      <c r="M374" s="654" t="str">
        <f t="shared" si="187"/>
        <v>DEP. DU TRAITEMENT DES DONNEES</v>
      </c>
      <c r="N374" s="655">
        <f>+IF(OR($Q374=Parametres!$G$2,$Q374=Parametres!$G$3),I374,C374)</f>
        <v>54108.08</v>
      </c>
      <c r="O374" s="655">
        <f>+IF(OR($Q374=Parametres!$G$2,$Q374=Parametres!$G$3),J374,D374)</f>
        <v>5943.38</v>
      </c>
      <c r="P374" s="655">
        <f>+IF(OR($Q374=Parametres!$G$2,$Q374=Parametres!$G$3),K374,E374)</f>
        <v>60051.46</v>
      </c>
      <c r="Q374" s="654" t="str">
        <f t="shared" si="188"/>
        <v>7-Dépenses</v>
      </c>
      <c r="R374" s="653" t="str">
        <f t="shared" si="189"/>
        <v>6151</v>
      </c>
      <c r="S374" s="654">
        <f t="shared" si="19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hidden="1" customHeight="1">
      <c r="A375" s="1213" t="s">
        <v>1199</v>
      </c>
      <c r="B375" s="1213" t="s">
        <v>2493</v>
      </c>
      <c r="C375" s="1215">
        <v>9457.61</v>
      </c>
      <c r="D375" s="1215">
        <v>2936.04</v>
      </c>
      <c r="E375" s="1215">
        <v>12393.65</v>
      </c>
      <c r="F375" s="1213" t="s">
        <v>1154</v>
      </c>
      <c r="G375" s="1213" t="s">
        <v>1200</v>
      </c>
      <c r="H375" s="1156"/>
      <c r="I375" s="1155"/>
      <c r="J375" s="1155"/>
      <c r="K375" s="1155"/>
      <c r="L375" s="653" t="str">
        <f t="shared" si="186"/>
        <v>6452</v>
      </c>
      <c r="M375" s="654" t="str">
        <f t="shared" si="187"/>
        <v>PAPETERIE</v>
      </c>
      <c r="N375" s="655">
        <f>+IF(OR($Q375=Parametres!$G$2,$Q375=Parametres!$G$3),I375,C375)</f>
        <v>9457.61</v>
      </c>
      <c r="O375" s="655">
        <f>+IF(OR($Q375=Parametres!$G$2,$Q375=Parametres!$G$3),J375,D375)</f>
        <v>2936.04</v>
      </c>
      <c r="P375" s="655">
        <f>+IF(OR($Q375=Parametres!$G$2,$Q375=Parametres!$G$3),K375,E375)</f>
        <v>12393.65</v>
      </c>
      <c r="Q375" s="654" t="str">
        <f t="shared" si="188"/>
        <v>7-Dépenses</v>
      </c>
      <c r="R375" s="653" t="str">
        <f t="shared" si="189"/>
        <v>6152</v>
      </c>
      <c r="S375" s="654">
        <f t="shared" si="190"/>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hidden="1" customHeight="1">
      <c r="A376" s="1213" t="s">
        <v>1201</v>
      </c>
      <c r="B376" s="1213" t="s">
        <v>2496</v>
      </c>
      <c r="C376" s="1215">
        <v>2010.08</v>
      </c>
      <c r="D376" s="1215">
        <v>162.08000000000001</v>
      </c>
      <c r="E376" s="1215">
        <v>2172.16</v>
      </c>
      <c r="F376" s="1213" t="s">
        <v>1154</v>
      </c>
      <c r="G376" s="1213" t="s">
        <v>1202</v>
      </c>
      <c r="H376" s="1156"/>
      <c r="I376" s="1155"/>
      <c r="J376" s="1155"/>
      <c r="K376" s="1155"/>
      <c r="L376" s="653" t="str">
        <f t="shared" si="186"/>
        <v>6453</v>
      </c>
      <c r="M376" s="654" t="str">
        <f t="shared" si="187"/>
        <v>TELEPHONE ET TELEX</v>
      </c>
      <c r="N376" s="655">
        <f>+IF(OR($Q376=Parametres!$G$2,$Q376=Parametres!$G$3),I376,C376)</f>
        <v>2010.08</v>
      </c>
      <c r="O376" s="655">
        <f>+IF(OR($Q376=Parametres!$G$2,$Q376=Parametres!$G$3),J376,D376)</f>
        <v>162.08000000000001</v>
      </c>
      <c r="P376" s="655">
        <f>+IF(OR($Q376=Parametres!$G$2,$Q376=Parametres!$G$3),K376,E376)</f>
        <v>2172.16</v>
      </c>
      <c r="Q376" s="654" t="str">
        <f t="shared" si="188"/>
        <v>7-Dépenses</v>
      </c>
      <c r="R376" s="653" t="str">
        <f t="shared" si="189"/>
        <v>6153</v>
      </c>
      <c r="S376" s="654">
        <f t="shared" si="190"/>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hidden="1" customHeight="1">
      <c r="A377" s="1213" t="s">
        <v>1203</v>
      </c>
      <c r="B377" s="1213" t="s">
        <v>2499</v>
      </c>
      <c r="C377" s="1215">
        <v>1552.62</v>
      </c>
      <c r="D377" s="1215">
        <v>71.73</v>
      </c>
      <c r="E377" s="1215">
        <v>1624.35</v>
      </c>
      <c r="F377" s="1213" t="s">
        <v>1154</v>
      </c>
      <c r="G377" s="1213" t="s">
        <v>1204</v>
      </c>
      <c r="H377" s="1156"/>
      <c r="I377" s="1155"/>
      <c r="J377" s="1155"/>
      <c r="K377" s="1155"/>
      <c r="L377" s="653" t="str">
        <f t="shared" si="186"/>
        <v>6455</v>
      </c>
      <c r="M377" s="654" t="str">
        <f t="shared" si="187"/>
        <v>DEPENSES DIVERS</v>
      </c>
      <c r="N377" s="655">
        <f>+IF(OR($Q377=Parametres!$G$2,$Q377=Parametres!$G$3),I377,C377)</f>
        <v>1552.62</v>
      </c>
      <c r="O377" s="655">
        <f>+IF(OR($Q377=Parametres!$G$2,$Q377=Parametres!$G$3),J377,D377)</f>
        <v>71.73</v>
      </c>
      <c r="P377" s="655">
        <f>+IF(OR($Q377=Parametres!$G$2,$Q377=Parametres!$G$3),K377,E377)</f>
        <v>1624.35</v>
      </c>
      <c r="Q377" s="654" t="str">
        <f t="shared" si="188"/>
        <v>7-Dépenses</v>
      </c>
      <c r="R377" s="653" t="str">
        <f t="shared" si="189"/>
        <v>6155</v>
      </c>
      <c r="S377" s="654">
        <f t="shared" si="190"/>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hidden="1" customHeight="1">
      <c r="A378" s="1213" t="s">
        <v>1251</v>
      </c>
      <c r="B378" s="1213" t="s">
        <v>2502</v>
      </c>
      <c r="C378" s="1215">
        <v>12654.36</v>
      </c>
      <c r="D378" s="1215">
        <v>1111.47</v>
      </c>
      <c r="E378" s="1215">
        <v>13765.83</v>
      </c>
      <c r="F378" s="1213" t="s">
        <v>1154</v>
      </c>
      <c r="G378" s="1213" t="s">
        <v>1206</v>
      </c>
      <c r="H378" s="1156"/>
      <c r="I378" s="1155"/>
      <c r="J378" s="1155"/>
      <c r="K378" s="1155"/>
      <c r="L378" s="653" t="str">
        <f t="shared" si="186"/>
        <v>6456</v>
      </c>
      <c r="M378" s="654" t="str">
        <f t="shared" si="187"/>
        <v>FRAIS REPRESENTATION - SERVICE</v>
      </c>
      <c r="N378" s="655">
        <f>+IF(OR($Q378=Parametres!$G$2,$Q378=Parametres!$G$3),I378,C378)</f>
        <v>12654.36</v>
      </c>
      <c r="O378" s="655">
        <f>+IF(OR($Q378=Parametres!$G$2,$Q378=Parametres!$G$3),J378,D378)</f>
        <v>1111.47</v>
      </c>
      <c r="P378" s="655">
        <f>+IF(OR($Q378=Parametres!$G$2,$Q378=Parametres!$G$3),K378,E378)</f>
        <v>13765.83</v>
      </c>
      <c r="Q378" s="654" t="str">
        <f t="shared" si="188"/>
        <v>7-Dépenses</v>
      </c>
      <c r="R378" s="653" t="str">
        <f t="shared" si="189"/>
        <v>6156</v>
      </c>
      <c r="S378" s="654">
        <f t="shared" si="190"/>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hidden="1" customHeight="1">
      <c r="A379" s="1213" t="s">
        <v>1252</v>
      </c>
      <c r="B379" s="1213" t="s">
        <v>3395</v>
      </c>
      <c r="C379" s="1215">
        <v>21619.040000000001</v>
      </c>
      <c r="D379" s="1215">
        <v>2069.1999999999998</v>
      </c>
      <c r="E379" s="1215">
        <v>23688.240000000002</v>
      </c>
      <c r="F379" s="1213" t="s">
        <v>1154</v>
      </c>
      <c r="G379" s="1213" t="s">
        <v>1253</v>
      </c>
      <c r="H379" s="1156"/>
      <c r="I379" s="1155"/>
      <c r="J379" s="1155"/>
      <c r="K379" s="1155"/>
      <c r="L379" s="653" t="str">
        <f t="shared" si="186"/>
        <v>6457</v>
      </c>
      <c r="M379" s="654" t="str">
        <f t="shared" si="187"/>
        <v>FRAIS BANCAIRES - SERVICE</v>
      </c>
      <c r="N379" s="655">
        <f>+IF(OR($Q379=Parametres!$G$2,$Q379=Parametres!$G$3),I379,C379)</f>
        <v>21619.040000000001</v>
      </c>
      <c r="O379" s="655">
        <f>+IF(OR($Q379=Parametres!$G$2,$Q379=Parametres!$G$3),J379,D379)</f>
        <v>2069.1999999999998</v>
      </c>
      <c r="P379" s="655">
        <f>+IF(OR($Q379=Parametres!$G$2,$Q379=Parametres!$G$3),K379,E379)</f>
        <v>23688.240000000002</v>
      </c>
      <c r="Q379" s="654" t="str">
        <f t="shared" si="188"/>
        <v>7-Dépenses</v>
      </c>
      <c r="R379" s="653" t="str">
        <f t="shared" si="189"/>
        <v>645</v>
      </c>
      <c r="S379" s="654">
        <f t="shared" si="190"/>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hidden="1" customHeight="1">
      <c r="A380" s="1213" t="s">
        <v>1209</v>
      </c>
      <c r="B380" s="1213" t="s">
        <v>2505</v>
      </c>
      <c r="C380" s="1215">
        <v>134324.88</v>
      </c>
      <c r="D380" s="1215">
        <v>15667.61</v>
      </c>
      <c r="E380" s="1215">
        <v>149992.49</v>
      </c>
      <c r="F380" s="1213" t="s">
        <v>1154</v>
      </c>
      <c r="G380" s="1213" t="s">
        <v>1210</v>
      </c>
      <c r="H380" s="1156"/>
      <c r="I380" s="1155"/>
      <c r="J380" s="1155"/>
      <c r="K380" s="1155"/>
      <c r="L380" s="653" t="str">
        <f t="shared" si="186"/>
        <v>6459</v>
      </c>
      <c r="M380" s="654" t="str">
        <f t="shared" si="187"/>
        <v>SERVICE EXTERIEUR</v>
      </c>
      <c r="N380" s="655">
        <f>+IF(OR($Q380=Parametres!$G$2,$Q380=Parametres!$G$3),I380,C380)</f>
        <v>134324.88</v>
      </c>
      <c r="O380" s="659">
        <f>+IF(OR($Q380=Parametres!$G$2,$Q380=Parametres!$G$3),J380,D380)</f>
        <v>15667.61</v>
      </c>
      <c r="P380" s="655">
        <f>+IF(OR($Q380=Parametres!$G$2,$Q380=Parametres!$G$3),K380,E380)</f>
        <v>149992.49</v>
      </c>
      <c r="Q380" s="654" t="str">
        <f t="shared" si="188"/>
        <v>7-Dépenses</v>
      </c>
      <c r="R380" s="653" t="str">
        <f t="shared" si="189"/>
        <v>6159</v>
      </c>
      <c r="S380" s="654">
        <f t="shared" si="190"/>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hidden="1" customHeight="1">
      <c r="A381" s="1213" t="s">
        <v>1211</v>
      </c>
      <c r="B381" s="1213" t="s">
        <v>2508</v>
      </c>
      <c r="C381" s="1215">
        <v>50671.199999999997</v>
      </c>
      <c r="D381" s="1215">
        <v>10854.18</v>
      </c>
      <c r="E381" s="1215">
        <v>61525.38</v>
      </c>
      <c r="F381" s="1213" t="s">
        <v>1154</v>
      </c>
      <c r="G381" s="1213" t="s">
        <v>1212</v>
      </c>
      <c r="H381" s="1156"/>
      <c r="I381" s="1155"/>
      <c r="J381" s="1155"/>
      <c r="K381" s="1155"/>
      <c r="L381" s="653" t="str">
        <f t="shared" si="186"/>
        <v>6461</v>
      </c>
      <c r="M381" s="654" t="str">
        <f t="shared" si="187"/>
        <v>DEPRECIATION EQUIP. &amp; FIXTURES</v>
      </c>
      <c r="N381" s="655">
        <f>+IF(OR($Q381=Parametres!$G$2,$Q381=Parametres!$G$3),I381,C381)</f>
        <v>50671.199999999997</v>
      </c>
      <c r="O381" s="655">
        <f>+IF(OR($Q381=Parametres!$G$2,$Q381=Parametres!$G$3),J381,D381)</f>
        <v>10854.18</v>
      </c>
      <c r="P381" s="655">
        <f>+IF(OR($Q381=Parametres!$G$2,$Q381=Parametres!$G$3),K381,E381)</f>
        <v>61525.38</v>
      </c>
      <c r="Q381" s="654" t="str">
        <f t="shared" si="188"/>
        <v>7-Dépenses</v>
      </c>
      <c r="R381" s="653" t="str">
        <f t="shared" si="189"/>
        <v>6161</v>
      </c>
      <c r="S381" s="654">
        <f t="shared" si="190"/>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hidden="1" customHeight="1">
      <c r="A382" s="1213" t="s">
        <v>1389</v>
      </c>
      <c r="B382" s="1213" t="s">
        <v>2511</v>
      </c>
      <c r="C382" s="1215">
        <v>10467.629999999999</v>
      </c>
      <c r="D382" s="1215">
        <v>0</v>
      </c>
      <c r="E382" s="1215">
        <v>10467.629999999999</v>
      </c>
      <c r="F382" s="1213" t="s">
        <v>1154</v>
      </c>
      <c r="G382" s="1213" t="s">
        <v>2304</v>
      </c>
      <c r="H382" s="1156"/>
      <c r="I382" s="1155"/>
      <c r="J382" s="1155"/>
      <c r="K382" s="1155"/>
      <c r="L382" s="653" t="str">
        <f t="shared" si="186"/>
        <v>6462</v>
      </c>
      <c r="M382" s="654" t="str">
        <f t="shared" si="187"/>
        <v>LOCATION D'EQUIPEMENTS</v>
      </c>
      <c r="N382" s="655">
        <f>+IF(OR($Q382=Parametres!$G$2,$Q382=Parametres!$G$3),I382,C382)</f>
        <v>10467.629999999999</v>
      </c>
      <c r="O382" s="655">
        <f>+IF(OR($Q382=Parametres!$G$2,$Q382=Parametres!$G$3),J382,D382)</f>
        <v>0</v>
      </c>
      <c r="P382" s="655">
        <f>+IF(OR($Q382=Parametres!$G$2,$Q382=Parametres!$G$3),K382,E382)</f>
        <v>10467.629999999999</v>
      </c>
      <c r="Q382" s="654" t="str">
        <f t="shared" si="188"/>
        <v>7-Dépenses</v>
      </c>
      <c r="R382" s="653" t="str">
        <f t="shared" si="189"/>
        <v>6162</v>
      </c>
      <c r="S382" s="654">
        <f t="shared" si="190"/>
        <v>0</v>
      </c>
      <c r="T382" s="656" t="str">
        <f>+VLOOKUP($L382,Data_Validation!$A:$D,1,0)</f>
        <v>6462</v>
      </c>
      <c r="U382" s="656" t="str">
        <f>+VLOOKUP($L382,Data_Validation!$A:$D,3,0)</f>
        <v>Service</v>
      </c>
      <c r="V382" s="656" t="str">
        <f>+VLOOKUP($L382,Data_Validation!$A:$D,4,0)</f>
        <v>Location équipement</v>
      </c>
      <c r="W382" s="656" t="str">
        <f>+VLOOKUP($L382,Data_Validation!$A:$E,5,0)</f>
        <v>$</v>
      </c>
      <c r="X382" s="656">
        <f>+VLOOKUP($L382,Data_Validation!$A:$F,6,0)</f>
        <v>0</v>
      </c>
    </row>
    <row r="383" spans="1:24" ht="15.75" hidden="1" customHeight="1">
      <c r="A383" s="1213" t="s">
        <v>1254</v>
      </c>
      <c r="B383" s="1213" t="s">
        <v>2514</v>
      </c>
      <c r="C383" s="1215">
        <v>9055.1299999999992</v>
      </c>
      <c r="D383" s="1215">
        <v>0</v>
      </c>
      <c r="E383" s="1215">
        <v>9055.1299999999992</v>
      </c>
      <c r="F383" s="1213" t="s">
        <v>1154</v>
      </c>
      <c r="G383" s="1213" t="s">
        <v>1255</v>
      </c>
      <c r="H383" s="1156"/>
      <c r="I383" s="1155"/>
      <c r="J383" s="1155"/>
      <c r="K383" s="1155"/>
      <c r="L383" s="653" t="str">
        <f t="shared" si="186"/>
        <v>6463</v>
      </c>
      <c r="M383" s="654" t="str">
        <f t="shared" si="187"/>
        <v>REPARATION &amp; ENT. - EQUIP.</v>
      </c>
      <c r="N383" s="655">
        <f>+IF(OR($Q383=Parametres!$G$2,$Q383=Parametres!$G$3),I383,C383)</f>
        <v>9055.1299999999992</v>
      </c>
      <c r="O383" s="655">
        <f>+IF(OR($Q383=Parametres!$G$2,$Q383=Parametres!$G$3),J383,D383)</f>
        <v>0</v>
      </c>
      <c r="P383" s="655">
        <f>+IF(OR($Q383=Parametres!$G$2,$Q383=Parametres!$G$3),K383,E383)</f>
        <v>9055.1299999999992</v>
      </c>
      <c r="Q383" s="654" t="str">
        <f t="shared" si="188"/>
        <v>7-Dépenses</v>
      </c>
      <c r="R383" s="653" t="str">
        <f t="shared" si="189"/>
        <v>6163</v>
      </c>
      <c r="S383" s="654">
        <f t="shared" si="190"/>
        <v>0</v>
      </c>
      <c r="T383" s="656" t="str">
        <f>+VLOOKUP($L383,Data_Validation!$A:$D,1,0)</f>
        <v>6463</v>
      </c>
      <c r="U383" s="656" t="str">
        <f>+VLOOKUP($L383,Data_Validation!$A:$D,3,0)</f>
        <v>Service</v>
      </c>
      <c r="V383" s="656" t="str">
        <f>+VLOOKUP($L383,Data_Validation!$A:$D,4,0)</f>
        <v>Réparation équipement</v>
      </c>
      <c r="W383" s="656" t="str">
        <f>+VLOOKUP($L383,Data_Validation!$A:$E,5,0)</f>
        <v>$</v>
      </c>
      <c r="X383" s="656">
        <f>+VLOOKUP($L383,Data_Validation!$A:$F,6,0)</f>
        <v>0</v>
      </c>
    </row>
    <row r="384" spans="1:24" ht="15" hidden="1" customHeight="1">
      <c r="A384" s="1213" t="s">
        <v>1256</v>
      </c>
      <c r="B384" s="1213" t="s">
        <v>2517</v>
      </c>
      <c r="C384" s="1215">
        <v>10169.48</v>
      </c>
      <c r="D384" s="1215">
        <v>1395.07</v>
      </c>
      <c r="E384" s="1215">
        <v>11564.55</v>
      </c>
      <c r="F384" s="1213" t="s">
        <v>1154</v>
      </c>
      <c r="G384" s="1213" t="s">
        <v>1214</v>
      </c>
      <c r="H384" s="1156"/>
      <c r="I384" s="1155"/>
      <c r="J384" s="1155"/>
      <c r="K384" s="1155"/>
      <c r="L384" s="653" t="str">
        <f t="shared" si="186"/>
        <v>6481</v>
      </c>
      <c r="M384" s="654" t="str">
        <f t="shared" si="187"/>
        <v>CHAUFFAGE,ELECTRICITE,EAU-SERVICE</v>
      </c>
      <c r="N384" s="655">
        <f>+IF(OR($Q384=Parametres!$G$2,$Q384=Parametres!$G$3),I384,C384)</f>
        <v>10169.48</v>
      </c>
      <c r="O384" s="655">
        <f>+IF(OR($Q384=Parametres!$G$2,$Q384=Parametres!$G$3),J384,D384)</f>
        <v>1395.07</v>
      </c>
      <c r="P384" s="655">
        <f>+IF(OR($Q384=Parametres!$G$2,$Q384=Parametres!$G$3),K384,E384)</f>
        <v>11564.55</v>
      </c>
      <c r="Q384" s="654" t="str">
        <f t="shared" si="188"/>
        <v>7-Dépenses</v>
      </c>
      <c r="R384" s="653" t="str">
        <f t="shared" si="189"/>
        <v>6181</v>
      </c>
      <c r="S384" s="654">
        <f t="shared" si="190"/>
        <v>0</v>
      </c>
      <c r="T384" s="656" t="str">
        <f>+VLOOKUP($L384,Data_Validation!$A:$D,1,0)</f>
        <v>6481</v>
      </c>
      <c r="U384" s="656" t="str">
        <f>+VLOOKUP($L384,Data_Validation!$A:$D,3,0)</f>
        <v>Service</v>
      </c>
      <c r="V384" s="656" t="str">
        <f>+VLOOKUP($L384,Data_Validation!$A:$D,4,0)</f>
        <v>Chauffage, éclairage</v>
      </c>
      <c r="W384" s="656" t="str">
        <f>+VLOOKUP($L384,Data_Validation!$A:$E,5,0)</f>
        <v>$</v>
      </c>
      <c r="X384" s="656">
        <f>+VLOOKUP($L384,Data_Validation!$A:$F,6,0)</f>
        <v>0</v>
      </c>
    </row>
    <row r="385" spans="1:24" ht="15" hidden="1" customHeight="1">
      <c r="A385" s="1213" t="s">
        <v>1257</v>
      </c>
      <c r="B385" s="1213" t="s">
        <v>2520</v>
      </c>
      <c r="C385" s="1215">
        <v>95040</v>
      </c>
      <c r="D385" s="1215">
        <v>8640</v>
      </c>
      <c r="E385" s="1215">
        <v>103680</v>
      </c>
      <c r="F385" s="1213" t="s">
        <v>1154</v>
      </c>
      <c r="G385" s="1213" t="s">
        <v>1216</v>
      </c>
      <c r="H385" s="1156"/>
      <c r="I385" s="1155"/>
      <c r="J385" s="1155"/>
      <c r="K385" s="1155"/>
      <c r="L385" s="653" t="str">
        <f t="shared" si="186"/>
        <v>6482</v>
      </c>
      <c r="M385" s="654" t="str">
        <f t="shared" si="187"/>
        <v>LOYER - SERVICE</v>
      </c>
      <c r="N385" s="655">
        <f>+IF(OR($Q385=Parametres!$G$2,$Q385=Parametres!$G$3),I385,C385)</f>
        <v>95040</v>
      </c>
      <c r="O385" s="655">
        <f>+IF(OR($Q385=Parametres!$G$2,$Q385=Parametres!$G$3),J385,D385)</f>
        <v>8640</v>
      </c>
      <c r="P385" s="655">
        <f>+IF(OR($Q385=Parametres!$G$2,$Q385=Parametres!$G$3),K385,E385)</f>
        <v>103680</v>
      </c>
      <c r="Q385" s="654" t="str">
        <f t="shared" si="188"/>
        <v>7-Dépenses</v>
      </c>
      <c r="R385" s="653" t="str">
        <f t="shared" si="189"/>
        <v>6182</v>
      </c>
      <c r="S385" s="654">
        <f t="shared" si="190"/>
        <v>0</v>
      </c>
      <c r="T385" s="656" t="str">
        <f>+VLOOKUP($L385,Data_Validation!$A:$D,1,0)</f>
        <v>6482</v>
      </c>
      <c r="U385" s="656" t="str">
        <f>+VLOOKUP($L385,Data_Validation!$A:$D,3,0)</f>
        <v>Service</v>
      </c>
      <c r="V385" s="656" t="str">
        <f>+VLOOKUP($L385,Data_Validation!$A:$D,4,0)</f>
        <v>Loyer</v>
      </c>
      <c r="W385" s="656" t="str">
        <f>+VLOOKUP($L385,Data_Validation!$A:$E,5,0)</f>
        <v>$</v>
      </c>
      <c r="X385" s="656">
        <f>+VLOOKUP($L385,Data_Validation!$A:$F,6,0)</f>
        <v>0</v>
      </c>
    </row>
    <row r="386" spans="1:24" ht="15" hidden="1" customHeight="1">
      <c r="A386" s="1213" t="s">
        <v>1258</v>
      </c>
      <c r="B386" s="1213" t="s">
        <v>2523</v>
      </c>
      <c r="C386" s="1215">
        <v>10277.74</v>
      </c>
      <c r="D386" s="1215">
        <v>934.34</v>
      </c>
      <c r="E386" s="1215">
        <v>11212.08</v>
      </c>
      <c r="F386" s="1213" t="s">
        <v>1154</v>
      </c>
      <c r="G386" s="1213" t="s">
        <v>1218</v>
      </c>
      <c r="H386" s="1156"/>
      <c r="I386" s="1155"/>
      <c r="J386" s="1155"/>
      <c r="K386" s="1155"/>
      <c r="L386" s="653" t="str">
        <f t="shared" si="186"/>
        <v>6486</v>
      </c>
      <c r="M386" s="654" t="str">
        <f t="shared" si="187"/>
        <v>ASSURANCE BATISSE &amp; AMEL.-SERVICE</v>
      </c>
      <c r="N386" s="655">
        <f>+IF(OR($Q386=Parametres!$G$2,$Q386=Parametres!$G$3),I386,C386)</f>
        <v>10277.74</v>
      </c>
      <c r="O386" s="655">
        <f>+IF(OR($Q386=Parametres!$G$2,$Q386=Parametres!$G$3),J386,D386)</f>
        <v>934.34</v>
      </c>
      <c r="P386" s="655">
        <f>+IF(OR($Q386=Parametres!$G$2,$Q386=Parametres!$G$3),K386,E386)</f>
        <v>11212.08</v>
      </c>
      <c r="Q386" s="654" t="str">
        <f t="shared" si="188"/>
        <v>7-Dépenses</v>
      </c>
      <c r="R386" s="653" t="str">
        <f t="shared" si="189"/>
        <v>6186</v>
      </c>
      <c r="S386" s="654">
        <f t="shared" si="190"/>
        <v>0</v>
      </c>
      <c r="T386" s="656" t="str">
        <f>+VLOOKUP($L386,Data_Validation!$A:$D,1,0)</f>
        <v>6486</v>
      </c>
      <c r="U386" s="656" t="str">
        <f>+VLOOKUP($L386,Data_Validation!$A:$D,3,0)</f>
        <v>Service</v>
      </c>
      <c r="V386" s="656" t="str">
        <f>+VLOOKUP($L386,Data_Validation!$A:$D,4,0)</f>
        <v>Assurances</v>
      </c>
      <c r="W386" s="656" t="str">
        <f>+VLOOKUP($L386,Data_Validation!$A:$E,5,0)</f>
        <v>$</v>
      </c>
      <c r="X386" s="656">
        <f>+VLOOKUP($L386,Data_Validation!$A:$F,6,0)</f>
        <v>0</v>
      </c>
    </row>
    <row r="387" spans="1:24" ht="15.75" hidden="1" customHeight="1">
      <c r="A387" s="1213" t="s">
        <v>1259</v>
      </c>
      <c r="B387" s="1213" t="s">
        <v>2526</v>
      </c>
      <c r="C387" s="1215">
        <v>13667.28</v>
      </c>
      <c r="D387" s="1215">
        <v>1242.48</v>
      </c>
      <c r="E387" s="1215">
        <v>14909.76</v>
      </c>
      <c r="F387" s="1213" t="s">
        <v>1154</v>
      </c>
      <c r="G387" s="1213" t="s">
        <v>1220</v>
      </c>
      <c r="I387" s="1024"/>
      <c r="J387" s="1024"/>
      <c r="K387" s="1024"/>
      <c r="L387" s="653" t="str">
        <f t="shared" si="186"/>
        <v>6487</v>
      </c>
      <c r="M387" s="654" t="str">
        <f t="shared" si="187"/>
        <v>TAXES FONCIERES - SERVICE</v>
      </c>
      <c r="N387" s="655">
        <f>+IF(OR($Q387=Parametres!$G$2,$Q387=Parametres!$G$3),I387,C387)</f>
        <v>13667.28</v>
      </c>
      <c r="O387" s="655">
        <f>+IF(OR($Q387=Parametres!$G$2,$Q387=Parametres!$G$3),J387,D387)</f>
        <v>1242.48</v>
      </c>
      <c r="P387" s="655">
        <f>+IF(OR($Q387=Parametres!$G$2,$Q387=Parametres!$G$3),K387,E387)</f>
        <v>14909.76</v>
      </c>
      <c r="Q387" s="654" t="str">
        <f t="shared" si="188"/>
        <v>7-Dépenses</v>
      </c>
      <c r="R387" s="653" t="str">
        <f t="shared" si="189"/>
        <v>6187</v>
      </c>
      <c r="S387" s="654">
        <f t="shared" si="190"/>
        <v>0</v>
      </c>
      <c r="T387" s="656" t="str">
        <f>+VLOOKUP($L387,Data_Validation!$A:$D,1,0)</f>
        <v>6487</v>
      </c>
      <c r="U387" s="656" t="str">
        <f>+VLOOKUP($L387,Data_Validation!$A:$D,3,0)</f>
        <v>Service</v>
      </c>
      <c r="V387" s="656" t="str">
        <f>+VLOOKUP($L387,Data_Validation!$A:$D,4,0)</f>
        <v>Taxes foncières</v>
      </c>
      <c r="W387" s="656" t="str">
        <f>+VLOOKUP($L387,Data_Validation!$A:$E,5,0)</f>
        <v>$</v>
      </c>
      <c r="X387" s="656">
        <f>+VLOOKUP($L387,Data_Validation!$A:$F,6,0)</f>
        <v>0</v>
      </c>
    </row>
    <row r="388" spans="1:24" ht="15.75" hidden="1" customHeight="1">
      <c r="A388" s="1213" t="s">
        <v>1260</v>
      </c>
      <c r="B388" s="1213" t="s">
        <v>2529</v>
      </c>
      <c r="C388" s="1215">
        <v>9238.32</v>
      </c>
      <c r="D388" s="1215">
        <v>826.8</v>
      </c>
      <c r="E388" s="1215">
        <v>10065.120000000001</v>
      </c>
      <c r="F388" s="1213" t="s">
        <v>1154</v>
      </c>
      <c r="G388" s="1213" t="s">
        <v>1222</v>
      </c>
      <c r="I388" s="1024"/>
      <c r="J388" s="1024"/>
      <c r="K388" s="1024"/>
      <c r="L388" s="653" t="str">
        <f t="shared" si="186"/>
        <v>6493</v>
      </c>
      <c r="M388" s="654" t="str">
        <f t="shared" si="187"/>
        <v>AUTRE TAXES-SERVICE</v>
      </c>
      <c r="N388" s="655">
        <f>+IF(OR($Q388=Parametres!$G$2,$Q388=Parametres!$G$3),I388,C388)</f>
        <v>9238.32</v>
      </c>
      <c r="O388" s="655">
        <f>+IF(OR($Q388=Parametres!$G$2,$Q388=Parametres!$G$3),J388,D388)</f>
        <v>826.8</v>
      </c>
      <c r="P388" s="655">
        <f>+IF(OR($Q388=Parametres!$G$2,$Q388=Parametres!$G$3),K388,E388)</f>
        <v>10065.120000000001</v>
      </c>
      <c r="Q388" s="654" t="str">
        <f t="shared" si="188"/>
        <v>7-Dépenses</v>
      </c>
      <c r="R388" s="653" t="str">
        <f t="shared" si="189"/>
        <v>6193</v>
      </c>
      <c r="S388" s="654">
        <f t="shared" si="190"/>
        <v>0</v>
      </c>
      <c r="T388" s="656" t="str">
        <f>+VLOOKUP($L388,Data_Validation!$A:$D,1,0)</f>
        <v>6493</v>
      </c>
      <c r="U388" s="656" t="str">
        <f>+VLOOKUP($L388,Data_Validation!$A:$D,3,0)</f>
        <v>Service</v>
      </c>
      <c r="V388" s="656" t="str">
        <f>+VLOOKUP($L388,Data_Validation!$A:$D,4,0)</f>
        <v>Taxes d`affaires</v>
      </c>
      <c r="W388" s="656" t="str">
        <f>+VLOOKUP($L388,Data_Validation!$A:$E,5,0)</f>
        <v>$</v>
      </c>
      <c r="X388" s="656">
        <f>+VLOOKUP($L388,Data_Validation!$A:$F,6,0)</f>
        <v>0</v>
      </c>
    </row>
    <row r="389" spans="1:24" ht="15.75" hidden="1" customHeight="1">
      <c r="A389" s="1213" t="s">
        <v>1261</v>
      </c>
      <c r="B389" s="1213" t="s">
        <v>2532</v>
      </c>
      <c r="C389" s="1215">
        <v>17383.91</v>
      </c>
      <c r="D389" s="1215">
        <v>1541.6</v>
      </c>
      <c r="E389" s="1215">
        <v>18925.509999999998</v>
      </c>
      <c r="F389" s="1213" t="s">
        <v>1154</v>
      </c>
      <c r="G389" s="1213" t="s">
        <v>1224</v>
      </c>
      <c r="I389" s="1024"/>
      <c r="J389" s="1024"/>
      <c r="K389" s="1024"/>
      <c r="L389" s="653" t="str">
        <f t="shared" si="186"/>
        <v>6494</v>
      </c>
      <c r="M389" s="654" t="str">
        <f t="shared" si="187"/>
        <v>FRAIS PROFESSIONNEL-SERVICE</v>
      </c>
      <c r="N389" s="655">
        <f>+IF(OR($Q389=Parametres!$G$2,$Q389=Parametres!$G$3),I389,C389)</f>
        <v>17383.91</v>
      </c>
      <c r="O389" s="655">
        <f>+IF(OR($Q389=Parametres!$G$2,$Q389=Parametres!$G$3),J389,D389)</f>
        <v>1541.6</v>
      </c>
      <c r="P389" s="655">
        <f>+IF(OR($Q389=Parametres!$G$2,$Q389=Parametres!$G$3),K389,E389)</f>
        <v>18925.509999999998</v>
      </c>
      <c r="Q389" s="654" t="str">
        <f t="shared" si="188"/>
        <v>7-Dépenses</v>
      </c>
      <c r="R389" s="653" t="str">
        <f t="shared" si="189"/>
        <v>6194</v>
      </c>
      <c r="S389" s="654">
        <f t="shared" si="190"/>
        <v>0</v>
      </c>
      <c r="T389" s="656" t="str">
        <f>+VLOOKUP($L389,Data_Validation!$A:$D,1,0)</f>
        <v>6494</v>
      </c>
      <c r="U389" s="656" t="str">
        <f>+VLOOKUP($L389,Data_Validation!$A:$D,3,0)</f>
        <v>Service</v>
      </c>
      <c r="V389" s="656" t="str">
        <f>+VLOOKUP($L389,Data_Validation!$A:$D,4,0)</f>
        <v>Honoraires</v>
      </c>
      <c r="W389" s="656" t="str">
        <f>+VLOOKUP($L389,Data_Validation!$A:$E,5,0)</f>
        <v>$</v>
      </c>
      <c r="X389" s="656">
        <f>+VLOOKUP($L389,Data_Validation!$A:$F,6,0)</f>
        <v>0</v>
      </c>
    </row>
    <row r="390" spans="1:24" ht="15.75" hidden="1" customHeight="1">
      <c r="A390" s="1213" t="s">
        <v>1158</v>
      </c>
      <c r="B390" s="1213" t="s">
        <v>2535</v>
      </c>
      <c r="C390" s="1215">
        <v>11939.23</v>
      </c>
      <c r="D390" s="1215">
        <v>2295.8200000000002</v>
      </c>
      <c r="E390" s="1215">
        <v>14235.05</v>
      </c>
      <c r="F390" s="1213" t="s">
        <v>1154</v>
      </c>
      <c r="G390" s="1213" t="s">
        <v>1242</v>
      </c>
      <c r="I390" s="1024"/>
      <c r="J390" s="1024"/>
      <c r="K390" s="1024"/>
      <c r="L390" s="653" t="str">
        <f t="shared" si="186"/>
        <v>6503</v>
      </c>
      <c r="M390" s="654" t="str">
        <f t="shared" si="187"/>
        <v>RELAT. A LA CLIENTELE &amp; AJUST.</v>
      </c>
      <c r="N390" s="655">
        <f>+IF(OR($Q390=Parametres!$G$2,$Q390=Parametres!$G$3),I390,C390)</f>
        <v>11939.23</v>
      </c>
      <c r="O390" s="655">
        <f>+IF(OR($Q390=Parametres!$G$2,$Q390=Parametres!$G$3),J390,D390)</f>
        <v>2295.8200000000002</v>
      </c>
      <c r="P390" s="655">
        <f>+IF(OR($Q390=Parametres!$G$2,$Q390=Parametres!$G$3),K390,E390)</f>
        <v>14235.05</v>
      </c>
      <c r="Q390" s="654" t="str">
        <f t="shared" si="188"/>
        <v>7-Dépenses</v>
      </c>
      <c r="R390" s="653" t="str">
        <f t="shared" si="189"/>
        <v>6112</v>
      </c>
      <c r="S390" s="654">
        <f t="shared" si="190"/>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hidden="1" customHeight="1">
      <c r="A391" s="1213" t="s">
        <v>1397</v>
      </c>
      <c r="B391" s="1213" t="s">
        <v>3927</v>
      </c>
      <c r="C391" s="1215">
        <v>-69.81</v>
      </c>
      <c r="D391" s="1215">
        <v>83.2</v>
      </c>
      <c r="E391" s="1215">
        <v>13.39</v>
      </c>
      <c r="F391" s="1213" t="s">
        <v>1154</v>
      </c>
      <c r="G391" s="1213" t="s">
        <v>1242</v>
      </c>
      <c r="I391" s="1024"/>
      <c r="J391" s="1024"/>
      <c r="K391" s="1024"/>
      <c r="L391" s="653" t="str">
        <f t="shared" si="186"/>
        <v>6512</v>
      </c>
      <c r="M391" s="654" t="str">
        <f t="shared" si="187"/>
        <v>AUTORISATION &amp; GAR. /VEH. USAG</v>
      </c>
      <c r="N391" s="655">
        <f>+IF(OR($Q391=Parametres!$G$2,$Q391=Parametres!$G$3),I391,C391)</f>
        <v>-69.81</v>
      </c>
      <c r="O391" s="655">
        <f>+IF(OR($Q391=Parametres!$G$2,$Q391=Parametres!$G$3),J391,D391)</f>
        <v>83.2</v>
      </c>
      <c r="P391" s="655">
        <f>+IF(OR($Q391=Parametres!$G$2,$Q391=Parametres!$G$3),K391,E391)</f>
        <v>13.39</v>
      </c>
      <c r="Q391" s="654" t="str">
        <f t="shared" si="188"/>
        <v>7-Dépenses</v>
      </c>
      <c r="R391" s="653" t="str">
        <f t="shared" si="189"/>
        <v>6112</v>
      </c>
      <c r="S391" s="654">
        <f t="shared" si="190"/>
        <v>0</v>
      </c>
      <c r="T391" s="656" t="str">
        <f>+VLOOKUP($L391,Data_Validation!$A:$D,1,0)</f>
        <v>6512</v>
      </c>
      <c r="U391" s="656" t="str">
        <f>+VLOOKUP($L391,Data_Validation!$A:$D,3,0)</f>
        <v>Carrosserie</v>
      </c>
      <c r="V391" s="656" t="str">
        <f>+VLOOKUP($L391,Data_Validation!$A:$D,4,0)</f>
        <v>Service gratuit 2</v>
      </c>
      <c r="W391" s="656" t="str">
        <f>+VLOOKUP($L391,Data_Validation!$A:$E,5,0)</f>
        <v>$</v>
      </c>
      <c r="X391" s="656">
        <f>+VLOOKUP($L391,Data_Validation!$A:$F,6,0)</f>
        <v>0</v>
      </c>
    </row>
    <row r="392" spans="1:24" ht="15.75" hidden="1" customHeight="1">
      <c r="A392" s="1213" t="s">
        <v>1166</v>
      </c>
      <c r="B392" s="1213" t="s">
        <v>2541</v>
      </c>
      <c r="C392" s="1215">
        <v>848.87</v>
      </c>
      <c r="D392" s="1215">
        <v>42.89</v>
      </c>
      <c r="E392" s="1215">
        <v>891.76</v>
      </c>
      <c r="F392" s="1213" t="s">
        <v>1154</v>
      </c>
      <c r="G392" s="1213" t="s">
        <v>1167</v>
      </c>
      <c r="I392" s="1024"/>
      <c r="J392" s="1024"/>
      <c r="K392" s="1024"/>
      <c r="L392" s="653" t="str">
        <f t="shared" si="186"/>
        <v>6514</v>
      </c>
      <c r="M392" s="654" t="str">
        <f t="shared" si="187"/>
        <v>PUBLICITE</v>
      </c>
      <c r="N392" s="655">
        <f>+IF(OR($Q392=Parametres!$G$2,$Q392=Parametres!$G$3),I392,C392)</f>
        <v>848.87</v>
      </c>
      <c r="O392" s="655">
        <f>+IF(OR($Q392=Parametres!$G$2,$Q392=Parametres!$G$3),J392,D392)</f>
        <v>42.89</v>
      </c>
      <c r="P392" s="655">
        <f>+IF(OR($Q392=Parametres!$G$2,$Q392=Parametres!$G$3),K392,E392)</f>
        <v>891.76</v>
      </c>
      <c r="Q392" s="654" t="str">
        <f t="shared" si="188"/>
        <v>7-Dépenses</v>
      </c>
      <c r="R392" s="653" t="str">
        <f t="shared" si="189"/>
        <v>6114</v>
      </c>
      <c r="S392" s="654">
        <f t="shared" si="190"/>
        <v>0</v>
      </c>
      <c r="T392" s="656" t="str">
        <f>+VLOOKUP($L392,Data_Validation!$A:$D,1,0)</f>
        <v>6514</v>
      </c>
      <c r="U392" s="656" t="str">
        <f>+VLOOKUP($L392,Data_Validation!$A:$D,3,0)</f>
        <v>Carrosserie</v>
      </c>
      <c r="V392" s="656" t="str">
        <f>+VLOOKUP($L392,Data_Validation!$A:$D,4,0)</f>
        <v>Publicité 2</v>
      </c>
      <c r="W392" s="656" t="str">
        <f>+VLOOKUP($L392,Data_Validation!$A:$E,5,0)</f>
        <v>$</v>
      </c>
      <c r="X392" s="656">
        <f>+VLOOKUP($L392,Data_Validation!$A:$F,6,0)</f>
        <v>0</v>
      </c>
    </row>
    <row r="393" spans="1:24" ht="15.75" hidden="1" customHeight="1">
      <c r="A393" s="1213" t="s">
        <v>1169</v>
      </c>
      <c r="B393" s="1213" t="s">
        <v>2547</v>
      </c>
      <c r="C393" s="1215">
        <v>4394.8999999999996</v>
      </c>
      <c r="D393" s="1215">
        <v>286.14999999999998</v>
      </c>
      <c r="E393" s="1215">
        <v>4681.05</v>
      </c>
      <c r="F393" s="1213" t="s">
        <v>1154</v>
      </c>
      <c r="G393" s="1213" t="s">
        <v>1170</v>
      </c>
      <c r="I393" s="1024"/>
      <c r="J393" s="1024"/>
      <c r="K393" s="1024"/>
      <c r="L393" s="653" t="str">
        <f t="shared" si="186"/>
        <v>6521</v>
      </c>
      <c r="M393" s="654" t="str">
        <f t="shared" si="187"/>
        <v>SALAIRES - PROPRIETAIRES</v>
      </c>
      <c r="N393" s="655">
        <f>+IF(OR($Q393=Parametres!$G$2,$Q393=Parametres!$G$3),I393,C393)</f>
        <v>4394.8999999999996</v>
      </c>
      <c r="O393" s="655">
        <f>+IF(OR($Q393=Parametres!$G$2,$Q393=Parametres!$G$3),J393,D393)</f>
        <v>286.14999999999998</v>
      </c>
      <c r="P393" s="655">
        <f>+IF(OR($Q393=Parametres!$G$2,$Q393=Parametres!$G$3),K393,E393)</f>
        <v>4681.05</v>
      </c>
      <c r="Q393" s="654" t="str">
        <f t="shared" si="188"/>
        <v>7-Dépenses</v>
      </c>
      <c r="R393" s="653" t="str">
        <f t="shared" si="189"/>
        <v>6121</v>
      </c>
      <c r="S393" s="654">
        <f t="shared" si="190"/>
        <v>0</v>
      </c>
      <c r="T393" s="656" t="str">
        <f>+VLOOKUP($L393,Data_Validation!$A:$D,1,0)</f>
        <v>6521</v>
      </c>
      <c r="U393" s="656" t="str">
        <f>+VLOOKUP($L393,Data_Validation!$A:$D,3,0)</f>
        <v>Carrosserie</v>
      </c>
      <c r="V393" s="656" t="str">
        <f>+VLOOKUP($L393,Data_Validation!$A:$D,4,0)</f>
        <v>Salaires propriétaire</v>
      </c>
      <c r="W393" s="656" t="str">
        <f>+VLOOKUP($L393,Data_Validation!$A:$E,5,0)</f>
        <v>$</v>
      </c>
      <c r="X393" s="656">
        <f>+VLOOKUP($L393,Data_Validation!$A:$F,6,0)</f>
        <v>0</v>
      </c>
    </row>
    <row r="394" spans="1:24" ht="15.75" hidden="1" customHeight="1">
      <c r="A394" s="1213" t="s">
        <v>1171</v>
      </c>
      <c r="B394" s="1213" t="s">
        <v>2550</v>
      </c>
      <c r="C394" s="1215">
        <v>9920.68</v>
      </c>
      <c r="D394" s="1215">
        <v>901.88</v>
      </c>
      <c r="E394" s="1215">
        <v>10822.56</v>
      </c>
      <c r="F394" s="1213" t="s">
        <v>1154</v>
      </c>
      <c r="G394" s="1213" t="s">
        <v>1172</v>
      </c>
      <c r="I394" s="1024"/>
      <c r="J394" s="1024"/>
      <c r="K394" s="1024"/>
      <c r="L394" s="653" t="str">
        <f t="shared" si="186"/>
        <v>6522</v>
      </c>
      <c r="M394" s="654" t="str">
        <f t="shared" si="187"/>
        <v>SAL SUPERVISION / GERANT</v>
      </c>
      <c r="N394" s="655">
        <f>+IF(OR($Q394=Parametres!$G$2,$Q394=Parametres!$G$3),I394,C394)</f>
        <v>9920.68</v>
      </c>
      <c r="O394" s="655">
        <f>+IF(OR($Q394=Parametres!$G$2,$Q394=Parametres!$G$3),J394,D394)</f>
        <v>901.88</v>
      </c>
      <c r="P394" s="655">
        <f>+IF(OR($Q394=Parametres!$G$2,$Q394=Parametres!$G$3),K394,E394)</f>
        <v>10822.56</v>
      </c>
      <c r="Q394" s="654" t="str">
        <f t="shared" si="188"/>
        <v>7-Dépenses</v>
      </c>
      <c r="R394" s="653" t="str">
        <f t="shared" si="189"/>
        <v>6122</v>
      </c>
      <c r="S394" s="654">
        <f t="shared" si="190"/>
        <v>0</v>
      </c>
      <c r="T394" s="656" t="str">
        <f>+VLOOKUP($L394,Data_Validation!$A:$D,1,0)</f>
        <v>6522</v>
      </c>
      <c r="U394" s="656" t="str">
        <f>+VLOOKUP($L394,Data_Validation!$A:$D,3,0)</f>
        <v>Carrosserie</v>
      </c>
      <c r="V394" s="656" t="str">
        <f>+VLOOKUP($L394,Data_Validation!$A:$D,4,0)</f>
        <v>Salaires cadres</v>
      </c>
      <c r="W394" s="656" t="str">
        <f>+VLOOKUP($L394,Data_Validation!$A:$E,5,0)</f>
        <v>$</v>
      </c>
      <c r="X394" s="656">
        <f>+VLOOKUP($L394,Data_Validation!$A:$F,6,0)</f>
        <v>0</v>
      </c>
    </row>
    <row r="395" spans="1:24" ht="15.75" hidden="1" customHeight="1">
      <c r="A395" s="1213" t="s">
        <v>1244</v>
      </c>
      <c r="B395" s="1213" t="s">
        <v>2553</v>
      </c>
      <c r="C395" s="1215">
        <v>22283.27</v>
      </c>
      <c r="D395" s="1215">
        <v>4446.97</v>
      </c>
      <c r="E395" s="1215">
        <v>26730.240000000002</v>
      </c>
      <c r="F395" s="1213" t="s">
        <v>1154</v>
      </c>
      <c r="G395" s="1213" t="s">
        <v>1174</v>
      </c>
      <c r="I395" s="1024"/>
      <c r="J395" s="1024"/>
      <c r="K395" s="1024"/>
      <c r="L395" s="653" t="str">
        <f t="shared" si="186"/>
        <v>6523</v>
      </c>
      <c r="M395" s="654" t="str">
        <f t="shared" si="187"/>
        <v>SAL. &amp; RENUM. CLERICAL</v>
      </c>
      <c r="N395" s="655">
        <f>+IF(OR($Q395=Parametres!$G$2,$Q395=Parametres!$G$3),I395,C395)</f>
        <v>22283.27</v>
      </c>
      <c r="O395" s="655">
        <f>+IF(OR($Q395=Parametres!$G$2,$Q395=Parametres!$G$3),J395,D395)</f>
        <v>4446.97</v>
      </c>
      <c r="P395" s="655">
        <f>+IF(OR($Q395=Parametres!$G$2,$Q395=Parametres!$G$3),K395,E395)</f>
        <v>26730.240000000002</v>
      </c>
      <c r="Q395" s="654" t="str">
        <f t="shared" si="188"/>
        <v>7-Dépenses</v>
      </c>
      <c r="R395" s="653" t="str">
        <f t="shared" si="189"/>
        <v>6123</v>
      </c>
      <c r="S395" s="654">
        <f t="shared" si="190"/>
        <v>0</v>
      </c>
      <c r="T395" s="656" t="str">
        <f>+VLOOKUP($L395,Data_Validation!$A:$D,1,0)</f>
        <v>6523</v>
      </c>
      <c r="U395" s="656" t="str">
        <f>+VLOOKUP($L395,Data_Validation!$A:$D,3,0)</f>
        <v>Carrosserie</v>
      </c>
      <c r="V395" s="656" t="str">
        <f>+VLOOKUP($L395,Data_Validation!$A:$D,4,0)</f>
        <v>Salaires commis</v>
      </c>
      <c r="W395" s="656" t="str">
        <f>+VLOOKUP($L395,Data_Validation!$A:$E,5,0)</f>
        <v>$</v>
      </c>
      <c r="X395" s="656">
        <f>+VLOOKUP($L395,Data_Validation!$A:$F,6,0)</f>
        <v>0</v>
      </c>
    </row>
    <row r="396" spans="1:24" ht="15.75" hidden="1" customHeight="1">
      <c r="A396" s="1213" t="s">
        <v>1175</v>
      </c>
      <c r="B396" s="1213" t="s">
        <v>2556</v>
      </c>
      <c r="C396" s="1215">
        <v>1.33</v>
      </c>
      <c r="D396" s="1215">
        <v>0.08</v>
      </c>
      <c r="E396" s="1215">
        <v>1.41</v>
      </c>
      <c r="F396" s="1213" t="s">
        <v>1154</v>
      </c>
      <c r="G396" s="1213" t="s">
        <v>1176</v>
      </c>
      <c r="I396" s="1024"/>
      <c r="J396" s="1024"/>
      <c r="K396" s="1024"/>
      <c r="L396" s="653" t="str">
        <f t="shared" si="186"/>
        <v>6524</v>
      </c>
      <c r="M396" s="654" t="str">
        <f t="shared" si="187"/>
        <v>SALAIRES &amp; RENUM. - AUTRES</v>
      </c>
      <c r="N396" s="655">
        <f>+IF(OR($Q396=Parametres!$G$2,$Q396=Parametres!$G$3),I396,C396)</f>
        <v>1.33</v>
      </c>
      <c r="O396" s="655">
        <f>+IF(OR($Q396=Parametres!$G$2,$Q396=Parametres!$G$3),J396,D396)</f>
        <v>0.08</v>
      </c>
      <c r="P396" s="655">
        <f>+IF(OR($Q396=Parametres!$G$2,$Q396=Parametres!$G$3),K396,E396)</f>
        <v>1.41</v>
      </c>
      <c r="Q396" s="654" t="str">
        <f t="shared" si="188"/>
        <v>7-Dépenses</v>
      </c>
      <c r="R396" s="653" t="str">
        <f t="shared" si="189"/>
        <v>6124</v>
      </c>
      <c r="S396" s="654">
        <f t="shared" si="190"/>
        <v>0</v>
      </c>
      <c r="T396" s="656" t="str">
        <f>+VLOOKUP($L396,Data_Validation!$A:$D,1,0)</f>
        <v>6524</v>
      </c>
      <c r="U396" s="656" t="str">
        <f>+VLOOKUP($L396,Data_Validation!$A:$D,3,0)</f>
        <v>Carrosserie</v>
      </c>
      <c r="V396" s="656" t="str">
        <f>+VLOOKUP($L396,Data_Validation!$A:$D,4,0)</f>
        <v>Salaires autres</v>
      </c>
      <c r="W396" s="656" t="str">
        <f>+VLOOKUP($L396,Data_Validation!$A:$E,5,0)</f>
        <v>$</v>
      </c>
      <c r="X396" s="656">
        <f>+VLOOKUP($L396,Data_Validation!$A:$F,6,0)</f>
        <v>0</v>
      </c>
    </row>
    <row r="397" spans="1:24" ht="15.75" hidden="1" customHeight="1">
      <c r="A397" s="1213" t="s">
        <v>1229</v>
      </c>
      <c r="B397" s="1213" t="s">
        <v>2562</v>
      </c>
      <c r="C397" s="1215">
        <v>5127.5</v>
      </c>
      <c r="D397" s="1215">
        <v>556.45000000000005</v>
      </c>
      <c r="E397" s="1215">
        <v>5683.95</v>
      </c>
      <c r="F397" s="1213" t="s">
        <v>1154</v>
      </c>
      <c r="G397" s="1213" t="s">
        <v>1178</v>
      </c>
      <c r="I397" s="1024"/>
      <c r="J397" s="1024"/>
      <c r="K397" s="1024"/>
      <c r="L397" s="653" t="str">
        <f t="shared" si="186"/>
        <v>6529</v>
      </c>
      <c r="M397" s="654" t="str">
        <f t="shared" si="187"/>
        <v>ABS.,VACANCES &amp; SAL. JOURS FER</v>
      </c>
      <c r="N397" s="655">
        <f>+IF(OR($Q397=Parametres!$G$2,$Q397=Parametres!$G$3),I397,C397)</f>
        <v>5127.5</v>
      </c>
      <c r="O397" s="655">
        <f>+IF(OR($Q397=Parametres!$G$2,$Q397=Parametres!$G$3),J397,D397)</f>
        <v>556.45000000000005</v>
      </c>
      <c r="P397" s="655">
        <f>+IF(OR($Q397=Parametres!$G$2,$Q397=Parametres!$G$3),K397,E397)</f>
        <v>5683.95</v>
      </c>
      <c r="Q397" s="654" t="str">
        <f t="shared" si="188"/>
        <v>7-Dépenses</v>
      </c>
      <c r="R397" s="653" t="str">
        <f t="shared" si="189"/>
        <v>6129</v>
      </c>
      <c r="S397" s="654">
        <f t="shared" si="190"/>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75" hidden="1" customHeight="1">
      <c r="A398" s="1213" t="s">
        <v>1179</v>
      </c>
      <c r="B398" s="1213" t="s">
        <v>2565</v>
      </c>
      <c r="C398" s="1215">
        <v>1309.83</v>
      </c>
      <c r="D398" s="1215">
        <v>439.69</v>
      </c>
      <c r="E398" s="1215">
        <v>1749.52</v>
      </c>
      <c r="F398" s="1213" t="s">
        <v>1154</v>
      </c>
      <c r="G398" s="1213" t="s">
        <v>1180</v>
      </c>
      <c r="I398" s="1024"/>
      <c r="J398" s="1024"/>
      <c r="K398" s="1024"/>
      <c r="L398" s="653" t="str">
        <f t="shared" si="186"/>
        <v>6531</v>
      </c>
      <c r="M398" s="654" t="str">
        <f t="shared" si="187"/>
        <v>CSST</v>
      </c>
      <c r="N398" s="655">
        <f>+IF(OR($Q398=Parametres!$G$2,$Q398=Parametres!$G$3),I398,C398)</f>
        <v>1309.83</v>
      </c>
      <c r="O398" s="655">
        <f>+IF(OR($Q398=Parametres!$G$2,$Q398=Parametres!$G$3),J398,D398)</f>
        <v>439.69</v>
      </c>
      <c r="P398" s="655">
        <f>+IF(OR($Q398=Parametres!$G$2,$Q398=Parametres!$G$3),K398,E398)</f>
        <v>1749.52</v>
      </c>
      <c r="Q398" s="654" t="str">
        <f t="shared" si="188"/>
        <v>7-Dépenses</v>
      </c>
      <c r="R398" s="653" t="str">
        <f t="shared" si="189"/>
        <v>6131</v>
      </c>
      <c r="S398" s="654">
        <f t="shared" si="190"/>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hidden="1" customHeight="1">
      <c r="A399" s="1213" t="s">
        <v>1181</v>
      </c>
      <c r="B399" s="1213" t="s">
        <v>2568</v>
      </c>
      <c r="C399" s="1215">
        <v>12372.1</v>
      </c>
      <c r="D399" s="1215">
        <v>1265.0999999999999</v>
      </c>
      <c r="E399" s="1215">
        <v>13637.2</v>
      </c>
      <c r="F399" s="1213" t="s">
        <v>1154</v>
      </c>
      <c r="G399" s="1213" t="s">
        <v>1182</v>
      </c>
      <c r="I399" s="1024"/>
      <c r="J399" s="1024"/>
      <c r="K399" s="1024"/>
      <c r="L399" s="653" t="str">
        <f t="shared" si="186"/>
        <v>6532</v>
      </c>
      <c r="M399" s="654" t="str">
        <f t="shared" si="187"/>
        <v>RRQ RAMQ AC</v>
      </c>
      <c r="N399" s="655">
        <f>+IF(OR($Q399=Parametres!$G$2,$Q399=Parametres!$G$3),I399,C399)</f>
        <v>12372.1</v>
      </c>
      <c r="O399" s="655">
        <f>+IF(OR($Q399=Parametres!$G$2,$Q399=Parametres!$G$3),J399,D399)</f>
        <v>1265.0999999999999</v>
      </c>
      <c r="P399" s="655">
        <f>+IF(OR($Q399=Parametres!$G$2,$Q399=Parametres!$G$3),K399,E399)</f>
        <v>13637.2</v>
      </c>
      <c r="Q399" s="654" t="str">
        <f t="shared" si="188"/>
        <v>7-Dépenses</v>
      </c>
      <c r="R399" s="653" t="str">
        <f t="shared" si="189"/>
        <v>6132</v>
      </c>
      <c r="S399" s="654">
        <f t="shared" si="190"/>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75" hidden="1" customHeight="1">
      <c r="A400" s="1213" t="s">
        <v>1264</v>
      </c>
      <c r="B400" s="1213" t="s">
        <v>3398</v>
      </c>
      <c r="C400" s="1215">
        <v>569.87</v>
      </c>
      <c r="D400" s="1215">
        <v>131.6</v>
      </c>
      <c r="E400" s="1215">
        <v>701.47</v>
      </c>
      <c r="F400" s="1213" t="s">
        <v>1154</v>
      </c>
      <c r="G400" s="1213" t="s">
        <v>1184</v>
      </c>
      <c r="I400" s="1024"/>
      <c r="J400" s="1024"/>
      <c r="K400" s="1024"/>
      <c r="L400" s="653" t="str">
        <f t="shared" si="186"/>
        <v>6533</v>
      </c>
      <c r="M400" s="654" t="str">
        <f t="shared" si="187"/>
        <v>FOND PENSION - CARROSSERIE</v>
      </c>
      <c r="N400" s="655">
        <f>+IF(OR($Q400=Parametres!$G$2,$Q400=Parametres!$G$3),I400,C400)</f>
        <v>569.87</v>
      </c>
      <c r="O400" s="655">
        <f>+IF(OR($Q400=Parametres!$G$2,$Q400=Parametres!$G$3),J400,D400)</f>
        <v>131.6</v>
      </c>
      <c r="P400" s="655">
        <f>+IF(OR($Q400=Parametres!$G$2,$Q400=Parametres!$G$3),K400,E400)</f>
        <v>701.47</v>
      </c>
      <c r="Q400" s="654" t="str">
        <f t="shared" si="188"/>
        <v>7-Dépenses</v>
      </c>
      <c r="R400" s="653" t="str">
        <f t="shared" si="189"/>
        <v>6133</v>
      </c>
      <c r="S400" s="654">
        <f t="shared" si="190"/>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75" hidden="1" customHeight="1">
      <c r="A401" s="1213" t="s">
        <v>1231</v>
      </c>
      <c r="B401" s="1213" t="s">
        <v>2571</v>
      </c>
      <c r="C401" s="1215">
        <v>896.71</v>
      </c>
      <c r="D401" s="1215">
        <v>209.6</v>
      </c>
      <c r="E401" s="1215">
        <v>1106.31</v>
      </c>
      <c r="F401" s="1213" t="s">
        <v>1154</v>
      </c>
      <c r="G401" s="1213" t="s">
        <v>1186</v>
      </c>
      <c r="I401" s="1024"/>
      <c r="J401" s="1024"/>
      <c r="K401" s="1024"/>
      <c r="L401" s="653" t="str">
        <f t="shared" si="186"/>
        <v>6539</v>
      </c>
      <c r="M401" s="654" t="str">
        <f t="shared" si="187"/>
        <v>ASSURANCE GROUPE</v>
      </c>
      <c r="N401" s="655">
        <f>+IF(OR($Q401=Parametres!$G$2,$Q401=Parametres!$G$3),I401,C401)</f>
        <v>896.71</v>
      </c>
      <c r="O401" s="655">
        <f>+IF(OR($Q401=Parametres!$G$2,$Q401=Parametres!$G$3),J401,D401)</f>
        <v>209.6</v>
      </c>
      <c r="P401" s="655">
        <f>+IF(OR($Q401=Parametres!$G$2,$Q401=Parametres!$G$3),K401,E401)</f>
        <v>1106.31</v>
      </c>
      <c r="Q401" s="654" t="str">
        <f t="shared" si="188"/>
        <v>7-Dépenses</v>
      </c>
      <c r="R401" s="653" t="str">
        <f t="shared" si="189"/>
        <v>6139</v>
      </c>
      <c r="S401" s="654">
        <f t="shared" si="190"/>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75" hidden="1" customHeight="1">
      <c r="A402" s="1213" t="s">
        <v>1249</v>
      </c>
      <c r="B402" s="1213" t="s">
        <v>3687</v>
      </c>
      <c r="C402" s="1215">
        <v>1736.17</v>
      </c>
      <c r="D402" s="1215">
        <v>750.32</v>
      </c>
      <c r="E402" s="1215">
        <v>2486.4899999999998</v>
      </c>
      <c r="F402" s="1213" t="s">
        <v>1154</v>
      </c>
      <c r="G402" s="1213" t="s">
        <v>1242</v>
      </c>
      <c r="I402" s="1024"/>
      <c r="J402" s="1024"/>
      <c r="K402" s="1024"/>
      <c r="L402" s="653" t="str">
        <f t="shared" si="186"/>
        <v>6541</v>
      </c>
      <c r="M402" s="654" t="str">
        <f t="shared" si="187"/>
        <v>RETOURS</v>
      </c>
      <c r="N402" s="655">
        <f>+IF(OR($Q402=Parametres!$G$2,$Q402=Parametres!$G$3),I402,C402)</f>
        <v>1736.17</v>
      </c>
      <c r="O402" s="655">
        <f>+IF(OR($Q402=Parametres!$G$2,$Q402=Parametres!$G$3),J402,D402)</f>
        <v>750.32</v>
      </c>
      <c r="P402" s="655">
        <f>+IF(OR($Q402=Parametres!$G$2,$Q402=Parametres!$G$3),K402,E402)</f>
        <v>2486.4899999999998</v>
      </c>
      <c r="Q402" s="654" t="str">
        <f t="shared" si="188"/>
        <v>7-Dépenses</v>
      </c>
      <c r="R402" s="653" t="str">
        <f t="shared" si="189"/>
        <v>6112</v>
      </c>
      <c r="S402" s="654">
        <f t="shared" si="190"/>
        <v>0</v>
      </c>
      <c r="T402" s="656" t="str">
        <f>+VLOOKUP($L402,Data_Validation!$A:$D,1,0)</f>
        <v>6541</v>
      </c>
      <c r="U402" s="656" t="str">
        <f>+VLOOKUP($L402,Data_Validation!$A:$D,3,0)</f>
        <v>Service</v>
      </c>
      <c r="V402" s="656" t="str">
        <f>+VLOOKUP($L402,Data_Validation!$A:$D,4,0)</f>
        <v>Service gratuit 2</v>
      </c>
      <c r="W402" s="656" t="str">
        <f>+VLOOKUP($L402,Data_Validation!$A:$E,5,0)</f>
        <v>$</v>
      </c>
      <c r="X402" s="656">
        <f>+VLOOKUP($L402,Data_Validation!$A:$F,6,0)</f>
        <v>0</v>
      </c>
    </row>
    <row r="403" spans="1:24" ht="15.75" hidden="1" customHeight="1">
      <c r="A403" s="1213" t="s">
        <v>1187</v>
      </c>
      <c r="B403" s="1213" t="s">
        <v>2577</v>
      </c>
      <c r="C403" s="1215">
        <v>30.21</v>
      </c>
      <c r="D403" s="1215">
        <v>12.79</v>
      </c>
      <c r="E403" s="1215">
        <v>43</v>
      </c>
      <c r="F403" s="1213" t="s">
        <v>1154</v>
      </c>
      <c r="G403" s="1213" t="s">
        <v>1188</v>
      </c>
      <c r="I403" s="1024"/>
      <c r="J403" s="1024"/>
      <c r="K403" s="1024"/>
      <c r="L403" s="653" t="str">
        <f t="shared" si="186"/>
        <v>6542</v>
      </c>
      <c r="M403" s="654" t="str">
        <f t="shared" si="187"/>
        <v>FOURNITURES &amp; PETITS OUTILS</v>
      </c>
      <c r="N403" s="655">
        <f>+IF(OR($Q403=Parametres!$G$2,$Q403=Parametres!$G$3),I403,C403)</f>
        <v>30.21</v>
      </c>
      <c r="O403" s="655">
        <f>+IF(OR($Q403=Parametres!$G$2,$Q403=Parametres!$G$3),J403,D403)</f>
        <v>12.79</v>
      </c>
      <c r="P403" s="655">
        <f>+IF(OR($Q403=Parametres!$G$2,$Q403=Parametres!$G$3),K403,E403)</f>
        <v>43</v>
      </c>
      <c r="Q403" s="654" t="str">
        <f t="shared" si="188"/>
        <v>7-Dépenses</v>
      </c>
      <c r="R403" s="653" t="str">
        <f t="shared" si="189"/>
        <v>6142</v>
      </c>
      <c r="S403" s="654">
        <f t="shared" si="190"/>
        <v>0</v>
      </c>
      <c r="T403" s="656" t="str">
        <f>+VLOOKUP($L403,Data_Validation!$A:$D,1,0)</f>
        <v>6542</v>
      </c>
      <c r="U403" s="656" t="str">
        <f>+VLOOKUP($L403,Data_Validation!$A:$D,3,0)</f>
        <v>Carrosserie</v>
      </c>
      <c r="V403" s="656" t="str">
        <f>+VLOOKUP($L403,Data_Validation!$A:$D,4,0)</f>
        <v>Fournitures autres</v>
      </c>
      <c r="W403" s="656" t="str">
        <f>+VLOOKUP($L403,Data_Validation!$A:$E,5,0)</f>
        <v>$</v>
      </c>
      <c r="X403" s="656">
        <f>+VLOOKUP($L403,Data_Validation!$A:$F,6,0)</f>
        <v>0</v>
      </c>
    </row>
    <row r="404" spans="1:24" ht="15.75" hidden="1" customHeight="1">
      <c r="A404" s="1213" t="s">
        <v>1191</v>
      </c>
      <c r="B404" s="1213" t="s">
        <v>2583</v>
      </c>
      <c r="C404" s="1215">
        <v>920.2</v>
      </c>
      <c r="D404" s="1215">
        <v>22.33</v>
      </c>
      <c r="E404" s="1215">
        <v>942.53</v>
      </c>
      <c r="F404" s="1213" t="s">
        <v>1154</v>
      </c>
      <c r="G404" s="1213" t="s">
        <v>1192</v>
      </c>
      <c r="I404" s="1024"/>
      <c r="J404" s="1024"/>
      <c r="K404" s="1024"/>
      <c r="L404" s="653" t="str">
        <f t="shared" si="186"/>
        <v>6544</v>
      </c>
      <c r="M404" s="654" t="str">
        <f t="shared" si="187"/>
        <v>FORMATION</v>
      </c>
      <c r="N404" s="655">
        <f>+IF(OR($Q404=Parametres!$G$2,$Q404=Parametres!$G$3),I404,C404)</f>
        <v>920.2</v>
      </c>
      <c r="O404" s="655">
        <f>+IF(OR($Q404=Parametres!$G$2,$Q404=Parametres!$G$3),J404,D404)</f>
        <v>22.33</v>
      </c>
      <c r="P404" s="655">
        <f>+IF(OR($Q404=Parametres!$G$2,$Q404=Parametres!$G$3),K404,E404)</f>
        <v>942.53</v>
      </c>
      <c r="Q404" s="654" t="str">
        <f t="shared" si="188"/>
        <v>7-Dépenses</v>
      </c>
      <c r="R404" s="653" t="str">
        <f t="shared" si="189"/>
        <v>6144</v>
      </c>
      <c r="S404" s="654">
        <f t="shared" si="190"/>
        <v>0</v>
      </c>
      <c r="T404" s="656" t="str">
        <f>+VLOOKUP($L404,Data_Validation!$A:$D,1,0)</f>
        <v>6544</v>
      </c>
      <c r="U404" s="656" t="str">
        <f>+VLOOKUP($L404,Data_Validation!$A:$D,3,0)</f>
        <v>Carrosserie</v>
      </c>
      <c r="V404" s="656" t="str">
        <f>+VLOOKUP($L404,Data_Validation!$A:$D,4,0)</f>
        <v>Formation</v>
      </c>
      <c r="W404" s="656" t="str">
        <f>+VLOOKUP($L404,Data_Validation!$A:$E,5,0)</f>
        <v>$</v>
      </c>
      <c r="X404" s="656">
        <f>+VLOOKUP($L404,Data_Validation!$A:$F,6,0)</f>
        <v>0</v>
      </c>
    </row>
    <row r="405" spans="1:24" ht="15.75" hidden="1" customHeight="1">
      <c r="A405" s="1213" t="s">
        <v>1193</v>
      </c>
      <c r="B405" s="1213" t="s">
        <v>2586</v>
      </c>
      <c r="C405" s="1215">
        <v>2079.4299999999998</v>
      </c>
      <c r="D405" s="1215">
        <v>164.91</v>
      </c>
      <c r="E405" s="1215">
        <v>2244.34</v>
      </c>
      <c r="F405" s="1213" t="s">
        <v>1154</v>
      </c>
      <c r="G405" s="1213" t="s">
        <v>1194</v>
      </c>
      <c r="I405" s="1024"/>
      <c r="J405" s="1024"/>
      <c r="K405" s="1024"/>
      <c r="L405" s="653" t="str">
        <f t="shared" si="186"/>
        <v>6545</v>
      </c>
      <c r="M405" s="654" t="str">
        <f t="shared" si="187"/>
        <v>VEHICULE DE COMPAGNIE - DEPENS</v>
      </c>
      <c r="N405" s="655">
        <f>+IF(OR($Q405=Parametres!$G$2,$Q405=Parametres!$G$3),I405,C405)</f>
        <v>2079.4299999999998</v>
      </c>
      <c r="O405" s="655">
        <f>+IF(OR($Q405=Parametres!$G$2,$Q405=Parametres!$G$3),J405,D405)</f>
        <v>164.91</v>
      </c>
      <c r="P405" s="655">
        <f>+IF(OR($Q405=Parametres!$G$2,$Q405=Parametres!$G$3),K405,E405)</f>
        <v>2244.34</v>
      </c>
      <c r="Q405" s="654" t="str">
        <f t="shared" si="188"/>
        <v>7-Dépenses</v>
      </c>
      <c r="R405" s="653" t="str">
        <f t="shared" si="189"/>
        <v>6145</v>
      </c>
      <c r="S405" s="654">
        <f t="shared" si="190"/>
        <v>0</v>
      </c>
      <c r="T405" s="656" t="str">
        <f>+VLOOKUP($L405,Data_Validation!$A:$D,1,0)</f>
        <v>6545</v>
      </c>
      <c r="U405" s="656" t="str">
        <f>+VLOOKUP($L405,Data_Validation!$A:$D,3,0)</f>
        <v>Carrosserie</v>
      </c>
      <c r="V405" s="656" t="str">
        <f>+VLOOKUP($L405,Data_Validation!$A:$D,4,0)</f>
        <v>Frais véhicules de cie</v>
      </c>
      <c r="W405" s="656" t="str">
        <f>+VLOOKUP($L405,Data_Validation!$A:$E,5,0)</f>
        <v>$</v>
      </c>
      <c r="X405" s="656">
        <f>+VLOOKUP($L405,Data_Validation!$A:$F,6,0)</f>
        <v>0</v>
      </c>
    </row>
    <row r="406" spans="1:24" ht="15.75" hidden="1" customHeight="1">
      <c r="A406" s="1213" t="s">
        <v>1195</v>
      </c>
      <c r="B406" s="1213" t="s">
        <v>2589</v>
      </c>
      <c r="C406" s="1215">
        <v>188.85</v>
      </c>
      <c r="D406" s="1215">
        <v>7.21</v>
      </c>
      <c r="E406" s="1215">
        <v>196.06</v>
      </c>
      <c r="F406" s="1213" t="s">
        <v>1154</v>
      </c>
      <c r="G406" s="1213" t="s">
        <v>1196</v>
      </c>
      <c r="I406" s="1024"/>
      <c r="J406" s="1024"/>
      <c r="K406" s="1024"/>
      <c r="L406" s="653" t="str">
        <f t="shared" si="186"/>
        <v>6547</v>
      </c>
      <c r="M406" s="654" t="str">
        <f t="shared" si="187"/>
        <v>FRET/EXPRESS/TRANS. PAR CAMION</v>
      </c>
      <c r="N406" s="655">
        <f>+IF(OR($Q406=Parametres!$G$2,$Q406=Parametres!$G$3),I406,C406)</f>
        <v>188.85</v>
      </c>
      <c r="O406" s="655">
        <f>+IF(OR($Q406=Parametres!$G$2,$Q406=Parametres!$G$3),J406,D406)</f>
        <v>7.21</v>
      </c>
      <c r="P406" s="655">
        <f>+IF(OR($Q406=Parametres!$G$2,$Q406=Parametres!$G$3),K406,E406)</f>
        <v>196.06</v>
      </c>
      <c r="Q406" s="654" t="str">
        <f t="shared" si="188"/>
        <v>7-Dépenses</v>
      </c>
      <c r="R406" s="653" t="str">
        <f t="shared" si="189"/>
        <v>6147</v>
      </c>
      <c r="S406" s="654">
        <f t="shared" si="190"/>
        <v>0</v>
      </c>
      <c r="T406" s="656" t="str">
        <f>+VLOOKUP($L406,Data_Validation!$A:$D,1,0)</f>
        <v>6547</v>
      </c>
      <c r="U406" s="656" t="str">
        <f>+VLOOKUP($L406,Data_Validation!$A:$D,3,0)</f>
        <v>Carrosserie</v>
      </c>
      <c r="V406" s="656" t="str">
        <f>+VLOOKUP($L406,Data_Validation!$A:$D,4,0)</f>
        <v>Frais postaux</v>
      </c>
      <c r="W406" s="656" t="str">
        <f>+VLOOKUP($L406,Data_Validation!$A:$E,5,0)</f>
        <v>$</v>
      </c>
      <c r="X406" s="656">
        <f>+VLOOKUP($L406,Data_Validation!$A:$F,6,0)</f>
        <v>0</v>
      </c>
    </row>
    <row r="407" spans="1:24" ht="15.75" hidden="1" customHeight="1">
      <c r="A407" s="1213" t="s">
        <v>1197</v>
      </c>
      <c r="B407" s="1213" t="s">
        <v>2594</v>
      </c>
      <c r="C407" s="1215">
        <v>15880.56</v>
      </c>
      <c r="D407" s="1215">
        <v>1365.12</v>
      </c>
      <c r="E407" s="1215">
        <v>17245.68</v>
      </c>
      <c r="F407" s="1213" t="s">
        <v>1154</v>
      </c>
      <c r="G407" s="1213" t="s">
        <v>1198</v>
      </c>
      <c r="I407" s="1024"/>
      <c r="J407" s="1024"/>
      <c r="K407" s="1024"/>
      <c r="L407" s="653" t="str">
        <f t="shared" si="186"/>
        <v>6551</v>
      </c>
      <c r="M407" s="654" t="str">
        <f t="shared" si="187"/>
        <v>DEP. DU TRAITEMENT DES DONNEES</v>
      </c>
      <c r="N407" s="655">
        <f>+IF(OR($Q407=Parametres!$G$2,$Q407=Parametres!$G$3),I407,C407)</f>
        <v>15880.56</v>
      </c>
      <c r="O407" s="655">
        <f>+IF(OR($Q407=Parametres!$G$2,$Q407=Parametres!$G$3),J407,D407)</f>
        <v>1365.12</v>
      </c>
      <c r="P407" s="655">
        <f>+IF(OR($Q407=Parametres!$G$2,$Q407=Parametres!$G$3),K407,E407)</f>
        <v>17245.68</v>
      </c>
      <c r="Q407" s="654" t="str">
        <f t="shared" si="188"/>
        <v>7-Dépenses</v>
      </c>
      <c r="R407" s="653" t="str">
        <f t="shared" si="189"/>
        <v>6151</v>
      </c>
      <c r="S407" s="654">
        <f t="shared" si="190"/>
        <v>0</v>
      </c>
      <c r="T407" s="656" t="str">
        <f>+VLOOKUP($L407,Data_Validation!$A:$D,1,0)</f>
        <v>6551</v>
      </c>
      <c r="U407" s="656" t="str">
        <f>+VLOOKUP($L407,Data_Validation!$A:$D,3,0)</f>
        <v>Carrosserie</v>
      </c>
      <c r="V407" s="656" t="str">
        <f>+VLOOKUP($L407,Data_Validation!$A:$D,4,0)</f>
        <v>Informatique</v>
      </c>
      <c r="W407" s="656" t="str">
        <f>+VLOOKUP($L407,Data_Validation!$A:$E,5,0)</f>
        <v>$</v>
      </c>
      <c r="X407" s="656">
        <f>+VLOOKUP($L407,Data_Validation!$A:$F,6,0)</f>
        <v>0</v>
      </c>
    </row>
    <row r="408" spans="1:24" ht="15.75" hidden="1" customHeight="1">
      <c r="A408" s="1213" t="s">
        <v>1199</v>
      </c>
      <c r="B408" s="1213" t="s">
        <v>2597</v>
      </c>
      <c r="C408" s="1215">
        <v>1586.37</v>
      </c>
      <c r="D408" s="1215">
        <v>90.15</v>
      </c>
      <c r="E408" s="1215">
        <v>1676.52</v>
      </c>
      <c r="F408" s="1213" t="s">
        <v>1154</v>
      </c>
      <c r="G408" s="1213" t="s">
        <v>1200</v>
      </c>
      <c r="I408" s="1024"/>
      <c r="J408" s="1024"/>
      <c r="K408" s="1024"/>
      <c r="L408" s="653" t="str">
        <f t="shared" si="186"/>
        <v>6552</v>
      </c>
      <c r="M408" s="654" t="str">
        <f t="shared" si="187"/>
        <v>PAPETERIE</v>
      </c>
      <c r="N408" s="655">
        <f>+IF(OR($Q408=Parametres!$G$2,$Q408=Parametres!$G$3),I408,C408)</f>
        <v>1586.37</v>
      </c>
      <c r="O408" s="655">
        <f>+IF(OR($Q408=Parametres!$G$2,$Q408=Parametres!$G$3),J408,D408)</f>
        <v>90.15</v>
      </c>
      <c r="P408" s="655">
        <f>+IF(OR($Q408=Parametres!$G$2,$Q408=Parametres!$G$3),K408,E408)</f>
        <v>1676.52</v>
      </c>
      <c r="Q408" s="654" t="str">
        <f t="shared" si="188"/>
        <v>7-Dépenses</v>
      </c>
      <c r="R408" s="653" t="str">
        <f t="shared" si="189"/>
        <v>6152</v>
      </c>
      <c r="S408" s="654">
        <f t="shared" si="190"/>
        <v>0</v>
      </c>
      <c r="T408" s="656" t="str">
        <f>+VLOOKUP($L408,Data_Validation!$A:$D,1,0)</f>
        <v>6552</v>
      </c>
      <c r="U408" s="656" t="str">
        <f>+VLOOKUP($L408,Data_Validation!$A:$D,3,0)</f>
        <v>Carrosserie</v>
      </c>
      <c r="V408" s="656" t="str">
        <f>+VLOOKUP($L408,Data_Validation!$A:$D,4,0)</f>
        <v>Papeterie</v>
      </c>
      <c r="W408" s="656" t="str">
        <f>+VLOOKUP($L408,Data_Validation!$A:$E,5,0)</f>
        <v>$</v>
      </c>
      <c r="X408" s="656">
        <f>+VLOOKUP($L408,Data_Validation!$A:$F,6,0)</f>
        <v>0</v>
      </c>
    </row>
    <row r="409" spans="1:24" ht="15.75" hidden="1" customHeight="1">
      <c r="A409" s="1213" t="s">
        <v>1201</v>
      </c>
      <c r="B409" s="1213" t="s">
        <v>2600</v>
      </c>
      <c r="C409" s="1215">
        <v>327.95</v>
      </c>
      <c r="D409" s="1215">
        <v>25.75</v>
      </c>
      <c r="E409" s="1215">
        <v>353.7</v>
      </c>
      <c r="F409" s="1213" t="s">
        <v>1154</v>
      </c>
      <c r="G409" s="1213" t="s">
        <v>1202</v>
      </c>
      <c r="I409" s="1024"/>
      <c r="J409" s="1024"/>
      <c r="K409" s="1024"/>
      <c r="L409" s="653" t="str">
        <f t="shared" si="186"/>
        <v>6553</v>
      </c>
      <c r="M409" s="654" t="str">
        <f t="shared" si="187"/>
        <v>TELEPHONE ET TELEX</v>
      </c>
      <c r="N409" s="655">
        <f>+IF(OR($Q409=Parametres!$G$2,$Q409=Parametres!$G$3),I409,C409)</f>
        <v>327.95</v>
      </c>
      <c r="O409" s="655">
        <f>+IF(OR($Q409=Parametres!$G$2,$Q409=Parametres!$G$3),J409,D409)</f>
        <v>25.75</v>
      </c>
      <c r="P409" s="655">
        <f>+IF(OR($Q409=Parametres!$G$2,$Q409=Parametres!$G$3),K409,E409)</f>
        <v>353.7</v>
      </c>
      <c r="Q409" s="654" t="str">
        <f t="shared" si="188"/>
        <v>7-Dépenses</v>
      </c>
      <c r="R409" s="653" t="str">
        <f t="shared" si="189"/>
        <v>6153</v>
      </c>
      <c r="S409" s="654">
        <f t="shared" si="190"/>
        <v>0</v>
      </c>
      <c r="T409" s="656" t="str">
        <f>+VLOOKUP($L409,Data_Validation!$A:$D,1,0)</f>
        <v>6553</v>
      </c>
      <c r="U409" s="656" t="str">
        <f>+VLOOKUP($L409,Data_Validation!$A:$D,3,0)</f>
        <v>Carrosserie</v>
      </c>
      <c r="V409" s="656" t="str">
        <f>+VLOOKUP($L409,Data_Validation!$A:$D,4,0)</f>
        <v>Téléphone</v>
      </c>
      <c r="W409" s="656" t="str">
        <f>+VLOOKUP($L409,Data_Validation!$A:$E,5,0)</f>
        <v>$</v>
      </c>
      <c r="X409" s="656">
        <f>+VLOOKUP($L409,Data_Validation!$A:$F,6,0)</f>
        <v>0</v>
      </c>
    </row>
    <row r="410" spans="1:24" ht="15.75" hidden="1" customHeight="1">
      <c r="A410" s="1213" t="s">
        <v>1203</v>
      </c>
      <c r="B410" s="1213" t="s">
        <v>2603</v>
      </c>
      <c r="C410" s="1215">
        <v>452.96</v>
      </c>
      <c r="D410" s="1215">
        <v>20.93</v>
      </c>
      <c r="E410" s="1215">
        <v>473.89</v>
      </c>
      <c r="F410" s="1213" t="s">
        <v>1154</v>
      </c>
      <c r="G410" s="1213" t="s">
        <v>1204</v>
      </c>
      <c r="I410" s="1024"/>
      <c r="J410" s="1024"/>
      <c r="K410" s="1024"/>
      <c r="L410" s="653" t="str">
        <f t="shared" si="186"/>
        <v>6555</v>
      </c>
      <c r="M410" s="654" t="str">
        <f t="shared" si="187"/>
        <v>DEPENSES DIVERS</v>
      </c>
      <c r="N410" s="655">
        <f>+IF(OR($Q410=Parametres!$G$2,$Q410=Parametres!$G$3),I410,C410)</f>
        <v>452.96</v>
      </c>
      <c r="O410" s="655">
        <f>+IF(OR($Q410=Parametres!$G$2,$Q410=Parametres!$G$3),J410,D410)</f>
        <v>20.93</v>
      </c>
      <c r="P410" s="655">
        <f>+IF(OR($Q410=Parametres!$G$2,$Q410=Parametres!$G$3),K410,E410)</f>
        <v>473.89</v>
      </c>
      <c r="Q410" s="654" t="str">
        <f t="shared" si="188"/>
        <v>7-Dépenses</v>
      </c>
      <c r="R410" s="653" t="str">
        <f t="shared" si="189"/>
        <v>6155</v>
      </c>
      <c r="S410" s="654">
        <f t="shared" si="190"/>
        <v>0</v>
      </c>
      <c r="T410" s="656" t="str">
        <f>+VLOOKUP($L410,Data_Validation!$A:$D,1,0)</f>
        <v>6555</v>
      </c>
      <c r="U410" s="656" t="str">
        <f>+VLOOKUP($L410,Data_Validation!$A:$D,3,0)</f>
        <v>Carrosserie</v>
      </c>
      <c r="V410" s="656" t="str">
        <f>+VLOOKUP($L410,Data_Validation!$A:$D,4,0)</f>
        <v>Divers</v>
      </c>
      <c r="W410" s="656" t="str">
        <f>+VLOOKUP($L410,Data_Validation!$A:$E,5,0)</f>
        <v>$</v>
      </c>
      <c r="X410" s="656">
        <f>+VLOOKUP($L410,Data_Validation!$A:$F,6,0)</f>
        <v>0</v>
      </c>
    </row>
    <row r="411" spans="1:24" ht="15.75" hidden="1" customHeight="1">
      <c r="A411" s="1213" t="s">
        <v>1265</v>
      </c>
      <c r="B411" s="1213" t="s">
        <v>2606</v>
      </c>
      <c r="C411" s="1215">
        <v>2900.61</v>
      </c>
      <c r="D411" s="1215">
        <v>244.65</v>
      </c>
      <c r="E411" s="1215">
        <v>3145.26</v>
      </c>
      <c r="F411" s="1213" t="s">
        <v>1154</v>
      </c>
      <c r="G411" s="1213" t="s">
        <v>1206</v>
      </c>
      <c r="I411" s="1024"/>
      <c r="J411" s="1024"/>
      <c r="K411" s="1024"/>
      <c r="L411" s="653" t="str">
        <f t="shared" si="186"/>
        <v>6556</v>
      </c>
      <c r="M411" s="654" t="str">
        <f t="shared" si="187"/>
        <v>FRAIS REPRESENTATION</v>
      </c>
      <c r="N411" s="655">
        <f>+IF(OR($Q411=Parametres!$G$2,$Q411=Parametres!$G$3),I411,C411)</f>
        <v>2900.61</v>
      </c>
      <c r="O411" s="655">
        <f>+IF(OR($Q411=Parametres!$G$2,$Q411=Parametres!$G$3),J411,D411)</f>
        <v>244.65</v>
      </c>
      <c r="P411" s="655">
        <f>+IF(OR($Q411=Parametres!$G$2,$Q411=Parametres!$G$3),K411,E411)</f>
        <v>3145.26</v>
      </c>
      <c r="Q411" s="654" t="str">
        <f t="shared" si="188"/>
        <v>7-Dépenses</v>
      </c>
      <c r="R411" s="653" t="str">
        <f t="shared" si="189"/>
        <v>6156</v>
      </c>
      <c r="S411" s="654">
        <f t="shared" si="190"/>
        <v>0</v>
      </c>
      <c r="T411" s="656" t="str">
        <f>+VLOOKUP($L411,Data_Validation!$A:$D,1,0)</f>
        <v>6556</v>
      </c>
      <c r="U411" s="656" t="str">
        <f>+VLOOKUP($L411,Data_Validation!$A:$D,3,0)</f>
        <v>Carrosserie</v>
      </c>
      <c r="V411" s="656" t="str">
        <f>+VLOOKUP($L411,Data_Validation!$A:$D,4,0)</f>
        <v>Frais de déplacement</v>
      </c>
      <c r="W411" s="656" t="str">
        <f>+VLOOKUP($L411,Data_Validation!$A:$E,5,0)</f>
        <v>$</v>
      </c>
      <c r="X411" s="656">
        <f>+VLOOKUP($L411,Data_Validation!$A:$F,6,0)</f>
        <v>0</v>
      </c>
    </row>
    <row r="412" spans="1:24" ht="15.75" hidden="1" customHeight="1">
      <c r="A412" s="1213" t="s">
        <v>1266</v>
      </c>
      <c r="B412" s="1213" t="s">
        <v>3399</v>
      </c>
      <c r="C412" s="1215">
        <v>2402.17</v>
      </c>
      <c r="D412" s="1215">
        <v>229.91</v>
      </c>
      <c r="E412" s="1215">
        <v>2632.08</v>
      </c>
      <c r="F412" s="1213" t="s">
        <v>1154</v>
      </c>
      <c r="G412" s="1213" t="s">
        <v>1267</v>
      </c>
      <c r="I412" s="1024"/>
      <c r="J412" s="1024"/>
      <c r="K412" s="1024"/>
      <c r="L412" s="653" t="str">
        <f t="shared" si="186"/>
        <v>6557</v>
      </c>
      <c r="M412" s="654" t="str">
        <f t="shared" si="187"/>
        <v>FRAIS BANCAIRES - CARROSSERIE</v>
      </c>
      <c r="N412" s="655">
        <f>+IF(OR($Q412=Parametres!$G$2,$Q412=Parametres!$G$3),I412,C412)</f>
        <v>2402.17</v>
      </c>
      <c r="O412" s="655">
        <f>+IF(OR($Q412=Parametres!$G$2,$Q412=Parametres!$G$3),J412,D412)</f>
        <v>229.91</v>
      </c>
      <c r="P412" s="655">
        <f>+IF(OR($Q412=Parametres!$G$2,$Q412=Parametres!$G$3),K412,E412)</f>
        <v>2632.08</v>
      </c>
      <c r="Q412" s="654" t="str">
        <f t="shared" si="188"/>
        <v>7-Dépenses</v>
      </c>
      <c r="R412" s="653" t="str">
        <f t="shared" si="189"/>
        <v>655</v>
      </c>
      <c r="S412" s="654">
        <f t="shared" si="190"/>
        <v>0</v>
      </c>
      <c r="T412" s="656" t="str">
        <f>+VLOOKUP($L412,Data_Validation!$A:$D,1,0)</f>
        <v>6557</v>
      </c>
      <c r="U412" s="656" t="str">
        <f>+VLOOKUP($L412,Data_Validation!$A:$D,3,0)</f>
        <v>Carrosserie</v>
      </c>
      <c r="V412" s="656" t="str">
        <f>+VLOOKUP($L412,Data_Validation!$A:$D,4,0)</f>
        <v>Frais bancaires</v>
      </c>
      <c r="W412" s="656" t="str">
        <f>+VLOOKUP($L412,Data_Validation!$A:$E,5,0)</f>
        <v>$</v>
      </c>
      <c r="X412" s="656">
        <f>+VLOOKUP($L412,Data_Validation!$A:$F,6,0)</f>
        <v>0</v>
      </c>
    </row>
    <row r="413" spans="1:24" ht="15.75" hidden="1" customHeight="1">
      <c r="A413" s="1213" t="s">
        <v>1209</v>
      </c>
      <c r="B413" s="1213" t="s">
        <v>2609</v>
      </c>
      <c r="C413" s="1215">
        <v>8013.6</v>
      </c>
      <c r="D413" s="1215">
        <v>667.58</v>
      </c>
      <c r="E413" s="1215">
        <v>8681.18</v>
      </c>
      <c r="F413" s="1213" t="s">
        <v>1154</v>
      </c>
      <c r="G413" s="1213" t="s">
        <v>1210</v>
      </c>
      <c r="I413" s="1024"/>
      <c r="J413" s="1024"/>
      <c r="K413" s="1024"/>
      <c r="L413" s="653" t="str">
        <f t="shared" si="186"/>
        <v>6559</v>
      </c>
      <c r="M413" s="654" t="str">
        <f t="shared" si="187"/>
        <v>SERVICE EXTERIEUR</v>
      </c>
      <c r="N413" s="655">
        <f>+IF(OR($Q413=Parametres!$G$2,$Q413=Parametres!$G$3),I413,C413)</f>
        <v>8013.6</v>
      </c>
      <c r="O413" s="655">
        <f>+IF(OR($Q413=Parametres!$G$2,$Q413=Parametres!$G$3),J413,D413)</f>
        <v>667.58</v>
      </c>
      <c r="P413" s="655">
        <f>+IF(OR($Q413=Parametres!$G$2,$Q413=Parametres!$G$3),K413,E413)</f>
        <v>8681.18</v>
      </c>
      <c r="Q413" s="654" t="str">
        <f t="shared" si="188"/>
        <v>7-Dépenses</v>
      </c>
      <c r="R413" s="653" t="str">
        <f t="shared" si="189"/>
        <v>6159</v>
      </c>
      <c r="S413" s="654">
        <f t="shared" si="190"/>
        <v>0</v>
      </c>
      <c r="T413" s="656" t="str">
        <f>+VLOOKUP($L413,Data_Validation!$A:$D,1,0)</f>
        <v>6559</v>
      </c>
      <c r="U413" s="656" t="str">
        <f>+VLOOKUP($L413,Data_Validation!$A:$D,3,0)</f>
        <v>Carrosserie</v>
      </c>
      <c r="V413" s="656" t="str">
        <f>+VLOOKUP($L413,Data_Validation!$A:$D,4,0)</f>
        <v>Services extérieurs</v>
      </c>
      <c r="W413" s="656" t="str">
        <f>+VLOOKUP($L413,Data_Validation!$A:$E,5,0)</f>
        <v>$</v>
      </c>
      <c r="X413" s="656">
        <f>+VLOOKUP($L413,Data_Validation!$A:$F,6,0)</f>
        <v>0</v>
      </c>
    </row>
    <row r="414" spans="1:24" ht="15.75" hidden="1" customHeight="1">
      <c r="A414" s="1213" t="s">
        <v>1211</v>
      </c>
      <c r="B414" s="1213" t="s">
        <v>2611</v>
      </c>
      <c r="C414" s="1215">
        <v>14779.1</v>
      </c>
      <c r="D414" s="1215">
        <v>3165.8</v>
      </c>
      <c r="E414" s="1215">
        <v>17944.900000000001</v>
      </c>
      <c r="F414" s="1213" t="s">
        <v>1154</v>
      </c>
      <c r="G414" s="1213" t="s">
        <v>1212</v>
      </c>
      <c r="I414" s="1024"/>
      <c r="J414" s="1024"/>
      <c r="K414" s="1024"/>
      <c r="L414" s="653" t="str">
        <f t="shared" si="186"/>
        <v>6561</v>
      </c>
      <c r="M414" s="654" t="str">
        <f t="shared" si="187"/>
        <v>DEPRECIATION EQUIP. &amp; FIXTURES</v>
      </c>
      <c r="N414" s="655">
        <f>+IF(OR($Q414=Parametres!$G$2,$Q414=Parametres!$G$3),I414,C414)</f>
        <v>14779.1</v>
      </c>
      <c r="O414" s="655">
        <f>+IF(OR($Q414=Parametres!$G$2,$Q414=Parametres!$G$3),J414,D414)</f>
        <v>3165.8</v>
      </c>
      <c r="P414" s="655">
        <f>+IF(OR($Q414=Parametres!$G$2,$Q414=Parametres!$G$3),K414,E414)</f>
        <v>17944.900000000001</v>
      </c>
      <c r="Q414" s="654" t="str">
        <f t="shared" si="188"/>
        <v>7-Dépenses</v>
      </c>
      <c r="R414" s="653" t="str">
        <f t="shared" si="189"/>
        <v>6161</v>
      </c>
      <c r="S414" s="654">
        <f t="shared" si="190"/>
        <v>0</v>
      </c>
      <c r="T414" s="656" t="str">
        <f>+VLOOKUP($L414,Data_Validation!$A:$D,1,0)</f>
        <v>6561</v>
      </c>
      <c r="U414" s="656" t="str">
        <f>+VLOOKUP($L414,Data_Validation!$A:$D,3,0)</f>
        <v>Carrosserie</v>
      </c>
      <c r="V414" s="656" t="str">
        <f>+VLOOKUP($L414,Data_Validation!$A:$D,4,0)</f>
        <v>Amortissement</v>
      </c>
      <c r="W414" s="656" t="str">
        <f>+VLOOKUP($L414,Data_Validation!$A:$E,5,0)</f>
        <v>$</v>
      </c>
      <c r="X414" s="656">
        <f>+VLOOKUP($L414,Data_Validation!$A:$F,6,0)</f>
        <v>0</v>
      </c>
    </row>
    <row r="415" spans="1:24" ht="15.75" hidden="1" customHeight="1">
      <c r="A415" s="1213" t="s">
        <v>1268</v>
      </c>
      <c r="B415" s="1213" t="s">
        <v>2620</v>
      </c>
      <c r="C415" s="1215">
        <v>2966.11</v>
      </c>
      <c r="D415" s="1215">
        <v>406.89</v>
      </c>
      <c r="E415" s="1215">
        <v>3373</v>
      </c>
      <c r="F415" s="1213" t="s">
        <v>1154</v>
      </c>
      <c r="G415" s="1213" t="s">
        <v>1214</v>
      </c>
      <c r="I415" s="1024"/>
      <c r="J415" s="1024"/>
      <c r="K415" s="1024"/>
      <c r="L415" s="653" t="str">
        <f t="shared" si="186"/>
        <v>6581</v>
      </c>
      <c r="M415" s="654" t="str">
        <f t="shared" si="187"/>
        <v>CHAUFFAGE,ELECTRICITE,EAU-CARROS.</v>
      </c>
      <c r="N415" s="655">
        <f>+IF(OR($Q415=Parametres!$G$2,$Q415=Parametres!$G$3),I415,C415)</f>
        <v>2966.11</v>
      </c>
      <c r="O415" s="655">
        <f>+IF(OR($Q415=Parametres!$G$2,$Q415=Parametres!$G$3),J415,D415)</f>
        <v>406.89</v>
      </c>
      <c r="P415" s="655">
        <f>+IF(OR($Q415=Parametres!$G$2,$Q415=Parametres!$G$3),K415,E415)</f>
        <v>3373</v>
      </c>
      <c r="Q415" s="654" t="str">
        <f t="shared" si="188"/>
        <v>7-Dépenses</v>
      </c>
      <c r="R415" s="653" t="str">
        <f t="shared" si="189"/>
        <v>6181</v>
      </c>
      <c r="S415" s="654">
        <f t="shared" si="190"/>
        <v>0</v>
      </c>
      <c r="T415" s="656" t="str">
        <f>+VLOOKUP($L415,Data_Validation!$A:$D,1,0)</f>
        <v>6581</v>
      </c>
      <c r="U415" s="656" t="str">
        <f>+VLOOKUP($L415,Data_Validation!$A:$D,3,0)</f>
        <v>Carrosserie</v>
      </c>
      <c r="V415" s="656" t="str">
        <f>+VLOOKUP($L415,Data_Validation!$A:$D,4,0)</f>
        <v>Chauffage, éclairage</v>
      </c>
      <c r="W415" s="656" t="str">
        <f>+VLOOKUP($L415,Data_Validation!$A:$E,5,0)</f>
        <v>$</v>
      </c>
      <c r="X415" s="656">
        <f>+VLOOKUP($L415,Data_Validation!$A:$F,6,0)</f>
        <v>0</v>
      </c>
    </row>
    <row r="416" spans="1:24" ht="15.75" hidden="1" customHeight="1">
      <c r="A416" s="1213" t="s">
        <v>1269</v>
      </c>
      <c r="B416" s="1213" t="s">
        <v>2623</v>
      </c>
      <c r="C416" s="1215">
        <v>27720</v>
      </c>
      <c r="D416" s="1215">
        <v>2520</v>
      </c>
      <c r="E416" s="1215">
        <v>30240</v>
      </c>
      <c r="F416" s="1213" t="s">
        <v>1154</v>
      </c>
      <c r="G416" s="1213" t="s">
        <v>1216</v>
      </c>
      <c r="I416" s="1024"/>
      <c r="J416" s="1024"/>
      <c r="K416" s="1024"/>
      <c r="L416" s="653" t="str">
        <f t="shared" si="186"/>
        <v>6582</v>
      </c>
      <c r="M416" s="654" t="str">
        <f t="shared" si="187"/>
        <v>LOYER - CARROSSERIE</v>
      </c>
      <c r="N416" s="655">
        <f>+IF(OR($Q416=Parametres!$G$2,$Q416=Parametres!$G$3),I416,C416)</f>
        <v>27720</v>
      </c>
      <c r="O416" s="655">
        <f>+IF(OR($Q416=Parametres!$G$2,$Q416=Parametres!$G$3),J416,D416)</f>
        <v>2520</v>
      </c>
      <c r="P416" s="655">
        <f>+IF(OR($Q416=Parametres!$G$2,$Q416=Parametres!$G$3),K416,E416)</f>
        <v>30240</v>
      </c>
      <c r="Q416" s="654" t="str">
        <f t="shared" si="188"/>
        <v>7-Dépenses</v>
      </c>
      <c r="R416" s="653" t="str">
        <f t="shared" si="189"/>
        <v>6182</v>
      </c>
      <c r="S416" s="654">
        <f t="shared" si="190"/>
        <v>0</v>
      </c>
      <c r="T416" s="656" t="str">
        <f>+VLOOKUP($L416,Data_Validation!$A:$D,1,0)</f>
        <v>6582</v>
      </c>
      <c r="U416" s="656" t="str">
        <f>+VLOOKUP($L416,Data_Validation!$A:$D,3,0)</f>
        <v>Carrosserie</v>
      </c>
      <c r="V416" s="656" t="str">
        <f>+VLOOKUP($L416,Data_Validation!$A:$D,4,0)</f>
        <v>Loyer</v>
      </c>
      <c r="W416" s="656" t="str">
        <f>+VLOOKUP($L416,Data_Validation!$A:$E,5,0)</f>
        <v>$</v>
      </c>
      <c r="X416" s="656">
        <f>+VLOOKUP($L416,Data_Validation!$A:$F,6,0)</f>
        <v>0</v>
      </c>
    </row>
    <row r="417" spans="1:24" ht="15.75" hidden="1" customHeight="1">
      <c r="A417" s="1213" t="s">
        <v>1270</v>
      </c>
      <c r="B417" s="1213" t="s">
        <v>2625</v>
      </c>
      <c r="C417" s="1215">
        <v>2997.72</v>
      </c>
      <c r="D417" s="1215">
        <v>272.52</v>
      </c>
      <c r="E417" s="1215">
        <v>3270.24</v>
      </c>
      <c r="F417" s="1213" t="s">
        <v>1154</v>
      </c>
      <c r="G417" s="1213" t="s">
        <v>1218</v>
      </c>
      <c r="H417" s="1167"/>
      <c r="I417" s="1167"/>
      <c r="J417" s="1167"/>
      <c r="K417" s="1167"/>
      <c r="L417" s="653" t="str">
        <f t="shared" si="186"/>
        <v>6586</v>
      </c>
      <c r="M417" s="654" t="str">
        <f t="shared" si="187"/>
        <v>ASSURANCE BATISSE &amp; AMEL.-CARROS.</v>
      </c>
      <c r="N417" s="655">
        <f>+IF(OR($Q417=Parametres!$G$2,$Q417=Parametres!$G$3),I417,C417)</f>
        <v>2997.72</v>
      </c>
      <c r="O417" s="655">
        <f>+IF(OR($Q417=Parametres!$G$2,$Q417=Parametres!$G$3),J417,D417)</f>
        <v>272.52</v>
      </c>
      <c r="P417" s="655">
        <f>+IF(OR($Q417=Parametres!$G$2,$Q417=Parametres!$G$3),K417,E417)</f>
        <v>3270.24</v>
      </c>
      <c r="Q417" s="654" t="str">
        <f t="shared" si="188"/>
        <v>7-Dépenses</v>
      </c>
      <c r="R417" s="653" t="str">
        <f t="shared" si="189"/>
        <v>6186</v>
      </c>
      <c r="S417" s="654">
        <f t="shared" si="190"/>
        <v>0</v>
      </c>
      <c r="T417" s="656" t="str">
        <f>+VLOOKUP($L417,Data_Validation!$A:$D,1,0)</f>
        <v>6586</v>
      </c>
      <c r="U417" s="656" t="str">
        <f>+VLOOKUP($L417,Data_Validation!$A:$D,3,0)</f>
        <v>Carrosserie</v>
      </c>
      <c r="V417" s="656" t="str">
        <f>+VLOOKUP($L417,Data_Validation!$A:$D,4,0)</f>
        <v>Assurances</v>
      </c>
      <c r="W417" s="656" t="str">
        <f>+VLOOKUP($L417,Data_Validation!$A:$E,5,0)</f>
        <v>$</v>
      </c>
      <c r="X417" s="656">
        <f>+VLOOKUP($L417,Data_Validation!$A:$F,6,0)</f>
        <v>0</v>
      </c>
    </row>
    <row r="418" spans="1:24" ht="15.75" hidden="1" customHeight="1">
      <c r="A418" s="1213" t="s">
        <v>1271</v>
      </c>
      <c r="B418" s="1213" t="s">
        <v>2627</v>
      </c>
      <c r="C418" s="1215">
        <v>3986.29</v>
      </c>
      <c r="D418" s="1215">
        <v>362.39</v>
      </c>
      <c r="E418" s="1215">
        <v>4348.68</v>
      </c>
      <c r="F418" s="1213" t="s">
        <v>1154</v>
      </c>
      <c r="G418" s="1213" t="s">
        <v>1220</v>
      </c>
      <c r="H418" s="1167"/>
      <c r="I418" s="1167"/>
      <c r="J418" s="1167"/>
      <c r="K418" s="1167"/>
      <c r="L418" s="653" t="str">
        <f t="shared" si="186"/>
        <v>6587</v>
      </c>
      <c r="M418" s="654" t="str">
        <f t="shared" si="187"/>
        <v>TAXES FONCIERES - CAROSSERIE</v>
      </c>
      <c r="N418" s="655">
        <f>+IF(OR($Q418=Parametres!$G$2,$Q418=Parametres!$G$3),I418,C418)</f>
        <v>3986.29</v>
      </c>
      <c r="O418" s="655">
        <f>+IF(OR($Q418=Parametres!$G$2,$Q418=Parametres!$G$3),J418,D418)</f>
        <v>362.39</v>
      </c>
      <c r="P418" s="655">
        <f>+IF(OR($Q418=Parametres!$G$2,$Q418=Parametres!$G$3),K418,E418)</f>
        <v>4348.68</v>
      </c>
      <c r="Q418" s="654" t="str">
        <f t="shared" si="188"/>
        <v>7-Dépenses</v>
      </c>
      <c r="R418" s="653" t="str">
        <f t="shared" si="189"/>
        <v>6187</v>
      </c>
      <c r="S418" s="654">
        <f t="shared" si="190"/>
        <v>0</v>
      </c>
      <c r="T418" s="656" t="str">
        <f>+VLOOKUP($L418,Data_Validation!$A:$D,1,0)</f>
        <v>6587</v>
      </c>
      <c r="U418" s="656" t="str">
        <f>+VLOOKUP($L418,Data_Validation!$A:$D,3,0)</f>
        <v>Carrosserie</v>
      </c>
      <c r="V418" s="656" t="str">
        <f>+VLOOKUP($L418,Data_Validation!$A:$D,4,0)</f>
        <v>Taxes foncières</v>
      </c>
      <c r="W418" s="656" t="str">
        <f>+VLOOKUP($L418,Data_Validation!$A:$E,5,0)</f>
        <v>$</v>
      </c>
      <c r="X418" s="656">
        <f>+VLOOKUP($L418,Data_Validation!$A:$F,6,0)</f>
        <v>0</v>
      </c>
    </row>
    <row r="419" spans="1:24" ht="15.75" hidden="1" customHeight="1">
      <c r="A419" s="1213" t="s">
        <v>1272</v>
      </c>
      <c r="B419" s="1213" t="s">
        <v>2630</v>
      </c>
      <c r="C419" s="1215">
        <v>2694.51</v>
      </c>
      <c r="D419" s="1215">
        <v>241.15</v>
      </c>
      <c r="E419" s="1215">
        <v>2935.66</v>
      </c>
      <c r="F419" s="1213" t="s">
        <v>1154</v>
      </c>
      <c r="G419" s="1213" t="s">
        <v>1222</v>
      </c>
      <c r="H419" s="1167"/>
      <c r="I419" s="1167"/>
      <c r="J419" s="1167"/>
      <c r="K419" s="1167"/>
      <c r="L419" s="653" t="str">
        <f t="shared" si="186"/>
        <v>6593</v>
      </c>
      <c r="M419" s="654" t="str">
        <f t="shared" si="187"/>
        <v>AUTRES TAXES -CARROSSERIE</v>
      </c>
      <c r="N419" s="655">
        <f>+IF(OR($Q419=Parametres!$G$2,$Q419=Parametres!$G$3),I419,C419)</f>
        <v>2694.51</v>
      </c>
      <c r="O419" s="655">
        <f>+IF(OR($Q419=Parametres!$G$2,$Q419=Parametres!$G$3),J419,D419)</f>
        <v>241.15</v>
      </c>
      <c r="P419" s="655">
        <f>+IF(OR($Q419=Parametres!$G$2,$Q419=Parametres!$G$3),K419,E419)</f>
        <v>2935.66</v>
      </c>
      <c r="Q419" s="654" t="str">
        <f t="shared" si="188"/>
        <v>7-Dépenses</v>
      </c>
      <c r="R419" s="653" t="str">
        <f t="shared" si="189"/>
        <v>6193</v>
      </c>
      <c r="S419" s="654">
        <f t="shared" si="190"/>
        <v>0</v>
      </c>
      <c r="T419" s="656" t="str">
        <f>+VLOOKUP($L419,Data_Validation!$A:$D,1,0)</f>
        <v>6593</v>
      </c>
      <c r="U419" s="656" t="str">
        <f>+VLOOKUP($L419,Data_Validation!$A:$D,3,0)</f>
        <v>Carrosserie</v>
      </c>
      <c r="V419" s="656" t="str">
        <f>+VLOOKUP($L419,Data_Validation!$A:$D,4,0)</f>
        <v>Taxes d`affaires</v>
      </c>
      <c r="W419" s="656" t="str">
        <f>+VLOOKUP($L419,Data_Validation!$A:$E,5,0)</f>
        <v>$</v>
      </c>
      <c r="X419" s="656">
        <f>+VLOOKUP($L419,Data_Validation!$A:$F,6,0)</f>
        <v>0</v>
      </c>
    </row>
    <row r="420" spans="1:24" ht="15.75" hidden="1" customHeight="1">
      <c r="A420" s="1213" t="s">
        <v>1273</v>
      </c>
      <c r="B420" s="1213" t="s">
        <v>2632</v>
      </c>
      <c r="C420" s="1215">
        <v>5070.2700000000004</v>
      </c>
      <c r="D420" s="1215">
        <v>449.63</v>
      </c>
      <c r="E420" s="1215">
        <v>5519.9</v>
      </c>
      <c r="F420" s="1213" t="s">
        <v>1154</v>
      </c>
      <c r="G420" s="1213" t="s">
        <v>1224</v>
      </c>
      <c r="H420" s="1167"/>
      <c r="I420" s="1167"/>
      <c r="J420" s="1167"/>
      <c r="K420" s="1167"/>
      <c r="L420" s="653" t="str">
        <f t="shared" si="186"/>
        <v>6594</v>
      </c>
      <c r="M420" s="654" t="str">
        <f t="shared" si="187"/>
        <v>FRAIS PROFESSIONNEL-CARROS.</v>
      </c>
      <c r="N420" s="655">
        <f>+IF(OR($Q420=Parametres!$G$2,$Q420=Parametres!$G$3),I420,C420)</f>
        <v>5070.2700000000004</v>
      </c>
      <c r="O420" s="655">
        <f>+IF(OR($Q420=Parametres!$G$2,$Q420=Parametres!$G$3),J420,D420)</f>
        <v>449.63</v>
      </c>
      <c r="P420" s="655">
        <f>+IF(OR($Q420=Parametres!$G$2,$Q420=Parametres!$G$3),K420,E420)</f>
        <v>5519.9</v>
      </c>
      <c r="Q420" s="654" t="str">
        <f t="shared" si="188"/>
        <v>7-Dépenses</v>
      </c>
      <c r="R420" s="653" t="str">
        <f t="shared" si="189"/>
        <v>6194</v>
      </c>
      <c r="S420" s="654">
        <f t="shared" si="190"/>
        <v>0</v>
      </c>
      <c r="T420" s="656" t="str">
        <f>+VLOOKUP($L420,Data_Validation!$A:$D,1,0)</f>
        <v>6594</v>
      </c>
      <c r="U420" s="656" t="str">
        <f>+VLOOKUP($L420,Data_Validation!$A:$D,3,0)</f>
        <v>Carrosserie</v>
      </c>
      <c r="V420" s="656" t="str">
        <f>+VLOOKUP($L420,Data_Validation!$A:$D,4,0)</f>
        <v>Honoraires</v>
      </c>
      <c r="W420" s="656" t="str">
        <f>+VLOOKUP($L420,Data_Validation!$A:$E,5,0)</f>
        <v>$</v>
      </c>
      <c r="X420" s="656">
        <f>+VLOOKUP($L420,Data_Validation!$A:$F,6,0)</f>
        <v>0</v>
      </c>
    </row>
    <row r="421" spans="1:24" ht="15.75" hidden="1" customHeight="1">
      <c r="A421" s="1213" t="s">
        <v>1158</v>
      </c>
      <c r="B421" s="1213" t="s">
        <v>2647</v>
      </c>
      <c r="C421" s="1215">
        <v>1310.88</v>
      </c>
      <c r="D421" s="1215">
        <v>561.4</v>
      </c>
      <c r="E421" s="1215">
        <v>1872.28</v>
      </c>
      <c r="F421" s="1213" t="s">
        <v>1154</v>
      </c>
      <c r="G421" s="1213" t="s">
        <v>1242</v>
      </c>
      <c r="H421" s="1167"/>
      <c r="I421" s="1167"/>
      <c r="J421" s="1167"/>
      <c r="K421" s="1167"/>
      <c r="L421" s="653" t="str">
        <f t="shared" si="186"/>
        <v>6703</v>
      </c>
      <c r="M421" s="654" t="str">
        <f t="shared" si="187"/>
        <v>RELAT. A LA CLIENTELE &amp; AJUST.</v>
      </c>
      <c r="N421" s="655">
        <f>+IF(OR($Q421=Parametres!$G$2,$Q421=Parametres!$G$3),I421,C421)</f>
        <v>1310.88</v>
      </c>
      <c r="O421" s="655">
        <f>+IF(OR($Q421=Parametres!$G$2,$Q421=Parametres!$G$3),J421,D421)</f>
        <v>561.4</v>
      </c>
      <c r="P421" s="655">
        <f>+IF(OR($Q421=Parametres!$G$2,$Q421=Parametres!$G$3),K421,E421)</f>
        <v>1872.28</v>
      </c>
      <c r="Q421" s="654" t="str">
        <f t="shared" si="188"/>
        <v>7-Dépenses</v>
      </c>
      <c r="R421" s="653" t="str">
        <f t="shared" si="189"/>
        <v>6112</v>
      </c>
      <c r="S421" s="654">
        <f t="shared" si="190"/>
        <v>0</v>
      </c>
      <c r="T421" s="656" t="str">
        <f>+VLOOKUP($L421,Data_Validation!$A:$D,1,0)</f>
        <v>6703</v>
      </c>
      <c r="U421" s="656" t="str">
        <f>+VLOOKUP($L421,Data_Validation!$A:$D,3,0)</f>
        <v>Pièces</v>
      </c>
      <c r="V421" s="656" t="str">
        <f>+VLOOKUP($L421,Data_Validation!$A:$D,4,0)</f>
        <v>Service gratuit 2</v>
      </c>
      <c r="W421" s="656" t="str">
        <f>+VLOOKUP($L421,Data_Validation!$A:$E,5,0)</f>
        <v>$</v>
      </c>
      <c r="X421" s="656">
        <f>+VLOOKUP($L421,Data_Validation!$A:$F,6,0)</f>
        <v>0</v>
      </c>
    </row>
    <row r="422" spans="1:24" ht="15.75" hidden="1" customHeight="1">
      <c r="A422" s="1213" t="s">
        <v>1397</v>
      </c>
      <c r="B422" s="1213" t="s">
        <v>2650</v>
      </c>
      <c r="C422" s="1215">
        <v>2002.84</v>
      </c>
      <c r="D422" s="1215">
        <v>430.48</v>
      </c>
      <c r="E422" s="1215">
        <v>2433.3200000000002</v>
      </c>
      <c r="F422" s="1213" t="s">
        <v>1154</v>
      </c>
      <c r="G422" s="1213" t="s">
        <v>1242</v>
      </c>
      <c r="H422" s="1167"/>
      <c r="I422" s="1168"/>
      <c r="J422" s="1168"/>
      <c r="K422" s="1168"/>
      <c r="L422" s="653" t="str">
        <f t="shared" si="186"/>
        <v>6712</v>
      </c>
      <c r="M422" s="654" t="str">
        <f t="shared" si="187"/>
        <v>AUTORISATION &amp; GAR. /VEH. USAG</v>
      </c>
      <c r="N422" s="655">
        <f>+IF(OR($Q422=Parametres!$G$2,$Q422=Parametres!$G$3),I422,C422)</f>
        <v>2002.84</v>
      </c>
      <c r="O422" s="655">
        <f>+IF(OR($Q422=Parametres!$G$2,$Q422=Parametres!$G$3),J422,D422)</f>
        <v>430.48</v>
      </c>
      <c r="P422" s="655">
        <f>+IF(OR($Q422=Parametres!$G$2,$Q422=Parametres!$G$3),K422,E422)</f>
        <v>2433.3200000000002</v>
      </c>
      <c r="Q422" s="654" t="str">
        <f t="shared" si="188"/>
        <v>7-Dépenses</v>
      </c>
      <c r="R422" s="653" t="str">
        <f t="shared" si="189"/>
        <v>6112</v>
      </c>
      <c r="S422" s="654">
        <f t="shared" si="190"/>
        <v>0</v>
      </c>
      <c r="T422" s="656" t="str">
        <f>+VLOOKUP($L422,Data_Validation!$A:$D,1,0)</f>
        <v>6712</v>
      </c>
      <c r="U422" s="656" t="str">
        <f>+VLOOKUP($L422,Data_Validation!$A:$D,3,0)</f>
        <v>Pièces</v>
      </c>
      <c r="V422" s="656" t="str">
        <f>+VLOOKUP($L422,Data_Validation!$A:$D,4,0)</f>
        <v>Service gratuit 2</v>
      </c>
      <c r="W422" s="656" t="str">
        <f>+VLOOKUP($L422,Data_Validation!$A:$E,5,0)</f>
        <v>$</v>
      </c>
      <c r="X422" s="656">
        <f>+VLOOKUP($L422,Data_Validation!$A:$F,6,0)</f>
        <v>0</v>
      </c>
    </row>
    <row r="423" spans="1:24" ht="15.75" hidden="1" customHeight="1">
      <c r="A423" s="1213" t="s">
        <v>1166</v>
      </c>
      <c r="B423" s="1213" t="s">
        <v>2653</v>
      </c>
      <c r="C423" s="1215">
        <v>45583.5</v>
      </c>
      <c r="D423" s="1215">
        <v>3945.26</v>
      </c>
      <c r="E423" s="1215">
        <v>49528.76</v>
      </c>
      <c r="F423" s="1213" t="s">
        <v>1154</v>
      </c>
      <c r="G423" s="1213" t="s">
        <v>1167</v>
      </c>
      <c r="H423" s="1167"/>
      <c r="I423" s="1168"/>
      <c r="J423" s="1168"/>
      <c r="K423" s="1168"/>
      <c r="L423" s="653" t="str">
        <f t="shared" si="186"/>
        <v>6714</v>
      </c>
      <c r="M423" s="654" t="str">
        <f t="shared" si="187"/>
        <v>PUBLICITE</v>
      </c>
      <c r="N423" s="655">
        <f>+IF(OR($Q423=Parametres!$G$2,$Q423=Parametres!$G$3),I423,C423)</f>
        <v>45583.5</v>
      </c>
      <c r="O423" s="655">
        <f>+IF(OR($Q423=Parametres!$G$2,$Q423=Parametres!$G$3),J423,D423)</f>
        <v>3945.26</v>
      </c>
      <c r="P423" s="655">
        <f>+IF(OR($Q423=Parametres!$G$2,$Q423=Parametres!$G$3),K423,E423)</f>
        <v>49528.76</v>
      </c>
      <c r="Q423" s="654" t="str">
        <f t="shared" si="188"/>
        <v>7-Dépenses</v>
      </c>
      <c r="R423" s="653" t="str">
        <f t="shared" si="189"/>
        <v>6114</v>
      </c>
      <c r="S423" s="654">
        <f t="shared" si="190"/>
        <v>0</v>
      </c>
      <c r="T423" s="656" t="str">
        <f>+VLOOKUP($L423,Data_Validation!$A:$D,1,0)</f>
        <v>6714</v>
      </c>
      <c r="U423" s="656" t="str">
        <f>+VLOOKUP($L423,Data_Validation!$A:$D,3,0)</f>
        <v>Pièces</v>
      </c>
      <c r="V423" s="656" t="str">
        <f>+VLOOKUP($L423,Data_Validation!$A:$D,4,0)</f>
        <v>Publicité 2</v>
      </c>
      <c r="W423" s="656" t="str">
        <f>+VLOOKUP($L423,Data_Validation!$A:$E,5,0)</f>
        <v>$</v>
      </c>
      <c r="X423" s="656">
        <f>+VLOOKUP($L423,Data_Validation!$A:$F,6,0)</f>
        <v>0</v>
      </c>
    </row>
    <row r="424" spans="1:24" ht="15.75" hidden="1" customHeight="1">
      <c r="A424" s="1213" t="s">
        <v>1274</v>
      </c>
      <c r="B424" s="1213" t="s">
        <v>2656</v>
      </c>
      <c r="C424" s="1215">
        <v>35158.35</v>
      </c>
      <c r="D424" s="1215">
        <v>2289.1999999999998</v>
      </c>
      <c r="E424" s="1215">
        <v>37447.550000000003</v>
      </c>
      <c r="F424" s="1213" t="s">
        <v>1154</v>
      </c>
      <c r="G424" s="1213" t="s">
        <v>1170</v>
      </c>
      <c r="H424" s="1167"/>
      <c r="I424" s="1168"/>
      <c r="J424" s="1168"/>
      <c r="K424" s="1168"/>
      <c r="L424" s="653" t="str">
        <f t="shared" si="186"/>
        <v>6721</v>
      </c>
      <c r="M424" s="654" t="str">
        <f t="shared" si="187"/>
        <v>SALAIRES - PROPRIEATIRES</v>
      </c>
      <c r="N424" s="655">
        <f>+IF(OR($Q424=Parametres!$G$2,$Q424=Parametres!$G$3),I424,C424)</f>
        <v>35158.35</v>
      </c>
      <c r="O424" s="655">
        <f>+IF(OR($Q424=Parametres!$G$2,$Q424=Parametres!$G$3),J424,D424)</f>
        <v>2289.1999999999998</v>
      </c>
      <c r="P424" s="655">
        <f>+IF(OR($Q424=Parametres!$G$2,$Q424=Parametres!$G$3),K424,E424)</f>
        <v>37447.550000000003</v>
      </c>
      <c r="Q424" s="654" t="str">
        <f t="shared" si="188"/>
        <v>7-Dépenses</v>
      </c>
      <c r="R424" s="653" t="str">
        <f t="shared" si="189"/>
        <v>6121</v>
      </c>
      <c r="S424" s="654">
        <f t="shared" si="190"/>
        <v>0</v>
      </c>
      <c r="T424" s="656" t="str">
        <f>+VLOOKUP($L424,Data_Validation!$A:$D,1,0)</f>
        <v>6721</v>
      </c>
      <c r="U424" s="656" t="str">
        <f>+VLOOKUP($L424,Data_Validation!$A:$D,3,0)</f>
        <v>Pièces</v>
      </c>
      <c r="V424" s="656" t="str">
        <f>+VLOOKUP($L424,Data_Validation!$A:$D,4,0)</f>
        <v>Salaires propriétaire</v>
      </c>
      <c r="W424" s="656" t="str">
        <f>+VLOOKUP($L424,Data_Validation!$A:$E,5,0)</f>
        <v>$</v>
      </c>
      <c r="X424" s="656">
        <f>+VLOOKUP($L424,Data_Validation!$A:$F,6,0)</f>
        <v>0</v>
      </c>
    </row>
    <row r="425" spans="1:24" ht="15.75" hidden="1" customHeight="1">
      <c r="A425" s="1213" t="s">
        <v>1171</v>
      </c>
      <c r="B425" s="1213" t="s">
        <v>2659</v>
      </c>
      <c r="C425" s="1215">
        <v>91947.79</v>
      </c>
      <c r="D425" s="1215">
        <v>10247.76</v>
      </c>
      <c r="E425" s="1215">
        <v>102195.55</v>
      </c>
      <c r="F425" s="1213" t="s">
        <v>1154</v>
      </c>
      <c r="G425" s="1213" t="s">
        <v>1172</v>
      </c>
      <c r="H425" s="1167"/>
      <c r="I425" s="1168"/>
      <c r="J425" s="1168"/>
      <c r="K425" s="1168"/>
      <c r="L425" s="653" t="str">
        <f t="shared" si="186"/>
        <v>6722</v>
      </c>
      <c r="M425" s="654" t="str">
        <f t="shared" si="187"/>
        <v>SAL SUPERVISION / GERANT</v>
      </c>
      <c r="N425" s="655">
        <f>+IF(OR($Q425=Parametres!$G$2,$Q425=Parametres!$G$3),I425,C425)</f>
        <v>91947.79</v>
      </c>
      <c r="O425" s="655">
        <f>+IF(OR($Q425=Parametres!$G$2,$Q425=Parametres!$G$3),J425,D425)</f>
        <v>10247.76</v>
      </c>
      <c r="P425" s="655">
        <f>+IF(OR($Q425=Parametres!$G$2,$Q425=Parametres!$G$3),K425,E425)</f>
        <v>102195.55</v>
      </c>
      <c r="Q425" s="654" t="str">
        <f t="shared" si="188"/>
        <v>7-Dépenses</v>
      </c>
      <c r="R425" s="653" t="str">
        <f t="shared" si="189"/>
        <v>6122</v>
      </c>
      <c r="S425" s="654">
        <f t="shared" si="190"/>
        <v>0</v>
      </c>
      <c r="T425" s="656" t="str">
        <f>+VLOOKUP($L425,Data_Validation!$A:$D,1,0)</f>
        <v>6722</v>
      </c>
      <c r="U425" s="656" t="str">
        <f>+VLOOKUP($L425,Data_Validation!$A:$D,3,0)</f>
        <v>Pièces</v>
      </c>
      <c r="V425" s="656" t="str">
        <f>+VLOOKUP($L425,Data_Validation!$A:$D,4,0)</f>
        <v>Salaires cadres</v>
      </c>
      <c r="W425" s="656" t="str">
        <f>+VLOOKUP($L425,Data_Validation!$A:$E,5,0)</f>
        <v>$</v>
      </c>
      <c r="X425" s="656">
        <f>+VLOOKUP($L425,Data_Validation!$A:$F,6,0)</f>
        <v>0</v>
      </c>
    </row>
    <row r="426" spans="1:24" ht="15.75" hidden="1" customHeight="1">
      <c r="A426" s="1213" t="s">
        <v>1173</v>
      </c>
      <c r="B426" s="1213" t="s">
        <v>2662</v>
      </c>
      <c r="C426" s="1215">
        <v>282897.62</v>
      </c>
      <c r="D426" s="1215">
        <v>23560.57</v>
      </c>
      <c r="E426" s="1215">
        <v>306458.19</v>
      </c>
      <c r="F426" s="1213" t="s">
        <v>1154</v>
      </c>
      <c r="G426" s="1213" t="s">
        <v>1174</v>
      </c>
      <c r="H426" s="1167"/>
      <c r="I426" s="1168"/>
      <c r="J426" s="1168"/>
      <c r="K426" s="1168"/>
      <c r="L426" s="653" t="str">
        <f t="shared" si="186"/>
        <v>6723</v>
      </c>
      <c r="M426" s="654" t="str">
        <f t="shared" si="187"/>
        <v>SAL. &amp; RENUM. - CLERICAL</v>
      </c>
      <c r="N426" s="655">
        <f>+IF(OR($Q426=Parametres!$G$2,$Q426=Parametres!$G$3),I426,C426)</f>
        <v>282897.62</v>
      </c>
      <c r="O426" s="655">
        <f>+IF(OR($Q426=Parametres!$G$2,$Q426=Parametres!$G$3),J426,D426)</f>
        <v>23560.57</v>
      </c>
      <c r="P426" s="655">
        <f>+IF(OR($Q426=Parametres!$G$2,$Q426=Parametres!$G$3),K426,E426)</f>
        <v>306458.19</v>
      </c>
      <c r="Q426" s="654" t="str">
        <f t="shared" si="188"/>
        <v>7-Dépenses</v>
      </c>
      <c r="R426" s="653" t="str">
        <f t="shared" si="189"/>
        <v>6123</v>
      </c>
      <c r="S426" s="654">
        <f t="shared" si="190"/>
        <v>0</v>
      </c>
      <c r="T426" s="656" t="str">
        <f>+VLOOKUP($L426,Data_Validation!$A:$D,1,0)</f>
        <v>6723</v>
      </c>
      <c r="U426" s="656" t="str">
        <f>+VLOOKUP($L426,Data_Validation!$A:$D,3,0)</f>
        <v>Pièces</v>
      </c>
      <c r="V426" s="656" t="str">
        <f>+VLOOKUP($L426,Data_Validation!$A:$D,4,0)</f>
        <v>Salaires commis</v>
      </c>
      <c r="W426" s="656" t="str">
        <f>+VLOOKUP($L426,Data_Validation!$A:$E,5,0)</f>
        <v>$</v>
      </c>
      <c r="X426" s="656">
        <f>+VLOOKUP($L426,Data_Validation!$A:$F,6,0)</f>
        <v>0</v>
      </c>
    </row>
    <row r="427" spans="1:24" ht="15.75" hidden="1" customHeight="1">
      <c r="A427" s="1213" t="s">
        <v>1175</v>
      </c>
      <c r="B427" s="1213" t="s">
        <v>2665</v>
      </c>
      <c r="C427" s="1215">
        <v>8486.41</v>
      </c>
      <c r="D427" s="1215">
        <v>113.92</v>
      </c>
      <c r="E427" s="1215">
        <v>8600.33</v>
      </c>
      <c r="F427" s="1213" t="s">
        <v>1154</v>
      </c>
      <c r="G427" s="1213" t="s">
        <v>1176</v>
      </c>
      <c r="H427" s="1167"/>
      <c r="I427" s="1168"/>
      <c r="J427" s="1168"/>
      <c r="K427" s="1168"/>
      <c r="L427" s="653" t="str">
        <f t="shared" si="186"/>
        <v>6724</v>
      </c>
      <c r="M427" s="654" t="str">
        <f t="shared" si="187"/>
        <v>SALAIRES &amp; RENUM. - AUTRES</v>
      </c>
      <c r="N427" s="655">
        <f>+IF(OR($Q427=Parametres!$G$2,$Q427=Parametres!$G$3),I427,C427)</f>
        <v>8486.41</v>
      </c>
      <c r="O427" s="655">
        <f>+IF(OR($Q427=Parametres!$G$2,$Q427=Parametres!$G$3),J427,D427)</f>
        <v>113.92</v>
      </c>
      <c r="P427" s="655">
        <f>+IF(OR($Q427=Parametres!$G$2,$Q427=Parametres!$G$3),K427,E427)</f>
        <v>8600.33</v>
      </c>
      <c r="Q427" s="654" t="str">
        <f t="shared" si="188"/>
        <v>7-Dépenses</v>
      </c>
      <c r="R427" s="653" t="str">
        <f t="shared" si="189"/>
        <v>6124</v>
      </c>
      <c r="S427" s="654">
        <f t="shared" si="190"/>
        <v>0</v>
      </c>
      <c r="T427" s="656" t="str">
        <f>+VLOOKUP($L427,Data_Validation!$A:$D,1,0)</f>
        <v>6724</v>
      </c>
      <c r="U427" s="656" t="str">
        <f>+VLOOKUP($L427,Data_Validation!$A:$D,3,0)</f>
        <v>Pièces</v>
      </c>
      <c r="V427" s="656" t="str">
        <f>+VLOOKUP($L427,Data_Validation!$A:$D,4,0)</f>
        <v>Salaires autres</v>
      </c>
      <c r="W427" s="656" t="str">
        <f>+VLOOKUP($L427,Data_Validation!$A:$E,5,0)</f>
        <v>$</v>
      </c>
      <c r="X427" s="656">
        <f>+VLOOKUP($L427,Data_Validation!$A:$F,6,0)</f>
        <v>0</v>
      </c>
    </row>
    <row r="428" spans="1:24" ht="15.75" hidden="1" customHeight="1">
      <c r="A428" s="1213" t="s">
        <v>1275</v>
      </c>
      <c r="B428" s="1213" t="s">
        <v>2668</v>
      </c>
      <c r="C428" s="1215">
        <v>40987.53</v>
      </c>
      <c r="D428" s="1215">
        <v>4269.59</v>
      </c>
      <c r="E428" s="1215">
        <v>45257.120000000003</v>
      </c>
      <c r="F428" s="1213" t="s">
        <v>1154</v>
      </c>
      <c r="G428" s="1213" t="s">
        <v>1178</v>
      </c>
      <c r="H428" s="1167"/>
      <c r="I428" s="1168"/>
      <c r="J428" s="1168"/>
      <c r="K428" s="1168"/>
      <c r="L428" s="653" t="str">
        <f t="shared" si="186"/>
        <v>6729</v>
      </c>
      <c r="M428" s="654" t="str">
        <f t="shared" si="187"/>
        <v>ABSENCES, VACANCES, ETC</v>
      </c>
      <c r="N428" s="655">
        <f>+IF(OR($Q428=Parametres!$G$2,$Q428=Parametres!$G$3),I428,C428)</f>
        <v>40987.53</v>
      </c>
      <c r="O428" s="655">
        <f>+IF(OR($Q428=Parametres!$G$2,$Q428=Parametres!$G$3),J428,D428)</f>
        <v>4269.59</v>
      </c>
      <c r="P428" s="655">
        <f>+IF(OR($Q428=Parametres!$G$2,$Q428=Parametres!$G$3),K428,E428)</f>
        <v>45257.120000000003</v>
      </c>
      <c r="Q428" s="654" t="str">
        <f t="shared" si="188"/>
        <v>7-Dépenses</v>
      </c>
      <c r="R428" s="653" t="str">
        <f t="shared" si="189"/>
        <v>6129</v>
      </c>
      <c r="S428" s="654">
        <f t="shared" si="190"/>
        <v>0</v>
      </c>
      <c r="T428" s="656" t="str">
        <f>+VLOOKUP($L428,Data_Validation!$A:$D,1,0)</f>
        <v>6729</v>
      </c>
      <c r="U428" s="656" t="str">
        <f>+VLOOKUP($L428,Data_Validation!$A:$D,3,0)</f>
        <v>Pièces</v>
      </c>
      <c r="V428" s="656" t="str">
        <f>+VLOOKUP($L428,Data_Validation!$A:$D,4,0)</f>
        <v>Salaires en absences</v>
      </c>
      <c r="W428" s="656" t="str">
        <f>+VLOOKUP($L428,Data_Validation!$A:$E,5,0)</f>
        <v>$</v>
      </c>
      <c r="X428" s="656">
        <f>+VLOOKUP($L428,Data_Validation!$A:$F,6,0)</f>
        <v>0</v>
      </c>
    </row>
    <row r="429" spans="1:24" ht="15.75" hidden="1" customHeight="1">
      <c r="A429" s="1213" t="s">
        <v>1179</v>
      </c>
      <c r="B429" s="1213" t="s">
        <v>2671</v>
      </c>
      <c r="C429" s="1215">
        <v>11116.43</v>
      </c>
      <c r="D429" s="1215">
        <v>1860.87</v>
      </c>
      <c r="E429" s="1215">
        <v>12977.3</v>
      </c>
      <c r="F429" s="1213" t="s">
        <v>1154</v>
      </c>
      <c r="G429" s="1213" t="s">
        <v>1180</v>
      </c>
      <c r="H429" s="1167"/>
      <c r="I429" s="1168"/>
      <c r="J429" s="1168"/>
      <c r="K429" s="1168"/>
      <c r="L429" s="653" t="str">
        <f t="shared" si="186"/>
        <v>6731</v>
      </c>
      <c r="M429" s="654" t="str">
        <f t="shared" si="187"/>
        <v>CSST</v>
      </c>
      <c r="N429" s="655">
        <f>+IF(OR($Q429=Parametres!$G$2,$Q429=Parametres!$G$3),I429,C429)</f>
        <v>11116.43</v>
      </c>
      <c r="O429" s="655">
        <f>+IF(OR($Q429=Parametres!$G$2,$Q429=Parametres!$G$3),J429,D429)</f>
        <v>1860.87</v>
      </c>
      <c r="P429" s="655">
        <f>+IF(OR($Q429=Parametres!$G$2,$Q429=Parametres!$G$3),K429,E429)</f>
        <v>12977.3</v>
      </c>
      <c r="Q429" s="654" t="str">
        <f t="shared" si="188"/>
        <v>7-Dépenses</v>
      </c>
      <c r="R429" s="653" t="str">
        <f t="shared" si="189"/>
        <v>6131</v>
      </c>
      <c r="S429" s="654">
        <f t="shared" si="190"/>
        <v>0</v>
      </c>
      <c r="T429" s="656" t="str">
        <f>+VLOOKUP($L429,Data_Validation!$A:$D,1,0)</f>
        <v>6731</v>
      </c>
      <c r="U429" s="656" t="str">
        <f>+VLOOKUP($L429,Data_Validation!$A:$D,3,0)</f>
        <v>Pièces</v>
      </c>
      <c r="V429" s="656" t="str">
        <f>+VLOOKUP($L429,Data_Validation!$A:$D,4,0)</f>
        <v>Csst</v>
      </c>
      <c r="W429" s="656" t="str">
        <f>+VLOOKUP($L429,Data_Validation!$A:$E,5,0)</f>
        <v>$</v>
      </c>
      <c r="X429" s="656">
        <f>+VLOOKUP($L429,Data_Validation!$A:$F,6,0)</f>
        <v>0</v>
      </c>
    </row>
    <row r="430" spans="1:24" ht="15.75" hidden="1" customHeight="1">
      <c r="A430" s="1213" t="s">
        <v>1181</v>
      </c>
      <c r="B430" s="1213" t="s">
        <v>2674</v>
      </c>
      <c r="C430" s="1215">
        <v>74643.839999999997</v>
      </c>
      <c r="D430" s="1215">
        <v>4852.1099999999997</v>
      </c>
      <c r="E430" s="1215">
        <v>79495.95</v>
      </c>
      <c r="F430" s="1213" t="s">
        <v>1154</v>
      </c>
      <c r="G430" s="1213" t="s">
        <v>1182</v>
      </c>
      <c r="H430" s="1167"/>
      <c r="I430" s="1168"/>
      <c r="J430" s="1168"/>
      <c r="K430" s="1168"/>
      <c r="L430" s="653" t="str">
        <f t="shared" si="186"/>
        <v>6732</v>
      </c>
      <c r="M430" s="654" t="str">
        <f t="shared" si="187"/>
        <v>RRQ RAMQ AC</v>
      </c>
      <c r="N430" s="655">
        <f>+IF(OR($Q430=Parametres!$G$2,$Q430=Parametres!$G$3),I430,C430)</f>
        <v>74643.839999999997</v>
      </c>
      <c r="O430" s="655">
        <f>+IF(OR($Q430=Parametres!$G$2,$Q430=Parametres!$G$3),J430,D430)</f>
        <v>4852.1099999999997</v>
      </c>
      <c r="P430" s="655">
        <f>+IF(OR($Q430=Parametres!$G$2,$Q430=Parametres!$G$3),K430,E430)</f>
        <v>79495.95</v>
      </c>
      <c r="Q430" s="654" t="str">
        <f t="shared" si="188"/>
        <v>7-Dépenses</v>
      </c>
      <c r="R430" s="653" t="str">
        <f t="shared" si="189"/>
        <v>6132</v>
      </c>
      <c r="S430" s="654">
        <f t="shared" si="190"/>
        <v>0</v>
      </c>
      <c r="T430" s="656" t="str">
        <f>+VLOOKUP($L430,Data_Validation!$A:$D,1,0)</f>
        <v>6732</v>
      </c>
      <c r="U430" s="656" t="str">
        <f>+VLOOKUP($L430,Data_Validation!$A:$D,3,0)</f>
        <v>Pièces</v>
      </c>
      <c r="V430" s="656" t="str">
        <f>+VLOOKUP($L430,Data_Validation!$A:$D,4,0)</f>
        <v>Déduction à la source</v>
      </c>
      <c r="W430" s="656" t="str">
        <f>+VLOOKUP($L430,Data_Validation!$A:$E,5,0)</f>
        <v>$</v>
      </c>
      <c r="X430" s="656">
        <f>+VLOOKUP($L430,Data_Validation!$A:$F,6,0)</f>
        <v>0</v>
      </c>
    </row>
    <row r="431" spans="1:24" ht="15.75" hidden="1" customHeight="1">
      <c r="A431" s="1213" t="s">
        <v>1276</v>
      </c>
      <c r="B431" s="1213" t="s">
        <v>2677</v>
      </c>
      <c r="C431" s="1215">
        <v>7993</v>
      </c>
      <c r="D431" s="1215">
        <v>666.42</v>
      </c>
      <c r="E431" s="1215">
        <v>8659.42</v>
      </c>
      <c r="F431" s="1213" t="s">
        <v>1154</v>
      </c>
      <c r="G431" s="1213" t="s">
        <v>1184</v>
      </c>
      <c r="H431" s="1167"/>
      <c r="I431" s="1168"/>
      <c r="J431" s="1168"/>
      <c r="K431" s="1168"/>
      <c r="L431" s="653" t="str">
        <f t="shared" si="186"/>
        <v>6733</v>
      </c>
      <c r="M431" s="654" t="str">
        <f t="shared" si="187"/>
        <v>FOND PENSION - PIECES</v>
      </c>
      <c r="N431" s="655">
        <f>+IF(OR($Q431=Parametres!$G$2,$Q431=Parametres!$G$3),I431,C431)</f>
        <v>7993</v>
      </c>
      <c r="O431" s="655">
        <f>+IF(OR($Q431=Parametres!$G$2,$Q431=Parametres!$G$3),J431,D431)</f>
        <v>666.42</v>
      </c>
      <c r="P431" s="655">
        <f>+IF(OR($Q431=Parametres!$G$2,$Q431=Parametres!$G$3),K431,E431)</f>
        <v>8659.42</v>
      </c>
      <c r="Q431" s="654" t="str">
        <f t="shared" si="188"/>
        <v>7-Dépenses</v>
      </c>
      <c r="R431" s="653" t="str">
        <f t="shared" si="189"/>
        <v>6133</v>
      </c>
      <c r="S431" s="654">
        <f t="shared" si="190"/>
        <v>0</v>
      </c>
      <c r="T431" s="656" t="str">
        <f>+VLOOKUP($L431,Data_Validation!$A:$D,1,0)</f>
        <v>6733</v>
      </c>
      <c r="U431" s="656" t="str">
        <f>+VLOOKUP($L431,Data_Validation!$A:$D,3,0)</f>
        <v>Pièces</v>
      </c>
      <c r="V431" s="656" t="str">
        <f>+VLOOKUP($L431,Data_Validation!$A:$D,4,0)</f>
        <v>Déduction à la source</v>
      </c>
      <c r="W431" s="656" t="str">
        <f>+VLOOKUP($L431,Data_Validation!$A:$E,5,0)</f>
        <v>$</v>
      </c>
      <c r="X431" s="656">
        <f>+VLOOKUP($L431,Data_Validation!$A:$F,6,0)</f>
        <v>0</v>
      </c>
    </row>
    <row r="432" spans="1:24" ht="15.75" hidden="1" customHeight="1">
      <c r="A432" s="1213" t="s">
        <v>1231</v>
      </c>
      <c r="B432" s="1213" t="s">
        <v>2680</v>
      </c>
      <c r="C432" s="1215">
        <v>9652.86</v>
      </c>
      <c r="D432" s="1215">
        <v>1451</v>
      </c>
      <c r="E432" s="1215">
        <v>11103.86</v>
      </c>
      <c r="F432" s="1213" t="s">
        <v>1154</v>
      </c>
      <c r="G432" s="1213" t="s">
        <v>1186</v>
      </c>
      <c r="H432" s="1167"/>
      <c r="I432" s="1168"/>
      <c r="J432" s="1168"/>
      <c r="K432" s="1168"/>
      <c r="L432" s="653" t="str">
        <f t="shared" si="186"/>
        <v>6739</v>
      </c>
      <c r="M432" s="654" t="str">
        <f t="shared" si="187"/>
        <v>ASSURANCE GROUPE</v>
      </c>
      <c r="N432" s="655">
        <f>+IF(OR($Q432=Parametres!$G$2,$Q432=Parametres!$G$3),I432,C432)</f>
        <v>9652.86</v>
      </c>
      <c r="O432" s="655">
        <f>+IF(OR($Q432=Parametres!$G$2,$Q432=Parametres!$G$3),J432,D432)</f>
        <v>1451</v>
      </c>
      <c r="P432" s="655">
        <f>+IF(OR($Q432=Parametres!$G$2,$Q432=Parametres!$G$3),K432,E432)</f>
        <v>11103.86</v>
      </c>
      <c r="Q432" s="654" t="str">
        <f t="shared" si="188"/>
        <v>7-Dépenses</v>
      </c>
      <c r="R432" s="653" t="str">
        <f t="shared" si="189"/>
        <v>6139</v>
      </c>
      <c r="S432" s="654">
        <f t="shared" si="190"/>
        <v>0</v>
      </c>
      <c r="T432" s="656" t="str">
        <f>+VLOOKUP($L432,Data_Validation!$A:$D,1,0)</f>
        <v>6739</v>
      </c>
      <c r="U432" s="656" t="str">
        <f>+VLOOKUP($L432,Data_Validation!$A:$D,3,0)</f>
        <v>Pièces</v>
      </c>
      <c r="V432" s="656" t="str">
        <f>+VLOOKUP($L432,Data_Validation!$A:$D,4,0)</f>
        <v>Bénéfices marginaux</v>
      </c>
      <c r="W432" s="656" t="str">
        <f>+VLOOKUP($L432,Data_Validation!$A:$E,5,0)</f>
        <v>$</v>
      </c>
      <c r="X432" s="656">
        <f>+VLOOKUP($L432,Data_Validation!$A:$F,6,0)</f>
        <v>0</v>
      </c>
    </row>
    <row r="433" spans="1:24" ht="15.75" hidden="1" customHeight="1">
      <c r="A433" s="1213" t="s">
        <v>1187</v>
      </c>
      <c r="B433" s="1213" t="s">
        <v>2684</v>
      </c>
      <c r="C433" s="1215">
        <v>2648.43</v>
      </c>
      <c r="D433" s="1215">
        <v>150.28</v>
      </c>
      <c r="E433" s="1215">
        <v>2798.71</v>
      </c>
      <c r="F433" s="1213" t="s">
        <v>1154</v>
      </c>
      <c r="G433" s="1213" t="s">
        <v>1188</v>
      </c>
      <c r="H433" s="1197"/>
      <c r="I433" s="1197"/>
      <c r="J433" s="1197"/>
      <c r="K433" s="1197"/>
      <c r="L433" s="653" t="str">
        <f t="shared" si="186"/>
        <v>6742</v>
      </c>
      <c r="M433" s="654" t="str">
        <f t="shared" si="187"/>
        <v>FOURNITURES &amp; PETITS OUTILS</v>
      </c>
      <c r="N433" s="655">
        <f>+IF(OR($Q433=Parametres!$G$2,$Q433=Parametres!$G$3),I433,C433)</f>
        <v>2648.43</v>
      </c>
      <c r="O433" s="655">
        <f>+IF(OR($Q433=Parametres!$G$2,$Q433=Parametres!$G$3),J433,D433)</f>
        <v>150.28</v>
      </c>
      <c r="P433" s="655">
        <f>+IF(OR($Q433=Parametres!$G$2,$Q433=Parametres!$G$3),K433,E433)</f>
        <v>2798.71</v>
      </c>
      <c r="Q433" s="654" t="str">
        <f t="shared" si="188"/>
        <v>7-Dépenses</v>
      </c>
      <c r="R433" s="653" t="str">
        <f t="shared" si="189"/>
        <v>6142</v>
      </c>
      <c r="S433" s="654">
        <f t="shared" si="190"/>
        <v>0</v>
      </c>
      <c r="T433" s="656" t="str">
        <f>+VLOOKUP($L433,Data_Validation!$A:$D,1,0)</f>
        <v>6742</v>
      </c>
      <c r="U433" s="656" t="str">
        <f>+VLOOKUP($L433,Data_Validation!$A:$D,3,0)</f>
        <v>Pièces</v>
      </c>
      <c r="V433" s="656" t="str">
        <f>+VLOOKUP($L433,Data_Validation!$A:$D,4,0)</f>
        <v>Fournitures autres</v>
      </c>
      <c r="W433" s="656" t="str">
        <f>+VLOOKUP($L433,Data_Validation!$A:$E,5,0)</f>
        <v>$</v>
      </c>
      <c r="X433" s="656">
        <f>+VLOOKUP($L433,Data_Validation!$A:$F,6,0)</f>
        <v>0</v>
      </c>
    </row>
    <row r="434" spans="1:24" ht="15.75" hidden="1" customHeight="1">
      <c r="A434" s="1213" t="s">
        <v>1189</v>
      </c>
      <c r="B434" s="1213" t="s">
        <v>2687</v>
      </c>
      <c r="C434" s="1215">
        <v>240</v>
      </c>
      <c r="D434" s="1215">
        <v>0</v>
      </c>
      <c r="E434" s="1215">
        <v>240</v>
      </c>
      <c r="F434" s="1213" t="s">
        <v>1154</v>
      </c>
      <c r="G434" s="1213" t="s">
        <v>1190</v>
      </c>
      <c r="H434" s="1197"/>
      <c r="I434" s="1197"/>
      <c r="J434" s="1197"/>
      <c r="K434" s="1197"/>
      <c r="L434" s="653" t="str">
        <f t="shared" si="186"/>
        <v>6743</v>
      </c>
      <c r="M434" s="654" t="str">
        <f t="shared" si="187"/>
        <v>UNIFORMES &amp; LESSIVE</v>
      </c>
      <c r="N434" s="655">
        <f>+IF(OR($Q434=Parametres!$G$2,$Q434=Parametres!$G$3),I434,C434)</f>
        <v>240</v>
      </c>
      <c r="O434" s="655">
        <f>+IF(OR($Q434=Parametres!$G$2,$Q434=Parametres!$G$3),J434,D434)</f>
        <v>0</v>
      </c>
      <c r="P434" s="655">
        <f>+IF(OR($Q434=Parametres!$G$2,$Q434=Parametres!$G$3),K434,E434)</f>
        <v>240</v>
      </c>
      <c r="Q434" s="654" t="str">
        <f t="shared" si="188"/>
        <v>7-Dépenses</v>
      </c>
      <c r="R434" s="653" t="str">
        <f t="shared" si="189"/>
        <v>6143</v>
      </c>
      <c r="S434" s="654">
        <f t="shared" si="190"/>
        <v>0</v>
      </c>
      <c r="T434" s="656" t="str">
        <f>+VLOOKUP($L434,Data_Validation!$A:$D,1,0)</f>
        <v>6743</v>
      </c>
      <c r="U434" s="656" t="str">
        <f>+VLOOKUP($L434,Data_Validation!$A:$D,3,0)</f>
        <v>Pièces</v>
      </c>
      <c r="V434" s="656" t="str">
        <f>+VLOOKUP($L434,Data_Validation!$A:$D,4,0)</f>
        <v>Uniformes</v>
      </c>
      <c r="W434" s="656" t="str">
        <f>+VLOOKUP($L434,Data_Validation!$A:$E,5,0)</f>
        <v>$</v>
      </c>
      <c r="X434" s="656">
        <f>+VLOOKUP($L434,Data_Validation!$A:$F,6,0)</f>
        <v>0</v>
      </c>
    </row>
    <row r="435" spans="1:24" ht="15.75" hidden="1" customHeight="1">
      <c r="A435" s="1213" t="s">
        <v>1191</v>
      </c>
      <c r="B435" s="1213" t="s">
        <v>2690</v>
      </c>
      <c r="C435" s="1215">
        <v>3286.45</v>
      </c>
      <c r="D435" s="1215">
        <v>79.75</v>
      </c>
      <c r="E435" s="1215">
        <v>3366.2</v>
      </c>
      <c r="F435" s="1213" t="s">
        <v>1154</v>
      </c>
      <c r="G435" s="1213" t="s">
        <v>1192</v>
      </c>
      <c r="H435" s="1197"/>
      <c r="I435" s="1197"/>
      <c r="J435" s="1197"/>
      <c r="K435" s="1197"/>
      <c r="L435" s="653" t="str">
        <f t="shared" si="186"/>
        <v>6744</v>
      </c>
      <c r="M435" s="654" t="str">
        <f t="shared" si="187"/>
        <v>FORMATION</v>
      </c>
      <c r="N435" s="655">
        <f>+IF(OR($Q435=Parametres!$G$2,$Q435=Parametres!$G$3),I435,C435)</f>
        <v>3286.45</v>
      </c>
      <c r="O435" s="655">
        <f>+IF(OR($Q435=Parametres!$G$2,$Q435=Parametres!$G$3),J435,D435)</f>
        <v>79.75</v>
      </c>
      <c r="P435" s="655">
        <f>+IF(OR($Q435=Parametres!$G$2,$Q435=Parametres!$G$3),K435,E435)</f>
        <v>3366.2</v>
      </c>
      <c r="Q435" s="654" t="str">
        <f t="shared" si="188"/>
        <v>7-Dépenses</v>
      </c>
      <c r="R435" s="653" t="str">
        <f t="shared" si="189"/>
        <v>6144</v>
      </c>
      <c r="S435" s="654">
        <f t="shared" si="190"/>
        <v>0</v>
      </c>
      <c r="T435" s="656" t="str">
        <f>+VLOOKUP($L435,Data_Validation!$A:$D,1,0)</f>
        <v>6744</v>
      </c>
      <c r="U435" s="656" t="str">
        <f>+VLOOKUP($L435,Data_Validation!$A:$D,3,0)</f>
        <v>Pièces</v>
      </c>
      <c r="V435" s="656" t="str">
        <f>+VLOOKUP($L435,Data_Validation!$A:$D,4,0)</f>
        <v>Formation</v>
      </c>
      <c r="W435" s="656" t="str">
        <f>+VLOOKUP($L435,Data_Validation!$A:$E,5,0)</f>
        <v>$</v>
      </c>
      <c r="X435" s="656">
        <f>+VLOOKUP($L435,Data_Validation!$A:$F,6,0)</f>
        <v>0</v>
      </c>
    </row>
    <row r="436" spans="1:24" ht="15.75" hidden="1" customHeight="1">
      <c r="A436" s="1213" t="s">
        <v>1193</v>
      </c>
      <c r="B436" s="1213" t="s">
        <v>2693</v>
      </c>
      <c r="C436" s="1215">
        <v>13943.24</v>
      </c>
      <c r="D436" s="1215">
        <v>1140.48</v>
      </c>
      <c r="E436" s="1215">
        <v>15083.72</v>
      </c>
      <c r="F436" s="1213" t="s">
        <v>1154</v>
      </c>
      <c r="G436" s="1213" t="s">
        <v>1194</v>
      </c>
      <c r="H436" s="1197"/>
      <c r="I436" s="1197"/>
      <c r="J436" s="1197"/>
      <c r="K436" s="1197"/>
      <c r="L436" s="653" t="str">
        <f t="shared" ref="L436:L449" si="191">TEXT(B436,0)</f>
        <v>6745</v>
      </c>
      <c r="M436" s="654" t="str">
        <f t="shared" ref="M436:M449" si="192">+A436</f>
        <v>VEHICULE DE COMPAGNIE - DEPENS</v>
      </c>
      <c r="N436" s="655">
        <f>+IF(OR($Q436=Parametres!$G$2,$Q436=Parametres!$G$3),I436,C436)</f>
        <v>13943.24</v>
      </c>
      <c r="O436" s="655">
        <f>+IF(OR($Q436=Parametres!$G$2,$Q436=Parametres!$G$3),J436,D436)</f>
        <v>1140.48</v>
      </c>
      <c r="P436" s="655">
        <f>+IF(OR($Q436=Parametres!$G$2,$Q436=Parametres!$G$3),K436,E436)</f>
        <v>15083.72</v>
      </c>
      <c r="Q436" s="654" t="str">
        <f t="shared" ref="Q436:Q449" si="193">+F436</f>
        <v>7-Dépenses</v>
      </c>
      <c r="R436" s="653" t="str">
        <f t="shared" ref="R436:R449" si="194">+G436</f>
        <v>6145</v>
      </c>
      <c r="S436" s="654">
        <f t="shared" ref="S436:S449" si="195">+H436</f>
        <v>0</v>
      </c>
      <c r="T436" s="656" t="str">
        <f>+VLOOKUP($L436,Data_Validation!$A:$D,1,0)</f>
        <v>6745</v>
      </c>
      <c r="U436" s="656" t="str">
        <f>+VLOOKUP($L436,Data_Validation!$A:$D,3,0)</f>
        <v>Pièces</v>
      </c>
      <c r="V436" s="656" t="str">
        <f>+VLOOKUP($L436,Data_Validation!$A:$D,4,0)</f>
        <v>Frais véhicules de cie</v>
      </c>
      <c r="W436" s="656" t="str">
        <f>+VLOOKUP($L436,Data_Validation!$A:$E,5,0)</f>
        <v>$</v>
      </c>
      <c r="X436" s="656">
        <f>+VLOOKUP($L436,Data_Validation!$A:$F,6,0)</f>
        <v>0</v>
      </c>
    </row>
    <row r="437" spans="1:24" ht="15.75" hidden="1" customHeight="1">
      <c r="A437" s="1213" t="s">
        <v>1195</v>
      </c>
      <c r="B437" s="1213" t="s">
        <v>2696</v>
      </c>
      <c r="C437" s="1215">
        <v>-1443.39</v>
      </c>
      <c r="D437" s="1215">
        <v>-363.89</v>
      </c>
      <c r="E437" s="1215">
        <v>-1807.28</v>
      </c>
      <c r="F437" s="1213" t="s">
        <v>1154</v>
      </c>
      <c r="G437" s="1213" t="s">
        <v>1196</v>
      </c>
      <c r="H437" s="1197"/>
      <c r="I437" s="1197"/>
      <c r="J437" s="1197"/>
      <c r="K437" s="1197"/>
      <c r="L437" s="653" t="str">
        <f t="shared" si="191"/>
        <v>6747</v>
      </c>
      <c r="M437" s="654" t="str">
        <f t="shared" si="192"/>
        <v>FRET/EXPRESS/TRANS. PAR CAMION</v>
      </c>
      <c r="N437" s="655">
        <f>+IF(OR($Q437=Parametres!$G$2,$Q437=Parametres!$G$3),I437,C437)</f>
        <v>-1443.39</v>
      </c>
      <c r="O437" s="655">
        <f>+IF(OR($Q437=Parametres!$G$2,$Q437=Parametres!$G$3),J437,D437)</f>
        <v>-363.89</v>
      </c>
      <c r="P437" s="655">
        <f>+IF(OR($Q437=Parametres!$G$2,$Q437=Parametres!$G$3),K437,E437)</f>
        <v>-1807.28</v>
      </c>
      <c r="Q437" s="654" t="str">
        <f t="shared" si="193"/>
        <v>7-Dépenses</v>
      </c>
      <c r="R437" s="653" t="str">
        <f t="shared" si="194"/>
        <v>6147</v>
      </c>
      <c r="S437" s="654">
        <f t="shared" si="195"/>
        <v>0</v>
      </c>
      <c r="T437" s="656" t="str">
        <f>+VLOOKUP($L437,Data_Validation!$A:$D,1,0)</f>
        <v>6747</v>
      </c>
      <c r="U437" s="656" t="str">
        <f>+VLOOKUP($L437,Data_Validation!$A:$D,3,0)</f>
        <v>Pièces</v>
      </c>
      <c r="V437" s="656" t="str">
        <f>+VLOOKUP($L437,Data_Validation!$A:$D,4,0)</f>
        <v>Frais postaux</v>
      </c>
      <c r="W437" s="656" t="str">
        <f>+VLOOKUP($L437,Data_Validation!$A:$E,5,0)</f>
        <v>$</v>
      </c>
      <c r="X437" s="656">
        <f>+VLOOKUP($L437,Data_Validation!$A:$F,6,0)</f>
        <v>0</v>
      </c>
    </row>
    <row r="438" spans="1:24" ht="15.75" hidden="1" customHeight="1">
      <c r="A438" s="1213" t="s">
        <v>1197</v>
      </c>
      <c r="B438" s="1213" t="s">
        <v>2698</v>
      </c>
      <c r="C438" s="1215">
        <v>52987.72</v>
      </c>
      <c r="D438" s="1215">
        <v>5726.42</v>
      </c>
      <c r="E438" s="1215">
        <v>58714.14</v>
      </c>
      <c r="F438" s="1213" t="s">
        <v>1154</v>
      </c>
      <c r="G438" s="1213" t="s">
        <v>1198</v>
      </c>
      <c r="H438" s="1197"/>
      <c r="I438" s="1197"/>
      <c r="J438" s="1197"/>
      <c r="K438" s="1197"/>
      <c r="L438" s="653" t="str">
        <f t="shared" si="191"/>
        <v>6751</v>
      </c>
      <c r="M438" s="654" t="str">
        <f t="shared" si="192"/>
        <v>DEP. DU TRAITEMENT DES DONNEES</v>
      </c>
      <c r="N438" s="655">
        <f>+IF(OR($Q438=Parametres!$G$2,$Q438=Parametres!$G$3),I438,C438)</f>
        <v>52987.72</v>
      </c>
      <c r="O438" s="655">
        <f>+IF(OR($Q438=Parametres!$G$2,$Q438=Parametres!$G$3),J438,D438)</f>
        <v>5726.42</v>
      </c>
      <c r="P438" s="655">
        <f>+IF(OR($Q438=Parametres!$G$2,$Q438=Parametres!$G$3),K438,E438)</f>
        <v>58714.14</v>
      </c>
      <c r="Q438" s="654" t="str">
        <f t="shared" si="193"/>
        <v>7-Dépenses</v>
      </c>
      <c r="R438" s="653" t="str">
        <f t="shared" si="194"/>
        <v>6151</v>
      </c>
      <c r="S438" s="654">
        <f t="shared" si="195"/>
        <v>0</v>
      </c>
      <c r="T438" s="656" t="str">
        <f>+VLOOKUP($L438,Data_Validation!$A:$D,1,0)</f>
        <v>6751</v>
      </c>
      <c r="U438" s="656" t="str">
        <f>+VLOOKUP($L438,Data_Validation!$A:$D,3,0)</f>
        <v>Pièces</v>
      </c>
      <c r="V438" s="656" t="str">
        <f>+VLOOKUP($L438,Data_Validation!$A:$D,4,0)</f>
        <v>Informatique</v>
      </c>
      <c r="W438" s="656" t="str">
        <f>+VLOOKUP($L438,Data_Validation!$A:$E,5,0)</f>
        <v>$</v>
      </c>
      <c r="X438" s="656">
        <f>+VLOOKUP($L438,Data_Validation!$A:$F,6,0)</f>
        <v>0</v>
      </c>
    </row>
    <row r="439" spans="1:24" ht="15.75" hidden="1" customHeight="1">
      <c r="A439" s="1213" t="s">
        <v>1199</v>
      </c>
      <c r="B439" s="1213" t="s">
        <v>2701</v>
      </c>
      <c r="C439" s="1215">
        <v>7728.58</v>
      </c>
      <c r="D439" s="1215">
        <v>890.57</v>
      </c>
      <c r="E439" s="1215">
        <v>8619.15</v>
      </c>
      <c r="F439" s="1213" t="s">
        <v>1154</v>
      </c>
      <c r="G439" s="1213" t="s">
        <v>1200</v>
      </c>
      <c r="H439" s="1197"/>
      <c r="I439" s="1197"/>
      <c r="J439" s="1197"/>
      <c r="K439" s="1197"/>
      <c r="L439" s="653" t="str">
        <f t="shared" si="191"/>
        <v>6752</v>
      </c>
      <c r="M439" s="654" t="str">
        <f t="shared" si="192"/>
        <v>PAPETERIE</v>
      </c>
      <c r="N439" s="655">
        <f>+IF(OR($Q439=Parametres!$G$2,$Q439=Parametres!$G$3),I439,C439)</f>
        <v>7728.58</v>
      </c>
      <c r="O439" s="655">
        <f>+IF(OR($Q439=Parametres!$G$2,$Q439=Parametres!$G$3),J439,D439)</f>
        <v>890.57</v>
      </c>
      <c r="P439" s="655">
        <f>+IF(OR($Q439=Parametres!$G$2,$Q439=Parametres!$G$3),K439,E439)</f>
        <v>8619.15</v>
      </c>
      <c r="Q439" s="654" t="str">
        <f t="shared" si="193"/>
        <v>7-Dépenses</v>
      </c>
      <c r="R439" s="653" t="str">
        <f t="shared" si="194"/>
        <v>6152</v>
      </c>
      <c r="S439" s="654">
        <f t="shared" si="195"/>
        <v>0</v>
      </c>
      <c r="T439" s="656" t="str">
        <f>+VLOOKUP($L439,Data_Validation!$A:$D,1,0)</f>
        <v>6752</v>
      </c>
      <c r="U439" s="656" t="str">
        <f>+VLOOKUP($L439,Data_Validation!$A:$D,3,0)</f>
        <v>Pièces</v>
      </c>
      <c r="V439" s="656" t="str">
        <f>+VLOOKUP($L439,Data_Validation!$A:$D,4,0)</f>
        <v>Papeterie</v>
      </c>
      <c r="W439" s="656" t="str">
        <f>+VLOOKUP($L439,Data_Validation!$A:$E,5,0)</f>
        <v>$</v>
      </c>
      <c r="X439" s="656">
        <f>+VLOOKUP($L439,Data_Validation!$A:$F,6,0)</f>
        <v>0</v>
      </c>
    </row>
    <row r="440" spans="1:24" ht="15.75" hidden="1" customHeight="1">
      <c r="A440" s="1213" t="s">
        <v>1201</v>
      </c>
      <c r="B440" s="1213" t="s">
        <v>2704</v>
      </c>
      <c r="C440" s="1215">
        <v>1170.25</v>
      </c>
      <c r="D440" s="1215">
        <v>91.86</v>
      </c>
      <c r="E440" s="1215">
        <v>1262.1099999999999</v>
      </c>
      <c r="F440" s="1213" t="s">
        <v>1154</v>
      </c>
      <c r="G440" s="1213" t="s">
        <v>1202</v>
      </c>
      <c r="H440" s="1197"/>
      <c r="I440" s="1197"/>
      <c r="J440" s="1197"/>
      <c r="K440" s="1197"/>
      <c r="L440" s="653" t="str">
        <f t="shared" si="191"/>
        <v>6753</v>
      </c>
      <c r="M440" s="654" t="str">
        <f t="shared" si="192"/>
        <v>TELEPHONE ET TELEX</v>
      </c>
      <c r="N440" s="655">
        <f>+IF(OR($Q440=Parametres!$G$2,$Q440=Parametres!$G$3),I440,C440)</f>
        <v>1170.25</v>
      </c>
      <c r="O440" s="655">
        <f>+IF(OR($Q440=Parametres!$G$2,$Q440=Parametres!$G$3),J440,D440)</f>
        <v>91.86</v>
      </c>
      <c r="P440" s="655">
        <f>+IF(OR($Q440=Parametres!$G$2,$Q440=Parametres!$G$3),K440,E440)</f>
        <v>1262.1099999999999</v>
      </c>
      <c r="Q440" s="654" t="str">
        <f t="shared" si="193"/>
        <v>7-Dépenses</v>
      </c>
      <c r="R440" s="653" t="str">
        <f t="shared" si="194"/>
        <v>6153</v>
      </c>
      <c r="S440" s="654">
        <f t="shared" si="195"/>
        <v>0</v>
      </c>
      <c r="T440" s="656" t="str">
        <f>+VLOOKUP($L440,Data_Validation!$A:$D,1,0)</f>
        <v>6753</v>
      </c>
      <c r="U440" s="656" t="str">
        <f>+VLOOKUP($L440,Data_Validation!$A:$D,3,0)</f>
        <v>Pièces</v>
      </c>
      <c r="V440" s="656" t="str">
        <f>+VLOOKUP($L440,Data_Validation!$A:$D,4,0)</f>
        <v>Téléphone</v>
      </c>
      <c r="W440" s="656" t="str">
        <f>+VLOOKUP($L440,Data_Validation!$A:$E,5,0)</f>
        <v>$</v>
      </c>
      <c r="X440" s="656">
        <f>+VLOOKUP($L440,Data_Validation!$A:$F,6,0)</f>
        <v>0</v>
      </c>
    </row>
    <row r="441" spans="1:24" ht="15.75" hidden="1" customHeight="1">
      <c r="A441" s="1213" t="s">
        <v>1203</v>
      </c>
      <c r="B441" s="1213" t="s">
        <v>2707</v>
      </c>
      <c r="C441" s="1215">
        <v>1617.23</v>
      </c>
      <c r="D441" s="1215">
        <v>74.7</v>
      </c>
      <c r="E441" s="1215">
        <v>1691.93</v>
      </c>
      <c r="F441" s="1213" t="s">
        <v>1154</v>
      </c>
      <c r="G441" s="1213" t="s">
        <v>1204</v>
      </c>
      <c r="H441" s="1197"/>
      <c r="I441" s="1197"/>
      <c r="J441" s="1197"/>
      <c r="K441" s="1197"/>
      <c r="L441" s="653" t="str">
        <f t="shared" si="191"/>
        <v>6755</v>
      </c>
      <c r="M441" s="654" t="str">
        <f t="shared" si="192"/>
        <v>DEPENSES DIVERS</v>
      </c>
      <c r="N441" s="655">
        <f>+IF(OR($Q441=Parametres!$G$2,$Q441=Parametres!$G$3),I441,C441)</f>
        <v>1617.23</v>
      </c>
      <c r="O441" s="655">
        <f>+IF(OR($Q441=Parametres!$G$2,$Q441=Parametres!$G$3),J441,D441)</f>
        <v>74.7</v>
      </c>
      <c r="P441" s="655">
        <f>+IF(OR($Q441=Parametres!$G$2,$Q441=Parametres!$G$3),K441,E441)</f>
        <v>1691.93</v>
      </c>
      <c r="Q441" s="654" t="str">
        <f t="shared" si="193"/>
        <v>7-Dépenses</v>
      </c>
      <c r="R441" s="653" t="str">
        <f t="shared" si="194"/>
        <v>6155</v>
      </c>
      <c r="S441" s="654">
        <f t="shared" si="195"/>
        <v>0</v>
      </c>
      <c r="T441" s="656" t="str">
        <f>+VLOOKUP($L441,Data_Validation!$A:$D,1,0)</f>
        <v>6755</v>
      </c>
      <c r="U441" s="656" t="str">
        <f>+VLOOKUP($L441,Data_Validation!$A:$D,3,0)</f>
        <v>Pièces</v>
      </c>
      <c r="V441" s="656" t="str">
        <f>+VLOOKUP($L441,Data_Validation!$A:$D,4,0)</f>
        <v>Divers</v>
      </c>
      <c r="W441" s="656" t="str">
        <f>+VLOOKUP($L441,Data_Validation!$A:$E,5,0)</f>
        <v>$</v>
      </c>
      <c r="X441" s="656">
        <f>+VLOOKUP($L441,Data_Validation!$A:$F,6,0)</f>
        <v>0</v>
      </c>
    </row>
    <row r="442" spans="1:24" ht="15.75" hidden="1" customHeight="1">
      <c r="A442" s="1213" t="s">
        <v>1277</v>
      </c>
      <c r="B442" s="1213" t="s">
        <v>2710</v>
      </c>
      <c r="C442" s="1215">
        <v>10799.57</v>
      </c>
      <c r="D442" s="1215">
        <v>873.75</v>
      </c>
      <c r="E442" s="1215">
        <v>11673.32</v>
      </c>
      <c r="F442" s="1213" t="s">
        <v>1154</v>
      </c>
      <c r="G442" s="1213" t="s">
        <v>1206</v>
      </c>
      <c r="H442" s="1197"/>
      <c r="I442" s="1197"/>
      <c r="J442" s="1197"/>
      <c r="K442" s="1197"/>
      <c r="L442" s="653" t="str">
        <f t="shared" si="191"/>
        <v>6756</v>
      </c>
      <c r="M442" s="654" t="str">
        <f t="shared" si="192"/>
        <v>FRAIS REPRESENTATION - PIECES</v>
      </c>
      <c r="N442" s="655">
        <f>+IF(OR($Q442=Parametres!$G$2,$Q442=Parametres!$G$3),I442,C442)</f>
        <v>10799.57</v>
      </c>
      <c r="O442" s="655">
        <f>+IF(OR($Q442=Parametres!$G$2,$Q442=Parametres!$G$3),J442,D442)</f>
        <v>873.75</v>
      </c>
      <c r="P442" s="655">
        <f>+IF(OR($Q442=Parametres!$G$2,$Q442=Parametres!$G$3),K442,E442)</f>
        <v>11673.32</v>
      </c>
      <c r="Q442" s="654" t="str">
        <f t="shared" si="193"/>
        <v>7-Dépenses</v>
      </c>
      <c r="R442" s="653" t="str">
        <f t="shared" si="194"/>
        <v>6156</v>
      </c>
      <c r="S442" s="654">
        <f t="shared" si="195"/>
        <v>0</v>
      </c>
      <c r="T442" s="656" t="str">
        <f>+VLOOKUP($L442,Data_Validation!$A:$D,1,0)</f>
        <v>6756</v>
      </c>
      <c r="U442" s="656" t="str">
        <f>+VLOOKUP($L442,Data_Validation!$A:$D,3,0)</f>
        <v>Pièces</v>
      </c>
      <c r="V442" s="656" t="str">
        <f>+VLOOKUP($L442,Data_Validation!$A:$D,4,0)</f>
        <v>Frais de déplacement</v>
      </c>
      <c r="W442" s="656" t="str">
        <f>+VLOOKUP($L442,Data_Validation!$A:$E,5,0)</f>
        <v>$</v>
      </c>
      <c r="X442" s="656">
        <f>+VLOOKUP($L442,Data_Validation!$A:$F,6,0)</f>
        <v>0</v>
      </c>
    </row>
    <row r="443" spans="1:24" ht="15.75" hidden="1" customHeight="1">
      <c r="A443" s="1213" t="s">
        <v>1278</v>
      </c>
      <c r="B443" s="1213" t="s">
        <v>3402</v>
      </c>
      <c r="C443" s="1215">
        <v>19258.87</v>
      </c>
      <c r="D443" s="1215">
        <v>1844.38</v>
      </c>
      <c r="E443" s="1215">
        <v>21103.25</v>
      </c>
      <c r="F443" s="1213" t="s">
        <v>1154</v>
      </c>
      <c r="G443" s="1213" t="s">
        <v>3340</v>
      </c>
      <c r="H443" s="1197"/>
      <c r="I443" s="1197"/>
      <c r="J443" s="1197"/>
      <c r="K443" s="1197"/>
      <c r="L443" s="653" t="str">
        <f t="shared" si="191"/>
        <v>6757</v>
      </c>
      <c r="M443" s="654" t="str">
        <f t="shared" si="192"/>
        <v>FRAIS BANCAIRES - PIECES</v>
      </c>
      <c r="N443" s="655">
        <f>+IF(OR($Q443=Parametres!$G$2,$Q443=Parametres!$G$3),I443,C443)</f>
        <v>19258.87</v>
      </c>
      <c r="O443" s="655">
        <f>+IF(OR($Q443=Parametres!$G$2,$Q443=Parametres!$G$3),J443,D443)</f>
        <v>1844.38</v>
      </c>
      <c r="P443" s="655">
        <f>+IF(OR($Q443=Parametres!$G$2,$Q443=Parametres!$G$3),K443,E443)</f>
        <v>21103.25</v>
      </c>
      <c r="Q443" s="654" t="str">
        <f t="shared" si="193"/>
        <v>7-Dépenses</v>
      </c>
      <c r="R443" s="653" t="str">
        <f t="shared" si="194"/>
        <v>675</v>
      </c>
      <c r="S443" s="654">
        <f t="shared" si="195"/>
        <v>0</v>
      </c>
      <c r="T443" s="656" t="str">
        <f>+VLOOKUP($L443,Data_Validation!$A:$D,1,0)</f>
        <v>6757</v>
      </c>
      <c r="U443" s="656" t="str">
        <f>+VLOOKUP($L443,Data_Validation!$A:$D,3,0)</f>
        <v>Pièces</v>
      </c>
      <c r="V443" s="656" t="str">
        <f>+VLOOKUP($L443,Data_Validation!$A:$D,4,0)</f>
        <v>Frais bancaires</v>
      </c>
      <c r="W443" s="656" t="str">
        <f>+VLOOKUP($L443,Data_Validation!$A:$E,5,0)</f>
        <v>$</v>
      </c>
      <c r="X443" s="656">
        <f>+VLOOKUP($L443,Data_Validation!$A:$F,6,0)</f>
        <v>0</v>
      </c>
    </row>
    <row r="444" spans="1:24" ht="15.75" hidden="1" customHeight="1">
      <c r="A444" s="1213" t="s">
        <v>3898</v>
      </c>
      <c r="B444" s="1213" t="s">
        <v>3899</v>
      </c>
      <c r="C444" s="1215">
        <v>100340</v>
      </c>
      <c r="D444" s="1215">
        <v>8360</v>
      </c>
      <c r="E444" s="1215">
        <v>108700</v>
      </c>
      <c r="F444" s="1213" t="s">
        <v>1154</v>
      </c>
      <c r="G444" s="1213" t="s">
        <v>1210</v>
      </c>
      <c r="H444" s="1197"/>
      <c r="I444" s="1197"/>
      <c r="J444" s="1197"/>
      <c r="K444" s="1197"/>
      <c r="L444" s="653" t="str">
        <f t="shared" si="191"/>
        <v>6758</v>
      </c>
      <c r="M444" s="654" t="str">
        <f t="shared" si="192"/>
        <v>FRAIS DE LIVRAISON PIECES</v>
      </c>
      <c r="N444" s="655">
        <f>+IF(OR($Q444=Parametres!$G$2,$Q444=Parametres!$G$3),I444,C444)</f>
        <v>100340</v>
      </c>
      <c r="O444" s="655">
        <f>+IF(OR($Q444=Parametres!$G$2,$Q444=Parametres!$G$3),J444,D444)</f>
        <v>8360</v>
      </c>
      <c r="P444" s="655">
        <f>+IF(OR($Q444=Parametres!$G$2,$Q444=Parametres!$G$3),K444,E444)</f>
        <v>108700</v>
      </c>
      <c r="Q444" s="654" t="str">
        <f t="shared" si="193"/>
        <v>7-Dépenses</v>
      </c>
      <c r="R444" s="653" t="str">
        <f t="shared" si="194"/>
        <v>6159</v>
      </c>
      <c r="S444" s="654">
        <f t="shared" si="195"/>
        <v>0</v>
      </c>
      <c r="T444" s="656" t="str">
        <f>+VLOOKUP($L444,Data_Validation!$A:$D,1,0)</f>
        <v>6758</v>
      </c>
      <c r="U444" s="656" t="str">
        <f>+VLOOKUP($L444,Data_Validation!$A:$D,3,0)</f>
        <v>Pièces</v>
      </c>
      <c r="V444" s="656" t="str">
        <f>+VLOOKUP($L444,Data_Validation!$A:$D,4,0)</f>
        <v>Services extérieurs</v>
      </c>
      <c r="W444" s="656" t="str">
        <f>+VLOOKUP($L444,Data_Validation!$A:$E,5,0)</f>
        <v>$</v>
      </c>
      <c r="X444" s="656">
        <f>+VLOOKUP($L444,Data_Validation!$A:$F,6,0)</f>
        <v>0</v>
      </c>
    </row>
    <row r="445" spans="1:24" ht="15.75" hidden="1" customHeight="1">
      <c r="A445" s="1213" t="s">
        <v>1209</v>
      </c>
      <c r="B445" s="1213" t="s">
        <v>2713</v>
      </c>
      <c r="C445" s="1215">
        <v>32014.38</v>
      </c>
      <c r="D445" s="1215">
        <v>2548.3000000000002</v>
      </c>
      <c r="E445" s="1215">
        <v>34562.68</v>
      </c>
      <c r="F445" s="1213" t="s">
        <v>1154</v>
      </c>
      <c r="G445" s="1213" t="s">
        <v>1210</v>
      </c>
      <c r="H445" s="1197"/>
      <c r="I445" s="1197"/>
      <c r="J445" s="1197"/>
      <c r="K445" s="1197"/>
      <c r="L445" s="653" t="str">
        <f t="shared" si="191"/>
        <v>6759</v>
      </c>
      <c r="M445" s="654" t="str">
        <f t="shared" si="192"/>
        <v>SERVICE EXTERIEUR</v>
      </c>
      <c r="N445" s="655">
        <f>+IF(OR($Q445=Parametres!$G$2,$Q445=Parametres!$G$3),I445,C445)</f>
        <v>32014.38</v>
      </c>
      <c r="O445" s="655">
        <f>+IF(OR($Q445=Parametres!$G$2,$Q445=Parametres!$G$3),J445,D445)</f>
        <v>2548.3000000000002</v>
      </c>
      <c r="P445" s="655">
        <f>+IF(OR($Q445=Parametres!$G$2,$Q445=Parametres!$G$3),K445,E445)</f>
        <v>34562.68</v>
      </c>
      <c r="Q445" s="654" t="str">
        <f t="shared" si="193"/>
        <v>7-Dépenses</v>
      </c>
      <c r="R445" s="653" t="str">
        <f t="shared" si="194"/>
        <v>6159</v>
      </c>
      <c r="S445" s="654">
        <f t="shared" si="195"/>
        <v>0</v>
      </c>
      <c r="T445" s="656" t="str">
        <f>+VLOOKUP($L445,Data_Validation!$A:$D,1,0)</f>
        <v>6759</v>
      </c>
      <c r="U445" s="656" t="str">
        <f>+VLOOKUP($L445,Data_Validation!$A:$D,3,0)</f>
        <v>Pièces</v>
      </c>
      <c r="V445" s="656" t="str">
        <f>+VLOOKUP($L445,Data_Validation!$A:$D,4,0)</f>
        <v>Services extérieurs</v>
      </c>
      <c r="W445" s="656" t="str">
        <f>+VLOOKUP($L445,Data_Validation!$A:$E,5,0)</f>
        <v>$</v>
      </c>
      <c r="X445" s="656">
        <f>+VLOOKUP($L445,Data_Validation!$A:$F,6,0)</f>
        <v>0</v>
      </c>
    </row>
    <row r="446" spans="1:24" ht="15.75" hidden="1" customHeight="1">
      <c r="A446" s="1213" t="s">
        <v>1211</v>
      </c>
      <c r="B446" s="1213" t="s">
        <v>2716</v>
      </c>
      <c r="C446" s="1215">
        <v>52782.5</v>
      </c>
      <c r="D446" s="1215">
        <v>11306.45</v>
      </c>
      <c r="E446" s="1215">
        <v>64088.95</v>
      </c>
      <c r="F446" s="1213" t="s">
        <v>1154</v>
      </c>
      <c r="G446" s="1213" t="s">
        <v>1212</v>
      </c>
      <c r="H446" s="1197"/>
      <c r="I446" s="1198"/>
      <c r="J446" s="1198"/>
      <c r="K446" s="1198"/>
      <c r="L446" s="653" t="str">
        <f t="shared" si="191"/>
        <v>6761</v>
      </c>
      <c r="M446" s="654" t="str">
        <f t="shared" si="192"/>
        <v>DEPRECIATION EQUIP. &amp; FIXTURES</v>
      </c>
      <c r="N446" s="655">
        <f>+IF(OR($Q446=Parametres!$G$2,$Q446=Parametres!$G$3),I446,C446)</f>
        <v>52782.5</v>
      </c>
      <c r="O446" s="655">
        <f>+IF(OR($Q446=Parametres!$G$2,$Q446=Parametres!$G$3),J446,D446)</f>
        <v>11306.45</v>
      </c>
      <c r="P446" s="655">
        <f>+IF(OR($Q446=Parametres!$G$2,$Q446=Parametres!$G$3),K446,E446)</f>
        <v>64088.95</v>
      </c>
      <c r="Q446" s="654" t="str">
        <f t="shared" si="193"/>
        <v>7-Dépenses</v>
      </c>
      <c r="R446" s="653" t="str">
        <f t="shared" si="194"/>
        <v>6161</v>
      </c>
      <c r="S446" s="654">
        <f t="shared" si="195"/>
        <v>0</v>
      </c>
      <c r="T446" s="656" t="str">
        <f>+VLOOKUP($L446,Data_Validation!$A:$D,1,0)</f>
        <v>6761</v>
      </c>
      <c r="U446" s="656" t="str">
        <f>+VLOOKUP($L446,Data_Validation!$A:$D,3,0)</f>
        <v>Pièces</v>
      </c>
      <c r="V446" s="656" t="str">
        <f>+VLOOKUP($L446,Data_Validation!$A:$D,4,0)</f>
        <v>Amortissement</v>
      </c>
      <c r="W446" s="656" t="str">
        <f>+VLOOKUP($L446,Data_Validation!$A:$E,5,0)</f>
        <v>$</v>
      </c>
      <c r="X446" s="656">
        <f>+VLOOKUP($L446,Data_Validation!$A:$F,6,0)</f>
        <v>0</v>
      </c>
    </row>
    <row r="447" spans="1:24" ht="15.75" hidden="1" customHeight="1">
      <c r="A447" s="1213" t="s">
        <v>1279</v>
      </c>
      <c r="B447" s="1213" t="s">
        <v>2725</v>
      </c>
      <c r="C447" s="1215">
        <v>10593.26</v>
      </c>
      <c r="D447" s="1215">
        <v>1453.21</v>
      </c>
      <c r="E447" s="1215">
        <v>12046.47</v>
      </c>
      <c r="F447" s="1213" t="s">
        <v>1154</v>
      </c>
      <c r="G447" s="1213" t="s">
        <v>1214</v>
      </c>
      <c r="H447" s="1197"/>
      <c r="I447" s="1198"/>
      <c r="J447" s="1198"/>
      <c r="K447" s="1198"/>
      <c r="L447" s="653" t="str">
        <f t="shared" si="191"/>
        <v>6781</v>
      </c>
      <c r="M447" s="654" t="str">
        <f t="shared" si="192"/>
        <v>CHAUFFAGE,ELECTRICITE,EAU-PIECES</v>
      </c>
      <c r="N447" s="655">
        <f>+IF(OR($Q447=Parametres!$G$2,$Q447=Parametres!$G$3),I447,C447)</f>
        <v>10593.26</v>
      </c>
      <c r="O447" s="655">
        <f>+IF(OR($Q447=Parametres!$G$2,$Q447=Parametres!$G$3),J447,D447)</f>
        <v>1453.21</v>
      </c>
      <c r="P447" s="655">
        <f>+IF(OR($Q447=Parametres!$G$2,$Q447=Parametres!$G$3),K447,E447)</f>
        <v>12046.47</v>
      </c>
      <c r="Q447" s="654" t="str">
        <f t="shared" si="193"/>
        <v>7-Dépenses</v>
      </c>
      <c r="R447" s="653" t="str">
        <f t="shared" si="194"/>
        <v>6181</v>
      </c>
      <c r="S447" s="654">
        <f t="shared" si="195"/>
        <v>0</v>
      </c>
      <c r="T447" s="656" t="str">
        <f>+VLOOKUP($L447,Data_Validation!$A:$D,1,0)</f>
        <v>6781</v>
      </c>
      <c r="U447" s="656" t="str">
        <f>+VLOOKUP($L447,Data_Validation!$A:$D,3,0)</f>
        <v>Pièces</v>
      </c>
      <c r="V447" s="656" t="str">
        <f>+VLOOKUP($L447,Data_Validation!$A:$D,4,0)</f>
        <v>Chauffage, éclairage</v>
      </c>
      <c r="W447" s="656" t="str">
        <f>+VLOOKUP($L447,Data_Validation!$A:$E,5,0)</f>
        <v>$</v>
      </c>
      <c r="X447" s="656">
        <f>+VLOOKUP($L447,Data_Validation!$A:$F,6,0)</f>
        <v>0</v>
      </c>
    </row>
    <row r="448" spans="1:24" ht="15.75" hidden="1" customHeight="1">
      <c r="A448" s="1213" t="s">
        <v>1280</v>
      </c>
      <c r="B448" s="1213" t="s">
        <v>2728</v>
      </c>
      <c r="C448" s="1215">
        <v>99000</v>
      </c>
      <c r="D448" s="1215">
        <v>9000</v>
      </c>
      <c r="E448" s="1215">
        <v>108000</v>
      </c>
      <c r="F448" s="1213" t="s">
        <v>1154</v>
      </c>
      <c r="G448" s="1213" t="s">
        <v>1216</v>
      </c>
      <c r="H448" s="1197"/>
      <c r="I448" s="1198"/>
      <c r="J448" s="1198"/>
      <c r="K448" s="1198"/>
      <c r="L448" s="653" t="str">
        <f t="shared" si="191"/>
        <v>6782</v>
      </c>
      <c r="M448" s="654" t="str">
        <f t="shared" si="192"/>
        <v>LOYER - PIECES</v>
      </c>
      <c r="N448" s="655">
        <f>+IF(OR($Q448=Parametres!$G$2,$Q448=Parametres!$G$3),I448,C448)</f>
        <v>99000</v>
      </c>
      <c r="O448" s="655">
        <f>+IF(OR($Q448=Parametres!$G$2,$Q448=Parametres!$G$3),J448,D448)</f>
        <v>9000</v>
      </c>
      <c r="P448" s="655">
        <f>+IF(OR($Q448=Parametres!$G$2,$Q448=Parametres!$G$3),K448,E448)</f>
        <v>108000</v>
      </c>
      <c r="Q448" s="654" t="str">
        <f t="shared" si="193"/>
        <v>7-Dépenses</v>
      </c>
      <c r="R448" s="653" t="str">
        <f t="shared" si="194"/>
        <v>6182</v>
      </c>
      <c r="S448" s="654">
        <f t="shared" si="195"/>
        <v>0</v>
      </c>
      <c r="T448" s="656" t="str">
        <f>+VLOOKUP($L448,Data_Validation!$A:$D,1,0)</f>
        <v>6782</v>
      </c>
      <c r="U448" s="656" t="str">
        <f>+VLOOKUP($L448,Data_Validation!$A:$D,3,0)</f>
        <v>Pièces</v>
      </c>
      <c r="V448" s="656" t="str">
        <f>+VLOOKUP($L448,Data_Validation!$A:$D,4,0)</f>
        <v>Loyer</v>
      </c>
      <c r="W448" s="656" t="str">
        <f>+VLOOKUP($L448,Data_Validation!$A:$E,5,0)</f>
        <v>$</v>
      </c>
      <c r="X448" s="656">
        <f>+VLOOKUP($L448,Data_Validation!$A:$F,6,0)</f>
        <v>0</v>
      </c>
    </row>
    <row r="449" spans="1:24" ht="15.75" hidden="1" customHeight="1">
      <c r="A449" s="1213" t="s">
        <v>1281</v>
      </c>
      <c r="B449" s="1213" t="s">
        <v>2731</v>
      </c>
      <c r="C449" s="1215">
        <v>10705.86</v>
      </c>
      <c r="D449" s="1215">
        <v>973.26</v>
      </c>
      <c r="E449" s="1215">
        <v>11679.12</v>
      </c>
      <c r="F449" s="1213" t="s">
        <v>1154</v>
      </c>
      <c r="G449" s="1213" t="s">
        <v>1218</v>
      </c>
      <c r="H449" s="1209"/>
      <c r="I449" s="1209"/>
      <c r="J449" s="1209"/>
      <c r="K449" s="1209"/>
      <c r="L449" s="653" t="str">
        <f t="shared" si="191"/>
        <v>6786</v>
      </c>
      <c r="M449" s="654" t="str">
        <f t="shared" si="192"/>
        <v>ASSURANCE BATISSE &amp; AMEL.-PIECES</v>
      </c>
      <c r="N449" s="655">
        <f>+IF(OR($Q449=Parametres!$G$2,$Q449=Parametres!$G$3),I449,C449)</f>
        <v>10705.86</v>
      </c>
      <c r="O449" s="655">
        <f>+IF(OR($Q449=Parametres!$G$2,$Q449=Parametres!$G$3),J449,D449)</f>
        <v>973.26</v>
      </c>
      <c r="P449" s="655">
        <f>+IF(OR($Q449=Parametres!$G$2,$Q449=Parametres!$G$3),K449,E449)</f>
        <v>11679.12</v>
      </c>
      <c r="Q449" s="654" t="str">
        <f t="shared" si="193"/>
        <v>7-Dépenses</v>
      </c>
      <c r="R449" s="653" t="str">
        <f t="shared" si="194"/>
        <v>6186</v>
      </c>
      <c r="S449" s="654">
        <f t="shared" si="195"/>
        <v>0</v>
      </c>
      <c r="T449" s="656" t="str">
        <f>+VLOOKUP($L449,Data_Validation!$A:$D,1,0)</f>
        <v>6786</v>
      </c>
      <c r="U449" s="656" t="str">
        <f>+VLOOKUP($L449,Data_Validation!$A:$D,3,0)</f>
        <v>Pièces</v>
      </c>
      <c r="V449" s="656" t="str">
        <f>+VLOOKUP($L449,Data_Validation!$A:$D,4,0)</f>
        <v>Assurances</v>
      </c>
      <c r="W449" s="656" t="str">
        <f>+VLOOKUP($L449,Data_Validation!$A:$E,5,0)</f>
        <v>$</v>
      </c>
      <c r="X449" s="656">
        <f>+VLOOKUP($L449,Data_Validation!$A:$F,6,0)</f>
        <v>0</v>
      </c>
    </row>
    <row r="450" spans="1:24" ht="15.75" hidden="1" customHeight="1">
      <c r="A450" s="1213" t="s">
        <v>1282</v>
      </c>
      <c r="B450" s="1213" t="s">
        <v>2734</v>
      </c>
      <c r="C450" s="1215">
        <v>14236.75</v>
      </c>
      <c r="D450" s="1215">
        <v>1294.25</v>
      </c>
      <c r="E450" s="1215">
        <v>15531</v>
      </c>
      <c r="F450" s="1213" t="s">
        <v>1154</v>
      </c>
      <c r="G450" s="1213" t="s">
        <v>1220</v>
      </c>
      <c r="H450" s="1209"/>
      <c r="I450" s="1209"/>
      <c r="J450" s="1209"/>
      <c r="K450" s="1209"/>
      <c r="L450" s="653" t="str">
        <f t="shared" ref="L450" si="196">TEXT(B450,0)</f>
        <v>6787</v>
      </c>
      <c r="M450" s="654" t="str">
        <f t="shared" ref="M450" si="197">+A450</f>
        <v>TAXES FONCIERES - PIECES</v>
      </c>
      <c r="N450" s="655">
        <f>+IF(OR($Q450=Parametres!$G$2,$Q450=Parametres!$G$3),I450,C450)</f>
        <v>14236.75</v>
      </c>
      <c r="O450" s="655">
        <f>+IF(OR($Q450=Parametres!$G$2,$Q450=Parametres!$G$3),J450,D450)</f>
        <v>1294.25</v>
      </c>
      <c r="P450" s="655">
        <f>+IF(OR($Q450=Parametres!$G$2,$Q450=Parametres!$G$3),K450,E450)</f>
        <v>15531</v>
      </c>
      <c r="Q450" s="654" t="str">
        <f t="shared" ref="Q450" si="198">+F450</f>
        <v>7-Dépenses</v>
      </c>
      <c r="R450" s="653" t="str">
        <f t="shared" ref="R450" si="199">+G450</f>
        <v>6187</v>
      </c>
      <c r="S450" s="654">
        <f t="shared" ref="S450" si="200">+H450</f>
        <v>0</v>
      </c>
      <c r="T450" s="656" t="str">
        <f>+VLOOKUP($L450,Data_Validation!$A:$D,1,0)</f>
        <v>6787</v>
      </c>
      <c r="U450" s="656" t="str">
        <f>+VLOOKUP($L450,Data_Validation!$A:$D,3,0)</f>
        <v>Pièces</v>
      </c>
      <c r="V450" s="656" t="str">
        <f>+VLOOKUP($L450,Data_Validation!$A:$D,4,0)</f>
        <v>Taxes foncières</v>
      </c>
      <c r="W450" s="656" t="str">
        <f>+VLOOKUP($L450,Data_Validation!$A:$E,5,0)</f>
        <v>$</v>
      </c>
      <c r="X450" s="656">
        <f>+VLOOKUP($L450,Data_Validation!$A:$F,6,0)</f>
        <v>0</v>
      </c>
    </row>
    <row r="451" spans="1:24" ht="15.75" hidden="1" customHeight="1">
      <c r="A451" s="1213" t="s">
        <v>1283</v>
      </c>
      <c r="B451" s="1213" t="s">
        <v>2737</v>
      </c>
      <c r="C451" s="1215">
        <v>9623.25</v>
      </c>
      <c r="D451" s="1215">
        <v>861.25</v>
      </c>
      <c r="E451" s="1215">
        <v>10484.5</v>
      </c>
      <c r="F451" s="1213" t="s">
        <v>1154</v>
      </c>
      <c r="G451" s="1213" t="s">
        <v>1222</v>
      </c>
      <c r="H451" s="1209"/>
      <c r="I451" s="1209"/>
      <c r="J451" s="1209"/>
      <c r="K451" s="1209"/>
      <c r="L451" s="653" t="str">
        <f t="shared" ref="L451:L466" si="201">TEXT(B451,0)</f>
        <v>6793</v>
      </c>
      <c r="M451" s="654" t="str">
        <f t="shared" ref="M451:M466" si="202">+A451</f>
        <v>AUTRES TAXES - PIECES</v>
      </c>
      <c r="N451" s="655">
        <f>+IF(OR($Q451=Parametres!$G$2,$Q451=Parametres!$G$3),I451,C451)</f>
        <v>9623.25</v>
      </c>
      <c r="O451" s="655">
        <f>+IF(OR($Q451=Parametres!$G$2,$Q451=Parametres!$G$3),J451,D451)</f>
        <v>861.25</v>
      </c>
      <c r="P451" s="655">
        <f>+IF(OR($Q451=Parametres!$G$2,$Q451=Parametres!$G$3),K451,E451)</f>
        <v>10484.5</v>
      </c>
      <c r="Q451" s="654" t="str">
        <f t="shared" ref="Q451:Q466" si="203">+F451</f>
        <v>7-Dépenses</v>
      </c>
      <c r="R451" s="653" t="str">
        <f t="shared" ref="R451:R466" si="204">+G451</f>
        <v>6193</v>
      </c>
      <c r="S451" s="654">
        <f t="shared" ref="S451:S466" si="205">+H451</f>
        <v>0</v>
      </c>
      <c r="T451" s="656" t="str">
        <f>+VLOOKUP($L451,Data_Validation!$A:$D,1,0)</f>
        <v>6793</v>
      </c>
      <c r="U451" s="656" t="str">
        <f>+VLOOKUP($L451,Data_Validation!$A:$D,3,0)</f>
        <v>Pièces</v>
      </c>
      <c r="V451" s="656" t="str">
        <f>+VLOOKUP($L451,Data_Validation!$A:$D,4,0)</f>
        <v>Taxes d`affaires</v>
      </c>
      <c r="W451" s="656" t="str">
        <f>+VLOOKUP($L451,Data_Validation!$A:$E,5,0)</f>
        <v>$</v>
      </c>
      <c r="X451" s="656">
        <f>+VLOOKUP($L451,Data_Validation!$A:$F,6,0)</f>
        <v>0</v>
      </c>
    </row>
    <row r="452" spans="1:24" ht="15.75" hidden="1" customHeight="1">
      <c r="A452" s="1213" t="s">
        <v>1284</v>
      </c>
      <c r="B452" s="1213" t="s">
        <v>2740</v>
      </c>
      <c r="C452" s="1215">
        <v>18108.189999999999</v>
      </c>
      <c r="D452" s="1215">
        <v>1605.83</v>
      </c>
      <c r="E452" s="1215">
        <v>19714.02</v>
      </c>
      <c r="F452" s="1213" t="s">
        <v>1154</v>
      </c>
      <c r="G452" s="1213" t="s">
        <v>1224</v>
      </c>
      <c r="H452" s="1209"/>
      <c r="I452" s="1209"/>
      <c r="J452" s="1209"/>
      <c r="K452" s="1209"/>
      <c r="L452" s="653" t="str">
        <f t="shared" si="201"/>
        <v>6794</v>
      </c>
      <c r="M452" s="654" t="str">
        <f t="shared" si="202"/>
        <v>FRAIS PROFESSIONNEL-PIECES</v>
      </c>
      <c r="N452" s="655">
        <f>+IF(OR($Q452=Parametres!$G$2,$Q452=Parametres!$G$3),I452,C452)</f>
        <v>18108.189999999999</v>
      </c>
      <c r="O452" s="655">
        <f>+IF(OR($Q452=Parametres!$G$2,$Q452=Parametres!$G$3),J452,D452)</f>
        <v>1605.83</v>
      </c>
      <c r="P452" s="655">
        <f>+IF(OR($Q452=Parametres!$G$2,$Q452=Parametres!$G$3),K452,E452)</f>
        <v>19714.02</v>
      </c>
      <c r="Q452" s="654" t="str">
        <f t="shared" si="203"/>
        <v>7-Dépenses</v>
      </c>
      <c r="R452" s="653" t="str">
        <f t="shared" si="204"/>
        <v>6194</v>
      </c>
      <c r="S452" s="654">
        <f t="shared" si="205"/>
        <v>0</v>
      </c>
      <c r="T452" s="656" t="str">
        <f>+VLOOKUP($L452,Data_Validation!$A:$D,1,0)</f>
        <v>6794</v>
      </c>
      <c r="U452" s="656" t="str">
        <f>+VLOOKUP($L452,Data_Validation!$A:$D,3,0)</f>
        <v>Pièces</v>
      </c>
      <c r="V452" s="656" t="str">
        <f>+VLOOKUP($L452,Data_Validation!$A:$D,4,0)</f>
        <v>Honoraires</v>
      </c>
      <c r="W452" s="656" t="str">
        <f>+VLOOKUP($L452,Data_Validation!$A:$E,5,0)</f>
        <v>$</v>
      </c>
      <c r="X452" s="656">
        <f>+VLOOKUP($L452,Data_Validation!$A:$F,6,0)</f>
        <v>0</v>
      </c>
    </row>
    <row r="453" spans="1:24" ht="15.75" hidden="1" customHeight="1">
      <c r="A453" s="1213" t="s">
        <v>1287</v>
      </c>
      <c r="B453" s="1213" t="s">
        <v>2751</v>
      </c>
      <c r="C453" s="1215">
        <v>-899860.25</v>
      </c>
      <c r="D453" s="1215">
        <v>-54053</v>
      </c>
      <c r="E453" s="1215">
        <v>-953913.25</v>
      </c>
      <c r="F453" s="1213" t="s">
        <v>1285</v>
      </c>
      <c r="G453" s="1213" t="s">
        <v>1286</v>
      </c>
      <c r="H453" s="1209"/>
      <c r="I453" s="1209"/>
      <c r="J453" s="1209"/>
      <c r="K453" s="1209"/>
      <c r="L453" s="653" t="str">
        <f t="shared" si="201"/>
        <v>9149</v>
      </c>
      <c r="M453" s="654" t="str">
        <f t="shared" si="202"/>
        <v>REVENU RESERVE VOLKS</v>
      </c>
      <c r="N453" s="655">
        <f>+IF(OR($Q453=Parametres!$G$2,$Q453=Parametres!$G$3),I453,C453)</f>
        <v>-899860.25</v>
      </c>
      <c r="O453" s="655">
        <f>+IF(OR($Q453=Parametres!$G$2,$Q453=Parametres!$G$3),J453,D453)</f>
        <v>-54053</v>
      </c>
      <c r="P453" s="655">
        <f>+IF(OR($Q453=Parametres!$G$2,$Q453=Parametres!$G$3),K453,E453)</f>
        <v>-953913.25</v>
      </c>
      <c r="Q453" s="654" t="str">
        <f t="shared" si="203"/>
        <v>8-Autres revenus</v>
      </c>
      <c r="R453" s="653" t="str">
        <f t="shared" si="204"/>
        <v>9101</v>
      </c>
      <c r="S453" s="654">
        <f t="shared" si="205"/>
        <v>0</v>
      </c>
      <c r="T453" s="656" t="str">
        <f>+VLOOKUP($L453,Data_Validation!$A:$D,1,0)</f>
        <v>9149</v>
      </c>
      <c r="U453" s="656" t="str">
        <f>+VLOOKUP($L453,Data_Validation!$A:$D,3,0)</f>
        <v>Véhicules neufs</v>
      </c>
      <c r="V453" s="656" t="str">
        <f>+VLOOKUP($L453,Data_Validation!$A:$D,4,0)</f>
        <v>Holdbacks</v>
      </c>
      <c r="W453" s="656" t="str">
        <f>+VLOOKUP($L453,Data_Validation!$A:$E,5,0)</f>
        <v>$</v>
      </c>
      <c r="X453" s="656">
        <f>+VLOOKUP($L453,Data_Validation!$A:$F,6,0)</f>
        <v>0</v>
      </c>
    </row>
    <row r="454" spans="1:24" ht="15.75" hidden="1" customHeight="1">
      <c r="A454" s="1213" t="s">
        <v>1288</v>
      </c>
      <c r="B454" s="1213" t="s">
        <v>1289</v>
      </c>
      <c r="C454" s="1215">
        <v>-106171.09</v>
      </c>
      <c r="D454" s="1215">
        <v>-13286.21</v>
      </c>
      <c r="E454" s="1215">
        <v>-119457.3</v>
      </c>
      <c r="F454" s="1213" t="s">
        <v>1285</v>
      </c>
      <c r="G454" s="1213" t="s">
        <v>1289</v>
      </c>
      <c r="H454" s="1209"/>
      <c r="I454" s="1209"/>
      <c r="J454" s="1209"/>
      <c r="K454" s="1209"/>
      <c r="L454" s="653" t="str">
        <f t="shared" si="201"/>
        <v>9152</v>
      </c>
      <c r="M454" s="654" t="str">
        <f t="shared" si="202"/>
        <v>ESCOMPTES SUR ACHAT PIECES</v>
      </c>
      <c r="N454" s="655">
        <f>+IF(OR($Q454=Parametres!$G$2,$Q454=Parametres!$G$3),I454,C454)</f>
        <v>-106171.09</v>
      </c>
      <c r="O454" s="655">
        <f>+IF(OR($Q454=Parametres!$G$2,$Q454=Parametres!$G$3),J454,D454)</f>
        <v>-13286.21</v>
      </c>
      <c r="P454" s="655">
        <f>+IF(OR($Q454=Parametres!$G$2,$Q454=Parametres!$G$3),K454,E454)</f>
        <v>-119457.3</v>
      </c>
      <c r="Q454" s="654" t="str">
        <f t="shared" si="203"/>
        <v>8-Autres revenus</v>
      </c>
      <c r="R454" s="653" t="str">
        <f t="shared" si="204"/>
        <v>9152</v>
      </c>
      <c r="S454" s="654">
        <f t="shared" si="205"/>
        <v>0</v>
      </c>
      <c r="T454" s="656" t="str">
        <f>+VLOOKUP($L454,Data_Validation!$A:$D,1,0)</f>
        <v>9152</v>
      </c>
      <c r="U454" s="656" t="str">
        <f>+VLOOKUP($L454,Data_Validation!$A:$D,3,0)</f>
        <v>Pièces</v>
      </c>
      <c r="V454" s="656" t="str">
        <f>+VLOOKUP($L454,Data_Validation!$A:$D,4,0)</f>
        <v>Escomptes</v>
      </c>
      <c r="W454" s="656" t="str">
        <f>+VLOOKUP($L454,Data_Validation!$A:$E,5,0)</f>
        <v>$</v>
      </c>
      <c r="X454" s="656">
        <f>+VLOOKUP($L454,Data_Validation!$A:$F,6,0)</f>
        <v>0</v>
      </c>
    </row>
    <row r="455" spans="1:24" ht="15.75" hidden="1" customHeight="1">
      <c r="A455" s="1213" t="s">
        <v>3416</v>
      </c>
      <c r="B455" s="1213" t="s">
        <v>2756</v>
      </c>
      <c r="C455" s="1215">
        <v>-67295</v>
      </c>
      <c r="D455" s="1215">
        <v>-20000</v>
      </c>
      <c r="E455" s="1215">
        <v>-87295</v>
      </c>
      <c r="F455" s="1213" t="s">
        <v>1285</v>
      </c>
      <c r="G455" s="1213" t="s">
        <v>3417</v>
      </c>
      <c r="H455" s="1209"/>
      <c r="I455" s="1209"/>
      <c r="J455" s="1209"/>
      <c r="K455" s="1209"/>
      <c r="L455" s="653" t="str">
        <f t="shared" si="201"/>
        <v>9157</v>
      </c>
      <c r="M455" s="654" t="str">
        <f t="shared" si="202"/>
        <v>BONUS EXPERIENCE + - NV</v>
      </c>
      <c r="N455" s="655">
        <f>+IF(OR($Q455=Parametres!$G$2,$Q455=Parametres!$G$3),I455,C455)</f>
        <v>-67295</v>
      </c>
      <c r="O455" s="655">
        <f>+IF(OR($Q455=Parametres!$G$2,$Q455=Parametres!$G$3),J455,D455)</f>
        <v>-20000</v>
      </c>
      <c r="P455" s="655">
        <f>+IF(OR($Q455=Parametres!$G$2,$Q455=Parametres!$G$3),K455,E455)</f>
        <v>-87295</v>
      </c>
      <c r="Q455" s="654" t="str">
        <f t="shared" si="203"/>
        <v>8-Autres revenus</v>
      </c>
      <c r="R455" s="653" t="str">
        <f t="shared" si="204"/>
        <v>915</v>
      </c>
      <c r="S455" s="654">
        <f t="shared" si="205"/>
        <v>0</v>
      </c>
      <c r="T455" s="656" t="str">
        <f>+VLOOKUP($L455,Data_Validation!$A:$D,1,0)</f>
        <v>9157</v>
      </c>
      <c r="U455" s="656" t="str">
        <f>+VLOOKUP($L455,Data_Validation!$A:$D,3,0)</f>
        <v>Véhicules neufs</v>
      </c>
      <c r="V455" s="656" t="str">
        <f>+VLOOKUP($L455,Data_Validation!$A:$D,4,0)</f>
        <v>Programme neuf 1</v>
      </c>
      <c r="W455" s="656" t="str">
        <f>+VLOOKUP($L455,Data_Validation!$A:$E,5,0)</f>
        <v>$</v>
      </c>
      <c r="X455" s="656">
        <f>+VLOOKUP($L455,Data_Validation!$A:$F,6,0)</f>
        <v>0</v>
      </c>
    </row>
    <row r="456" spans="1:24" ht="15.75" hidden="1" customHeight="1">
      <c r="A456" s="1213" t="s">
        <v>1290</v>
      </c>
      <c r="B456" s="1213" t="s">
        <v>1291</v>
      </c>
      <c r="C456" s="1215">
        <v>-9528.1200000000008</v>
      </c>
      <c r="D456" s="1215">
        <v>-1288.8399999999999</v>
      </c>
      <c r="E456" s="1215">
        <v>-10816.96</v>
      </c>
      <c r="F456" s="1213" t="s">
        <v>1285</v>
      </c>
      <c r="G456" s="1213" t="s">
        <v>1291</v>
      </c>
      <c r="H456" s="1209"/>
      <c r="I456" s="1209"/>
      <c r="J456" s="1209"/>
      <c r="K456" s="1209"/>
      <c r="L456" s="653" t="str">
        <f t="shared" si="201"/>
        <v>9161</v>
      </c>
      <c r="M456" s="654" t="str">
        <f t="shared" si="202"/>
        <v>REVENU FIN ET ASS NEUF</v>
      </c>
      <c r="N456" s="655">
        <f>+IF(OR($Q456=Parametres!$G$2,$Q456=Parametres!$G$3),I456,C456)</f>
        <v>-9528.1200000000008</v>
      </c>
      <c r="O456" s="655">
        <f>+IF(OR($Q456=Parametres!$G$2,$Q456=Parametres!$G$3),J456,D456)</f>
        <v>-1288.8399999999999</v>
      </c>
      <c r="P456" s="655">
        <f>+IF(OR($Q456=Parametres!$G$2,$Q456=Parametres!$G$3),K456,E456)</f>
        <v>-10816.96</v>
      </c>
      <c r="Q456" s="654" t="str">
        <f t="shared" si="203"/>
        <v>8-Autres revenus</v>
      </c>
      <c r="R456" s="653" t="str">
        <f t="shared" si="204"/>
        <v>9161</v>
      </c>
      <c r="S456" s="654">
        <f t="shared" si="205"/>
        <v>0</v>
      </c>
      <c r="T456" s="656" t="str">
        <f>+VLOOKUP($L456,Data_Validation!$A:$D,1,0)</f>
        <v>9161</v>
      </c>
      <c r="U456" s="656" t="str">
        <f>+VLOOKUP($L456,Data_Validation!$A:$D,3,0)</f>
        <v>Véhicules neufs</v>
      </c>
      <c r="V456" s="656" t="str">
        <f>+VLOOKUP($L456,Data_Validation!$A:$D,4,0)</f>
        <v>Rev. Finances</v>
      </c>
      <c r="W456" s="656" t="str">
        <f>+VLOOKUP($L456,Data_Validation!$A:$E,5,0)</f>
        <v>$</v>
      </c>
      <c r="X456" s="656" t="str">
        <f>+VLOOKUP($L456,Data_Validation!$A:$F,6,0)</f>
        <v>Oui</v>
      </c>
    </row>
    <row r="457" spans="1:24" ht="15.75" hidden="1" customHeight="1">
      <c r="A457" s="1213" t="s">
        <v>1294</v>
      </c>
      <c r="B457" s="1213" t="s">
        <v>1295</v>
      </c>
      <c r="C457" s="1215">
        <v>-82164.39</v>
      </c>
      <c r="D457" s="1215">
        <v>-3906.17</v>
      </c>
      <c r="E457" s="1215">
        <v>-86070.56</v>
      </c>
      <c r="F457" s="1213" t="s">
        <v>1285</v>
      </c>
      <c r="G457" s="1213" t="s">
        <v>1295</v>
      </c>
      <c r="H457" s="1209"/>
      <c r="I457" s="1209"/>
      <c r="J457" s="1209"/>
      <c r="K457" s="1209"/>
      <c r="L457" s="653" t="str">
        <f t="shared" si="201"/>
        <v>9163</v>
      </c>
      <c r="M457" s="654" t="str">
        <f t="shared" si="202"/>
        <v>RESERVE FIN ET ASS VEH OCCASION</v>
      </c>
      <c r="N457" s="655">
        <f>+IF(OR($Q457=Parametres!$G$2,$Q457=Parametres!$G$3),I457,C457)</f>
        <v>-82164.39</v>
      </c>
      <c r="O457" s="655">
        <f>+IF(OR($Q457=Parametres!$G$2,$Q457=Parametres!$G$3),J457,D457)</f>
        <v>-3906.17</v>
      </c>
      <c r="P457" s="655">
        <f>+IF(OR($Q457=Parametres!$G$2,$Q457=Parametres!$G$3),K457,E457)</f>
        <v>-86070.56</v>
      </c>
      <c r="Q457" s="654" t="str">
        <f t="shared" si="203"/>
        <v>8-Autres revenus</v>
      </c>
      <c r="R457" s="653" t="str">
        <f t="shared" si="204"/>
        <v>9163</v>
      </c>
      <c r="S457" s="654">
        <f t="shared" si="205"/>
        <v>0</v>
      </c>
      <c r="T457" s="656" t="str">
        <f>+VLOOKUP($L457,Data_Validation!$A:$D,1,0)</f>
        <v>9163</v>
      </c>
      <c r="U457" s="656" t="str">
        <f>+VLOOKUP($L457,Data_Validation!$A:$D,3,0)</f>
        <v>Véhicules usagés</v>
      </c>
      <c r="V457" s="656" t="str">
        <f>+VLOOKUP($L457,Data_Validation!$A:$D,4,0)</f>
        <v>Rev. Finances</v>
      </c>
      <c r="W457" s="656" t="str">
        <f>+VLOOKUP($L457,Data_Validation!$A:$E,5,0)</f>
        <v>$</v>
      </c>
      <c r="X457" s="656" t="str">
        <f>+VLOOKUP($L457,Data_Validation!$A:$F,6,0)</f>
        <v>Oui</v>
      </c>
    </row>
    <row r="458" spans="1:24" ht="15.75" hidden="1" customHeight="1">
      <c r="A458" s="1213" t="s">
        <v>1297</v>
      </c>
      <c r="B458" s="1213" t="s">
        <v>2763</v>
      </c>
      <c r="C458" s="1215">
        <v>-7544.47</v>
      </c>
      <c r="D458" s="1215">
        <v>0</v>
      </c>
      <c r="E458" s="1215">
        <v>-7544.47</v>
      </c>
      <c r="F458" s="1213" t="s">
        <v>1285</v>
      </c>
      <c r="G458" s="1213" t="s">
        <v>1291</v>
      </c>
      <c r="H458" s="1209"/>
      <c r="I458" s="1209"/>
      <c r="J458" s="1209"/>
      <c r="K458" s="1209"/>
      <c r="L458" s="653" t="str">
        <f t="shared" si="201"/>
        <v>9165</v>
      </c>
      <c r="M458" s="654" t="str">
        <f t="shared" si="202"/>
        <v>REV. ASSURANCES NEUF</v>
      </c>
      <c r="N458" s="655">
        <f>+IF(OR($Q458=Parametres!$G$2,$Q458=Parametres!$G$3),I458,C458)</f>
        <v>-7544.47</v>
      </c>
      <c r="O458" s="655">
        <f>+IF(OR($Q458=Parametres!$G$2,$Q458=Parametres!$G$3),J458,D458)</f>
        <v>0</v>
      </c>
      <c r="P458" s="655">
        <f>+IF(OR($Q458=Parametres!$G$2,$Q458=Parametres!$G$3),K458,E458)</f>
        <v>-7544.47</v>
      </c>
      <c r="Q458" s="654" t="str">
        <f t="shared" si="203"/>
        <v>8-Autres revenus</v>
      </c>
      <c r="R458" s="653" t="str">
        <f t="shared" si="204"/>
        <v>9161</v>
      </c>
      <c r="S458" s="654">
        <f t="shared" si="205"/>
        <v>0</v>
      </c>
      <c r="T458" s="656" t="str">
        <f>+VLOOKUP($L458,Data_Validation!$A:$D,1,0)</f>
        <v>9165</v>
      </c>
      <c r="U458" s="656" t="str">
        <f>+VLOOKUP($L458,Data_Validation!$A:$D,3,0)</f>
        <v>Véhicules neufs</v>
      </c>
      <c r="V458" s="656" t="str">
        <f>+VLOOKUP($L458,Data_Validation!$A:$D,4,0)</f>
        <v>Rev. Autres</v>
      </c>
      <c r="W458" s="656" t="str">
        <f>+VLOOKUP($L458,Data_Validation!$A:$E,5,0)</f>
        <v>$</v>
      </c>
      <c r="X458" s="656" t="str">
        <f>+VLOOKUP($L458,Data_Validation!$A:$F,6,0)</f>
        <v>Oui</v>
      </c>
    </row>
    <row r="459" spans="1:24" ht="15.75" hidden="1" customHeight="1">
      <c r="A459" s="1213" t="s">
        <v>1298</v>
      </c>
      <c r="B459" s="1213" t="s">
        <v>2766</v>
      </c>
      <c r="C459" s="1215">
        <v>-9821.3799999999992</v>
      </c>
      <c r="D459" s="1215">
        <v>0</v>
      </c>
      <c r="E459" s="1215">
        <v>-9821.3799999999992</v>
      </c>
      <c r="F459" s="1213" t="s">
        <v>1285</v>
      </c>
      <c r="G459" s="1213" t="s">
        <v>1295</v>
      </c>
      <c r="H459" s="1209"/>
      <c r="I459" s="1209"/>
      <c r="J459" s="1209"/>
      <c r="K459" s="1209"/>
      <c r="L459" s="653" t="str">
        <f t="shared" si="201"/>
        <v>9167</v>
      </c>
      <c r="M459" s="654" t="str">
        <f t="shared" si="202"/>
        <v>REV ASSURANCE USAGE</v>
      </c>
      <c r="N459" s="655">
        <f>+IF(OR($Q459=Parametres!$G$2,$Q459=Parametres!$G$3),I459,C459)</f>
        <v>-9821.3799999999992</v>
      </c>
      <c r="O459" s="655">
        <f>+IF(OR($Q459=Parametres!$G$2,$Q459=Parametres!$G$3),J459,D459)</f>
        <v>0</v>
      </c>
      <c r="P459" s="655">
        <f>+IF(OR($Q459=Parametres!$G$2,$Q459=Parametres!$G$3),K459,E459)</f>
        <v>-9821.3799999999992</v>
      </c>
      <c r="Q459" s="654" t="str">
        <f t="shared" si="203"/>
        <v>8-Autres revenus</v>
      </c>
      <c r="R459" s="653" t="str">
        <f t="shared" si="204"/>
        <v>9163</v>
      </c>
      <c r="S459" s="654">
        <f t="shared" si="205"/>
        <v>0</v>
      </c>
      <c r="T459" s="656" t="str">
        <f>+VLOOKUP($L459,Data_Validation!$A:$D,1,0)</f>
        <v>9167</v>
      </c>
      <c r="U459" s="656" t="str">
        <f>+VLOOKUP($L459,Data_Validation!$A:$D,3,0)</f>
        <v>Véhicules usagés</v>
      </c>
      <c r="V459" s="656" t="str">
        <f>+VLOOKUP($L459,Data_Validation!$A:$D,4,0)</f>
        <v>Rev. Autres</v>
      </c>
      <c r="W459" s="656" t="str">
        <f>+VLOOKUP($L459,Data_Validation!$A:$E,5,0)</f>
        <v>$</v>
      </c>
      <c r="X459" s="656" t="str">
        <f>+VLOOKUP($L459,Data_Validation!$A:$F,6,0)</f>
        <v>Oui</v>
      </c>
    </row>
    <row r="460" spans="1:24" ht="15.75" hidden="1" customHeight="1">
      <c r="A460" s="1213" t="s">
        <v>1301</v>
      </c>
      <c r="B460" s="1213" t="s">
        <v>2769</v>
      </c>
      <c r="C460" s="1215">
        <v>-120256</v>
      </c>
      <c r="D460" s="1215">
        <v>-10500</v>
      </c>
      <c r="E460" s="1215">
        <v>-130756</v>
      </c>
      <c r="F460" s="1213" t="s">
        <v>1285</v>
      </c>
      <c r="G460" s="1213" t="s">
        <v>1291</v>
      </c>
      <c r="H460" s="1209"/>
      <c r="I460" s="1209"/>
      <c r="J460" s="1209"/>
      <c r="K460" s="1209"/>
      <c r="L460" s="653" t="str">
        <f t="shared" si="201"/>
        <v>9169</v>
      </c>
      <c r="M460" s="654" t="str">
        <f t="shared" si="202"/>
        <v>REV GARANTIE PROLONGEE NEUF</v>
      </c>
      <c r="N460" s="655">
        <f>+IF(OR($Q460=Parametres!$G$2,$Q460=Parametres!$G$3),I460,C460)</f>
        <v>-120256</v>
      </c>
      <c r="O460" s="655">
        <f>+IF(OR($Q460=Parametres!$G$2,$Q460=Parametres!$G$3),J460,D460)</f>
        <v>-10500</v>
      </c>
      <c r="P460" s="655">
        <f>+IF(OR($Q460=Parametres!$G$2,$Q460=Parametres!$G$3),K460,E460)</f>
        <v>-130756</v>
      </c>
      <c r="Q460" s="654" t="str">
        <f t="shared" si="203"/>
        <v>8-Autres revenus</v>
      </c>
      <c r="R460" s="653" t="str">
        <f t="shared" si="204"/>
        <v>9161</v>
      </c>
      <c r="S460" s="654">
        <f t="shared" si="205"/>
        <v>0</v>
      </c>
      <c r="T460" s="656" t="str">
        <f>+VLOOKUP($L460,Data_Validation!$A:$D,1,0)</f>
        <v>9169</v>
      </c>
      <c r="U460" s="656" t="str">
        <f>+VLOOKUP($L460,Data_Validation!$A:$D,3,0)</f>
        <v>Véhicules neufs</v>
      </c>
      <c r="V460" s="656" t="str">
        <f>+VLOOKUP($L460,Data_Validation!$A:$D,4,0)</f>
        <v>Rev. Protections</v>
      </c>
      <c r="W460" s="656" t="str">
        <f>+VLOOKUP($L460,Data_Validation!$A:$E,5,0)</f>
        <v>$</v>
      </c>
      <c r="X460" s="656" t="str">
        <f>+VLOOKUP($L460,Data_Validation!$A:$F,6,0)</f>
        <v>Oui</v>
      </c>
    </row>
    <row r="461" spans="1:24" ht="15.75" hidden="1" customHeight="1">
      <c r="A461" s="1213" t="s">
        <v>1302</v>
      </c>
      <c r="B461" s="1213" t="s">
        <v>2772</v>
      </c>
      <c r="C461" s="1215">
        <v>-464390.75</v>
      </c>
      <c r="D461" s="1215">
        <v>-34038.339999999997</v>
      </c>
      <c r="E461" s="1215">
        <v>-498429.09</v>
      </c>
      <c r="F461" s="1213" t="s">
        <v>1285</v>
      </c>
      <c r="G461" s="1213" t="s">
        <v>1291</v>
      </c>
      <c r="H461" s="1209"/>
      <c r="I461" s="1209"/>
      <c r="J461" s="1209"/>
      <c r="K461" s="1209"/>
      <c r="L461" s="653" t="str">
        <f t="shared" si="201"/>
        <v>9170</v>
      </c>
      <c r="M461" s="654" t="str">
        <f t="shared" si="202"/>
        <v>PROFIT PROTECTIONS - NEUFS</v>
      </c>
      <c r="N461" s="655">
        <f>+IF(OR($Q461=Parametres!$G$2,$Q461=Parametres!$G$3),I461,C461)</f>
        <v>-464390.75</v>
      </c>
      <c r="O461" s="655">
        <f>+IF(OR($Q461=Parametres!$G$2,$Q461=Parametres!$G$3),J461,D461)</f>
        <v>-34038.339999999997</v>
      </c>
      <c r="P461" s="655">
        <f>+IF(OR($Q461=Parametres!$G$2,$Q461=Parametres!$G$3),K461,E461)</f>
        <v>-498429.09</v>
      </c>
      <c r="Q461" s="654" t="str">
        <f t="shared" si="203"/>
        <v>8-Autres revenus</v>
      </c>
      <c r="R461" s="653" t="str">
        <f t="shared" si="204"/>
        <v>9161</v>
      </c>
      <c r="S461" s="654">
        <f t="shared" si="205"/>
        <v>0</v>
      </c>
      <c r="T461" s="656" t="str">
        <f>+VLOOKUP($L461,Data_Validation!$A:$D,1,0)</f>
        <v>9170</v>
      </c>
      <c r="U461" s="656" t="str">
        <f>+VLOOKUP($L461,Data_Validation!$A:$D,3,0)</f>
        <v>Véhicules neufs</v>
      </c>
      <c r="V461" s="656" t="str">
        <f>+VLOOKUP($L461,Data_Validation!$A:$D,4,0)</f>
        <v>Rev. Protections</v>
      </c>
      <c r="W461" s="656" t="str">
        <f>+VLOOKUP($L461,Data_Validation!$A:$E,5,0)</f>
        <v>$</v>
      </c>
      <c r="X461" s="656" t="str">
        <f>+VLOOKUP($L461,Data_Validation!$A:$F,6,0)</f>
        <v>Oui</v>
      </c>
    </row>
    <row r="462" spans="1:24" ht="15.75" hidden="1" customHeight="1">
      <c r="A462" s="1213" t="s">
        <v>1303</v>
      </c>
      <c r="B462" s="1213" t="s">
        <v>2775</v>
      </c>
      <c r="C462" s="1215">
        <v>-294705.89</v>
      </c>
      <c r="D462" s="1215">
        <v>-20535</v>
      </c>
      <c r="E462" s="1215">
        <v>-315240.89</v>
      </c>
      <c r="F462" s="1213" t="s">
        <v>1285</v>
      </c>
      <c r="G462" s="1213" t="s">
        <v>1295</v>
      </c>
      <c r="H462" s="1209"/>
      <c r="I462" s="1209"/>
      <c r="J462" s="1209"/>
      <c r="K462" s="1209"/>
      <c r="L462" s="653" t="str">
        <f t="shared" si="201"/>
        <v>9171</v>
      </c>
      <c r="M462" s="654" t="str">
        <f t="shared" si="202"/>
        <v>REV GARANTIE PROLONGEE USAGE</v>
      </c>
      <c r="N462" s="655">
        <f>+IF(OR($Q462=Parametres!$G$2,$Q462=Parametres!$G$3),I462,C462)</f>
        <v>-294705.89</v>
      </c>
      <c r="O462" s="655">
        <f>+IF(OR($Q462=Parametres!$G$2,$Q462=Parametres!$G$3),J462,D462)</f>
        <v>-20535</v>
      </c>
      <c r="P462" s="655">
        <f>+IF(OR($Q462=Parametres!$G$2,$Q462=Parametres!$G$3),K462,E462)</f>
        <v>-315240.89</v>
      </c>
      <c r="Q462" s="654" t="str">
        <f t="shared" si="203"/>
        <v>8-Autres revenus</v>
      </c>
      <c r="R462" s="653" t="str">
        <f t="shared" si="204"/>
        <v>9163</v>
      </c>
      <c r="S462" s="654">
        <f t="shared" si="205"/>
        <v>0</v>
      </c>
      <c r="T462" s="656" t="str">
        <f>+VLOOKUP($L462,Data_Validation!$A:$D,1,0)</f>
        <v>9171</v>
      </c>
      <c r="U462" s="656" t="str">
        <f>+VLOOKUP($L462,Data_Validation!$A:$D,3,0)</f>
        <v>Véhicules usagés</v>
      </c>
      <c r="V462" s="656" t="str">
        <f>+VLOOKUP($L462,Data_Validation!$A:$D,4,0)</f>
        <v>Rev. Protections</v>
      </c>
      <c r="W462" s="656" t="str">
        <f>+VLOOKUP($L462,Data_Validation!$A:$E,5,0)</f>
        <v>$</v>
      </c>
      <c r="X462" s="656" t="str">
        <f>+VLOOKUP($L462,Data_Validation!$A:$F,6,0)</f>
        <v>Oui</v>
      </c>
    </row>
    <row r="463" spans="1:24" ht="15.75" hidden="1" customHeight="1">
      <c r="A463" s="1213" t="s">
        <v>1306</v>
      </c>
      <c r="B463" s="1213" t="s">
        <v>2778</v>
      </c>
      <c r="C463" s="1215">
        <v>-140112.67000000001</v>
      </c>
      <c r="D463" s="1215">
        <v>-7828.39</v>
      </c>
      <c r="E463" s="1215">
        <v>-147941.06</v>
      </c>
      <c r="F463" s="1213" t="s">
        <v>1285</v>
      </c>
      <c r="G463" s="1213" t="s">
        <v>1295</v>
      </c>
      <c r="H463" s="1209"/>
      <c r="I463" s="1209"/>
      <c r="J463" s="1209"/>
      <c r="K463" s="1209"/>
      <c r="L463" s="653" t="str">
        <f t="shared" si="201"/>
        <v>9172</v>
      </c>
      <c r="M463" s="654" t="str">
        <f t="shared" si="202"/>
        <v>PROFIT PROTECTIONS - USAGES</v>
      </c>
      <c r="N463" s="655">
        <f>+IF(OR($Q463=Parametres!$G$2,$Q463=Parametres!$G$3),I463,C463)</f>
        <v>-140112.67000000001</v>
      </c>
      <c r="O463" s="655">
        <f>+IF(OR($Q463=Parametres!$G$2,$Q463=Parametres!$G$3),J463,D463)</f>
        <v>-7828.39</v>
      </c>
      <c r="P463" s="655">
        <f>+IF(OR($Q463=Parametres!$G$2,$Q463=Parametres!$G$3),K463,E463)</f>
        <v>-147941.06</v>
      </c>
      <c r="Q463" s="654" t="str">
        <f t="shared" si="203"/>
        <v>8-Autres revenus</v>
      </c>
      <c r="R463" s="653" t="str">
        <f t="shared" si="204"/>
        <v>9163</v>
      </c>
      <c r="S463" s="654">
        <f t="shared" si="205"/>
        <v>0</v>
      </c>
      <c r="T463" s="656" t="str">
        <f>+VLOOKUP($L463,Data_Validation!$A:$D,1,0)</f>
        <v>9172</v>
      </c>
      <c r="U463" s="656" t="str">
        <f>+VLOOKUP($L463,Data_Validation!$A:$D,3,0)</f>
        <v>Véhicules usagés</v>
      </c>
      <c r="V463" s="656" t="str">
        <f>+VLOOKUP($L463,Data_Validation!$A:$D,4,0)</f>
        <v>Rev. Protections</v>
      </c>
      <c r="W463" s="656" t="str">
        <f>+VLOOKUP($L463,Data_Validation!$A:$E,5,0)</f>
        <v>$</v>
      </c>
      <c r="X463" s="656" t="str">
        <f>+VLOOKUP($L463,Data_Validation!$A:$F,6,0)</f>
        <v>Oui</v>
      </c>
    </row>
    <row r="464" spans="1:24" ht="15.75" hidden="1" customHeight="1">
      <c r="A464" s="1213" t="s">
        <v>1309</v>
      </c>
      <c r="B464" s="1213" t="s">
        <v>2781</v>
      </c>
      <c r="C464" s="1215">
        <v>-313965.5</v>
      </c>
      <c r="D464" s="1215">
        <v>-16497</v>
      </c>
      <c r="E464" s="1215">
        <v>-330462.5</v>
      </c>
      <c r="F464" s="1213" t="s">
        <v>1285</v>
      </c>
      <c r="G464" s="1213" t="s">
        <v>1310</v>
      </c>
      <c r="H464" s="1209"/>
      <c r="I464" s="1210"/>
      <c r="J464" s="1210"/>
      <c r="K464" s="1210"/>
      <c r="L464" s="653" t="str">
        <f t="shared" si="201"/>
        <v>9173</v>
      </c>
      <c r="M464" s="654" t="str">
        <f t="shared" si="202"/>
        <v>FRAIS ADMIN. VOLKS</v>
      </c>
      <c r="N464" s="655">
        <f>+IF(OR($Q464=Parametres!$G$2,$Q464=Parametres!$G$3),I464,C464)</f>
        <v>-313965.5</v>
      </c>
      <c r="O464" s="655">
        <f>+IF(OR($Q464=Parametres!$G$2,$Q464=Parametres!$G$3),J464,D464)</f>
        <v>-16497</v>
      </c>
      <c r="P464" s="655">
        <f>+IF(OR($Q464=Parametres!$G$2,$Q464=Parametres!$G$3),K464,E464)</f>
        <v>-330462.5</v>
      </c>
      <c r="Q464" s="654" t="str">
        <f t="shared" si="203"/>
        <v>8-Autres revenus</v>
      </c>
      <c r="R464" s="653" t="str">
        <f t="shared" si="204"/>
        <v>9191</v>
      </c>
      <c r="S464" s="654">
        <f t="shared" si="205"/>
        <v>0</v>
      </c>
      <c r="T464" s="656" t="str">
        <f>+VLOOKUP($L464,Data_Validation!$A:$D,1,0)</f>
        <v>9173</v>
      </c>
      <c r="U464" s="656" t="str">
        <f>+VLOOKUP($L464,Data_Validation!$A:$D,3,0)</f>
        <v>Véhicules neufs</v>
      </c>
      <c r="V464" s="656" t="str">
        <f>+VLOOKUP($L464,Data_Validation!$A:$D,4,0)</f>
        <v>Frais administration</v>
      </c>
      <c r="W464" s="656" t="str">
        <f>+VLOOKUP($L464,Data_Validation!$A:$E,5,0)</f>
        <v>$</v>
      </c>
      <c r="X464" s="656">
        <f>+VLOOKUP($L464,Data_Validation!$A:$F,6,0)</f>
        <v>0</v>
      </c>
    </row>
    <row r="465" spans="1:24" ht="15.75" hidden="1" customHeight="1">
      <c r="A465" s="1213" t="s">
        <v>1311</v>
      </c>
      <c r="B465" s="1213" t="s">
        <v>3405</v>
      </c>
      <c r="C465" s="1215">
        <v>-120748</v>
      </c>
      <c r="D465" s="1215">
        <v>-8727</v>
      </c>
      <c r="E465" s="1215">
        <v>-129475</v>
      </c>
      <c r="F465" s="1213" t="s">
        <v>1285</v>
      </c>
      <c r="G465" s="1213" t="s">
        <v>1310</v>
      </c>
      <c r="H465" s="1214"/>
      <c r="I465" s="1214"/>
      <c r="J465" s="1214"/>
      <c r="K465" s="1214"/>
      <c r="L465" s="653" t="str">
        <f t="shared" si="201"/>
        <v>9174</v>
      </c>
      <c r="M465" s="654" t="str">
        <f t="shared" si="202"/>
        <v>FRAIS ADMIN. VW USAGE</v>
      </c>
      <c r="N465" s="655">
        <f>+IF(OR($Q465=Parametres!$G$2,$Q465=Parametres!$G$3),I465,C465)</f>
        <v>-120748</v>
      </c>
      <c r="O465" s="655">
        <f>+IF(OR($Q465=Parametres!$G$2,$Q465=Parametres!$G$3),J465,D465)</f>
        <v>-8727</v>
      </c>
      <c r="P465" s="655">
        <f>+IF(OR($Q465=Parametres!$G$2,$Q465=Parametres!$G$3),K465,E465)</f>
        <v>-129475</v>
      </c>
      <c r="Q465" s="654" t="str">
        <f t="shared" si="203"/>
        <v>8-Autres revenus</v>
      </c>
      <c r="R465" s="653" t="str">
        <f t="shared" si="204"/>
        <v>9191</v>
      </c>
      <c r="S465" s="654">
        <f t="shared" si="205"/>
        <v>0</v>
      </c>
      <c r="T465" s="656" t="str">
        <f>+VLOOKUP($L465,Data_Validation!$A:$D,1,0)</f>
        <v>9174</v>
      </c>
      <c r="U465" s="656" t="str">
        <f>+VLOOKUP($L465,Data_Validation!$A:$D,3,0)</f>
        <v>Véhicules usagés</v>
      </c>
      <c r="V465" s="656" t="str">
        <f>+VLOOKUP($L465,Data_Validation!$A:$D,4,0)</f>
        <v>Frais administration</v>
      </c>
      <c r="W465" s="656" t="str">
        <f>+VLOOKUP($L465,Data_Validation!$A:$E,5,0)</f>
        <v>$</v>
      </c>
      <c r="X465" s="656">
        <f>+VLOOKUP($L465,Data_Validation!$A:$F,6,0)</f>
        <v>0</v>
      </c>
    </row>
    <row r="466" spans="1:24" ht="15.75" hidden="1" customHeight="1">
      <c r="A466" s="1213" t="s">
        <v>1312</v>
      </c>
      <c r="B466" s="1213" t="s">
        <v>1310</v>
      </c>
      <c r="C466" s="1215">
        <v>-169435.4</v>
      </c>
      <c r="D466" s="1215">
        <v>-13962.82</v>
      </c>
      <c r="E466" s="1215">
        <v>-183398.22</v>
      </c>
      <c r="F466" s="1213" t="s">
        <v>1285</v>
      </c>
      <c r="G466" s="1213" t="s">
        <v>1310</v>
      </c>
      <c r="H466" s="1214"/>
      <c r="I466" s="1214"/>
      <c r="J466" s="1214"/>
      <c r="K466" s="1214"/>
      <c r="L466" s="653" t="str">
        <f t="shared" si="201"/>
        <v>9191</v>
      </c>
      <c r="M466" s="654" t="str">
        <f t="shared" si="202"/>
        <v>REVENUS DIVERS</v>
      </c>
      <c r="N466" s="655">
        <f>+IF(OR($Q466=Parametres!$G$2,$Q466=Parametres!$G$3),I466,C466)</f>
        <v>-169435.4</v>
      </c>
      <c r="O466" s="655">
        <f>+IF(OR($Q466=Parametres!$G$2,$Q466=Parametres!$G$3),J466,D466)</f>
        <v>-13962.82</v>
      </c>
      <c r="P466" s="655">
        <f>+IF(OR($Q466=Parametres!$G$2,$Q466=Parametres!$G$3),K466,E466)</f>
        <v>-183398.22</v>
      </c>
      <c r="Q466" s="654" t="str">
        <f t="shared" si="203"/>
        <v>8-Autres revenus</v>
      </c>
      <c r="R466" s="653" t="str">
        <f t="shared" si="204"/>
        <v>9191</v>
      </c>
      <c r="S466" s="654">
        <f t="shared" si="205"/>
        <v>0</v>
      </c>
      <c r="T466" s="656" t="str">
        <f>+VLOOKUP($L466,Data_Validation!$A:$D,1,0)</f>
        <v>9191</v>
      </c>
      <c r="U466" s="656" t="str">
        <f>+VLOOKUP($L466,Data_Validation!$A:$D,3,0)</f>
        <v>TOTAL  DES  REVENUS  ET  DÉPENSES</v>
      </c>
      <c r="V466" s="656" t="str">
        <f>+VLOOKUP($L466,Data_Validation!$A:$D,4,0)</f>
        <v>Revenus autres</v>
      </c>
      <c r="W466" s="656" t="str">
        <f>+VLOOKUP($L466,Data_Validation!$A:$E,5,0)</f>
        <v>$</v>
      </c>
      <c r="X466" s="656">
        <f>+VLOOKUP($L466,Data_Validation!$A:$F,6,0)</f>
        <v>0</v>
      </c>
    </row>
    <row r="467" spans="1:24" ht="15.75" hidden="1" customHeight="1">
      <c r="A467" s="1213" t="s">
        <v>1313</v>
      </c>
      <c r="B467" s="1213" t="s">
        <v>1315</v>
      </c>
      <c r="C467" s="1215">
        <v>-1916.75</v>
      </c>
      <c r="D467" s="1215">
        <v>0</v>
      </c>
      <c r="E467" s="1215">
        <v>-1916.75</v>
      </c>
      <c r="F467" s="1213" t="s">
        <v>1314</v>
      </c>
      <c r="G467" s="1213" t="s">
        <v>1315</v>
      </c>
      <c r="H467" s="1214"/>
      <c r="I467" s="1214"/>
      <c r="J467" s="1214"/>
      <c r="K467" s="1214"/>
      <c r="L467" s="653" t="str">
        <f t="shared" ref="L467:L474" si="206">TEXT(B467,0)</f>
        <v>9402</v>
      </c>
      <c r="M467" s="654" t="str">
        <f t="shared" ref="M467:M474" si="207">+A467</f>
        <v>DEPENSE D'INTERETS</v>
      </c>
      <c r="N467" s="655">
        <f>+IF(OR($Q467=Parametres!$G$2,$Q467=Parametres!$G$3),I467,C467)</f>
        <v>-1916.75</v>
      </c>
      <c r="O467" s="655">
        <f>+IF(OR($Q467=Parametres!$G$2,$Q467=Parametres!$G$3),J467,D467)</f>
        <v>0</v>
      </c>
      <c r="P467" s="655">
        <f>+IF(OR($Q467=Parametres!$G$2,$Q467=Parametres!$G$3),K467,E467)</f>
        <v>-1916.75</v>
      </c>
      <c r="Q467" s="654" t="str">
        <f t="shared" ref="Q467:Q474" si="208">+F467</f>
        <v>9-Autres déductions</v>
      </c>
      <c r="R467" s="653" t="str">
        <f t="shared" ref="R467:R474" si="209">+G467</f>
        <v>9402</v>
      </c>
      <c r="S467" s="654">
        <f t="shared" ref="S467:S474" si="210">+H467</f>
        <v>0</v>
      </c>
      <c r="T467" s="656" t="str">
        <f>+VLOOKUP($L467,Data_Validation!$A:$D,1,0)</f>
        <v>9402</v>
      </c>
      <c r="U467" s="656" t="str">
        <f>+VLOOKUP($L467,Data_Validation!$A:$D,3,0)</f>
        <v>TOTAL  DES  REVENUS  ET  DÉPENSES</v>
      </c>
      <c r="V467" s="656" t="str">
        <f>+VLOOKUP($L467,Data_Validation!$A:$D,4,0)</f>
        <v>Intérêts sur prêt</v>
      </c>
      <c r="W467" s="656" t="str">
        <f>+VLOOKUP($L467,Data_Validation!$A:$E,5,0)</f>
        <v>$</v>
      </c>
      <c r="X467" s="656">
        <f>+VLOOKUP($L467,Data_Validation!$A:$F,6,0)</f>
        <v>0</v>
      </c>
    </row>
    <row r="468" spans="1:24" ht="15.75" hidden="1" customHeight="1">
      <c r="A468" s="1213" t="s">
        <v>3900</v>
      </c>
      <c r="B468" s="1213" t="s">
        <v>3901</v>
      </c>
      <c r="C468" s="1215">
        <v>-38127.589999999997</v>
      </c>
      <c r="D468" s="1215">
        <v>-1207.6500000000001</v>
      </c>
      <c r="E468" s="1215">
        <v>-39335.24</v>
      </c>
      <c r="F468" s="1213" t="s">
        <v>1314</v>
      </c>
      <c r="G468" s="1213" t="s">
        <v>3938</v>
      </c>
      <c r="H468" s="1214"/>
      <c r="I468" s="1214"/>
      <c r="J468" s="1214"/>
      <c r="K468" s="1214"/>
      <c r="L468" s="653" t="str">
        <f t="shared" si="206"/>
        <v>9405</v>
      </c>
      <c r="M468" s="654" t="str">
        <f t="shared" si="207"/>
        <v>Revenus d'interets floor plan</v>
      </c>
      <c r="N468" s="655">
        <f>+IF(OR($Q468=Parametres!$G$2,$Q468=Parametres!$G$3),I468,C468)</f>
        <v>-38127.589999999997</v>
      </c>
      <c r="O468" s="655">
        <f>+IF(OR($Q468=Parametres!$G$2,$Q468=Parametres!$G$3),J468,D468)</f>
        <v>-1207.6500000000001</v>
      </c>
      <c r="P468" s="655">
        <f>+IF(OR($Q468=Parametres!$G$2,$Q468=Parametres!$G$3),K468,E468)</f>
        <v>-39335.24</v>
      </c>
      <c r="Q468" s="654" t="str">
        <f t="shared" si="208"/>
        <v>9-Autres déductions</v>
      </c>
      <c r="R468" s="653" t="str">
        <f t="shared" si="209"/>
        <v>940</v>
      </c>
      <c r="S468" s="654">
        <f t="shared" si="210"/>
        <v>0</v>
      </c>
      <c r="T468" s="656" t="str">
        <f>+VLOOKUP($L468,Data_Validation!$A:$D,1,0)</f>
        <v>9405</v>
      </c>
      <c r="U468" s="656" t="str">
        <f>+VLOOKUP($L468,Data_Validation!$A:$D,3,0)</f>
        <v>Autres</v>
      </c>
      <c r="V468" s="656" t="str">
        <f>+VLOOKUP($L468,Data_Validation!$A:$D,4,0)</f>
        <v>Revenus d'intérêts floor plan</v>
      </c>
      <c r="W468" s="656" t="str">
        <f>+VLOOKUP($L468,Data_Validation!$A:$E,5,0)</f>
        <v>$</v>
      </c>
      <c r="X468" s="656">
        <f>+VLOOKUP($L468,Data_Validation!$A:$F,6,0)</f>
        <v>0</v>
      </c>
    </row>
    <row r="469" spans="1:24" ht="15.75" hidden="1" customHeight="1">
      <c r="A469" s="1213" t="s">
        <v>1299</v>
      </c>
      <c r="B469" s="1213" t="s">
        <v>1300</v>
      </c>
      <c r="C469" s="1214"/>
      <c r="D469" s="1214"/>
      <c r="E469" s="1214"/>
      <c r="F469" s="1213" t="s">
        <v>7</v>
      </c>
      <c r="G469" s="1213" t="s">
        <v>1295</v>
      </c>
      <c r="H469" s="1214"/>
      <c r="I469" s="1215">
        <v>-23</v>
      </c>
      <c r="J469" s="1215">
        <v>0</v>
      </c>
      <c r="K469" s="1215">
        <v>-23</v>
      </c>
      <c r="L469" s="653" t="str">
        <f t="shared" si="206"/>
        <v>9167@</v>
      </c>
      <c r="M469" s="654" t="str">
        <f t="shared" si="207"/>
        <v>ASSURANCE VIE USAGE</v>
      </c>
      <c r="N469" s="655">
        <f>+IF(OR($Q469=Parametres!$G$2,$Q469=Parametres!$G$3),I469,C469)</f>
        <v>-23</v>
      </c>
      <c r="O469" s="655">
        <f>+IF(OR($Q469=Parametres!$G$2,$Q469=Parametres!$G$3),J469,D469)</f>
        <v>0</v>
      </c>
      <c r="P469" s="655">
        <f>+IF(OR($Q469=Parametres!$G$2,$Q469=Parametres!$G$3),K469,E469)</f>
        <v>-23</v>
      </c>
      <c r="Q469" s="654" t="str">
        <f t="shared" si="208"/>
        <v>10-Compte compteur</v>
      </c>
      <c r="R469" s="653" t="str">
        <f t="shared" si="209"/>
        <v>9163</v>
      </c>
      <c r="S469" s="654">
        <f t="shared" si="210"/>
        <v>0</v>
      </c>
      <c r="T469" s="656" t="str">
        <f>+VLOOKUP($L469,Data_Validation!$A:$D,1,0)</f>
        <v>9167@</v>
      </c>
      <c r="U469" s="656" t="str">
        <f>+VLOOKUP($L469,Data_Validation!$A:$D,3,0)</f>
        <v>Véhicules usagés</v>
      </c>
      <c r="V469" s="656">
        <f>+VLOOKUP($L469,Data_Validation!$A:$D,4,0)</f>
        <v>0</v>
      </c>
      <c r="W469" s="656" t="str">
        <f>+VLOOKUP($L469,Data_Validation!$A:$E,5,0)</f>
        <v>NB</v>
      </c>
      <c r="X469" s="656">
        <f>+VLOOKUP($L469,Data_Validation!$A:$F,6,0)</f>
        <v>0</v>
      </c>
    </row>
    <row r="470" spans="1:24" ht="15.75" hidden="1" customHeight="1">
      <c r="A470" s="1213" t="s">
        <v>3346</v>
      </c>
      <c r="B470" s="1213" t="s">
        <v>3347</v>
      </c>
      <c r="C470" s="1214"/>
      <c r="D470" s="1214"/>
      <c r="E470" s="1214"/>
      <c r="F470" s="1213" t="s">
        <v>7</v>
      </c>
      <c r="G470" s="1213" t="s">
        <v>1291</v>
      </c>
      <c r="H470" s="1214"/>
      <c r="I470" s="1215">
        <v>-92</v>
      </c>
      <c r="J470" s="1215">
        <v>-7</v>
      </c>
      <c r="K470" s="1215">
        <v>-99</v>
      </c>
      <c r="L470" s="653" t="str">
        <f t="shared" si="206"/>
        <v>9169@</v>
      </c>
      <c r="M470" s="654" t="str">
        <f t="shared" si="207"/>
        <v>VENTES PEINTURE</v>
      </c>
      <c r="N470" s="655">
        <f>+IF(OR($Q470=Parametres!$G$2,$Q470=Parametres!$G$3),I470,C470)</f>
        <v>-92</v>
      </c>
      <c r="O470" s="655">
        <f>+IF(OR($Q470=Parametres!$G$2,$Q470=Parametres!$G$3),J470,D470)</f>
        <v>-7</v>
      </c>
      <c r="P470" s="655">
        <f>+IF(OR($Q470=Parametres!$G$2,$Q470=Parametres!$G$3),K470,E470)</f>
        <v>-99</v>
      </c>
      <c r="Q470" s="654" t="str">
        <f t="shared" si="208"/>
        <v>10-Compte compteur</v>
      </c>
      <c r="R470" s="653" t="str">
        <f t="shared" si="209"/>
        <v>9161</v>
      </c>
      <c r="S470" s="654">
        <f t="shared" si="210"/>
        <v>0</v>
      </c>
      <c r="T470" s="656" t="str">
        <f>+VLOOKUP($L470,Data_Validation!$A:$D,1,0)</f>
        <v>9169@</v>
      </c>
      <c r="U470" s="656">
        <f>+VLOOKUP($L470,Data_Validation!$A:$D,3,0)</f>
        <v>0</v>
      </c>
      <c r="V470" s="656">
        <f>+VLOOKUP($L470,Data_Validation!$A:$D,4,0)</f>
        <v>0</v>
      </c>
      <c r="W470" s="656" t="str">
        <f>+VLOOKUP($L470,Data_Validation!$A:$E,5,0)</f>
        <v>NB</v>
      </c>
      <c r="X470" s="656">
        <f>+VLOOKUP($L470,Data_Validation!$A:$F,6,0)</f>
        <v>0</v>
      </c>
    </row>
    <row r="471" spans="1:24" ht="15.75" hidden="1" customHeight="1">
      <c r="A471" s="1213" t="s">
        <v>1304</v>
      </c>
      <c r="B471" s="1213" t="s">
        <v>1305</v>
      </c>
      <c r="C471" s="1214"/>
      <c r="D471" s="1214"/>
      <c r="E471" s="1214"/>
      <c r="F471" s="1213" t="s">
        <v>7</v>
      </c>
      <c r="G471" s="1213" t="s">
        <v>1295</v>
      </c>
      <c r="H471" s="1214"/>
      <c r="I471" s="1215">
        <v>-188</v>
      </c>
      <c r="J471" s="1215">
        <v>-11</v>
      </c>
      <c r="K471" s="1215">
        <v>-199</v>
      </c>
      <c r="L471" s="653" t="str">
        <f t="shared" si="206"/>
        <v>9171@</v>
      </c>
      <c r="M471" s="654" t="str">
        <f t="shared" si="207"/>
        <v>VENTE CHIMIQUE USAGE</v>
      </c>
      <c r="N471" s="655">
        <f>+IF(OR($Q471=Parametres!$G$2,$Q471=Parametres!$G$3),I471,C471)</f>
        <v>-188</v>
      </c>
      <c r="O471" s="655">
        <f>+IF(OR($Q471=Parametres!$G$2,$Q471=Parametres!$G$3),J471,D471)</f>
        <v>-11</v>
      </c>
      <c r="P471" s="655">
        <f>+IF(OR($Q471=Parametres!$G$2,$Q471=Parametres!$G$3),K471,E471)</f>
        <v>-199</v>
      </c>
      <c r="Q471" s="654" t="str">
        <f t="shared" si="208"/>
        <v>10-Compte compteur</v>
      </c>
      <c r="R471" s="653" t="str">
        <f t="shared" si="209"/>
        <v>9163</v>
      </c>
      <c r="S471" s="654">
        <f t="shared" si="210"/>
        <v>0</v>
      </c>
      <c r="T471" s="656" t="str">
        <f>+VLOOKUP($L471,Data_Validation!$A:$D,1,0)</f>
        <v>9171@</v>
      </c>
      <c r="U471" s="656" t="str">
        <f>+VLOOKUP($L471,Data_Validation!$A:$D,3,0)</f>
        <v>Véhicules usagés</v>
      </c>
      <c r="V471" s="656">
        <f>+VLOOKUP($L471,Data_Validation!$A:$D,4,0)</f>
        <v>0</v>
      </c>
      <c r="W471" s="656" t="str">
        <f>+VLOOKUP($L471,Data_Validation!$A:$E,5,0)</f>
        <v>NB</v>
      </c>
      <c r="X471" s="656">
        <f>+VLOOKUP($L471,Data_Validation!$A:$F,6,0)</f>
        <v>0</v>
      </c>
    </row>
    <row r="472" spans="1:24" ht="15.75" hidden="1" customHeight="1">
      <c r="A472" s="1213" t="s">
        <v>842</v>
      </c>
      <c r="B472" s="1213" t="s">
        <v>843</v>
      </c>
      <c r="C472" s="1214"/>
      <c r="D472" s="1214"/>
      <c r="E472" s="1214"/>
      <c r="F472" s="1213" t="s">
        <v>7</v>
      </c>
      <c r="G472" s="1213" t="s">
        <v>841</v>
      </c>
      <c r="H472" s="1214"/>
      <c r="I472" s="1215">
        <v>142</v>
      </c>
      <c r="J472" s="1215">
        <v>-21</v>
      </c>
      <c r="K472" s="1215">
        <v>121</v>
      </c>
      <c r="L472" s="653" t="str">
        <f t="shared" si="206"/>
        <v>1402@</v>
      </c>
      <c r="M472" s="654" t="str">
        <f t="shared" si="207"/>
        <v># DE INVENTAIRE VEH.NEUFS VW</v>
      </c>
      <c r="N472" s="655">
        <f>+IF(OR($Q472=Parametres!$G$2,$Q472=Parametres!$G$3),I472,C472)</f>
        <v>142</v>
      </c>
      <c r="O472" s="655">
        <f>+IF(OR($Q472=Parametres!$G$2,$Q472=Parametres!$G$3),J472,D472)</f>
        <v>-21</v>
      </c>
      <c r="P472" s="655">
        <f>+IF(OR($Q472=Parametres!$G$2,$Q472=Parametres!$G$3),K472,E472)</f>
        <v>121</v>
      </c>
      <c r="Q472" s="654" t="str">
        <f t="shared" si="208"/>
        <v>10-Compte compteur</v>
      </c>
      <c r="R472" s="653" t="str">
        <f t="shared" si="209"/>
        <v>1402</v>
      </c>
      <c r="S472" s="654">
        <f t="shared" si="210"/>
        <v>0</v>
      </c>
      <c r="T472" s="656" t="str">
        <f>+VLOOKUP($L472,Data_Validation!$A:$D,1,0)</f>
        <v>1402@</v>
      </c>
      <c r="U472" s="656" t="str">
        <f>+VLOOKUP($L472,Data_Validation!$A:$D,3,0)</f>
        <v>Bilan</v>
      </c>
      <c r="V472" s="656">
        <f>+VLOOKUP($L472,Data_Validation!$A:$D,4,0)</f>
        <v>0</v>
      </c>
      <c r="W472" s="656" t="str">
        <f>+VLOOKUP($L472,Data_Validation!$A:$E,5,0)</f>
        <v>NB</v>
      </c>
      <c r="X472" s="656">
        <f>+VLOOKUP($L472,Data_Validation!$A:$F,6,0)</f>
        <v>0</v>
      </c>
    </row>
    <row r="473" spans="1:24" ht="15.75" hidden="1" customHeight="1">
      <c r="A473" s="1213" t="s">
        <v>849</v>
      </c>
      <c r="B473" s="1213" t="s">
        <v>850</v>
      </c>
      <c r="C473" s="1214"/>
      <c r="D473" s="1214"/>
      <c r="E473" s="1214"/>
      <c r="F473" s="1213" t="s">
        <v>7</v>
      </c>
      <c r="G473" s="1213" t="s">
        <v>848</v>
      </c>
      <c r="H473" s="1214"/>
      <c r="I473" s="1215">
        <v>49</v>
      </c>
      <c r="J473" s="1215">
        <v>-11</v>
      </c>
      <c r="K473" s="1215">
        <v>38</v>
      </c>
      <c r="L473" s="653" t="str">
        <f t="shared" si="206"/>
        <v>1416@</v>
      </c>
      <c r="M473" s="654" t="str">
        <f t="shared" si="207"/>
        <v># DE INV. VEH. USAGE VW</v>
      </c>
      <c r="N473" s="655">
        <f>+IF(OR($Q473=Parametres!$G$2,$Q473=Parametres!$G$3),I473,C473)</f>
        <v>49</v>
      </c>
      <c r="O473" s="655">
        <f>+IF(OR($Q473=Parametres!$G$2,$Q473=Parametres!$G$3),J473,D473)</f>
        <v>-11</v>
      </c>
      <c r="P473" s="655">
        <f>+IF(OR($Q473=Parametres!$G$2,$Q473=Parametres!$G$3),K473,E473)</f>
        <v>38</v>
      </c>
      <c r="Q473" s="654" t="str">
        <f t="shared" si="208"/>
        <v>10-Compte compteur</v>
      </c>
      <c r="R473" s="653" t="str">
        <f t="shared" si="209"/>
        <v>1416</v>
      </c>
      <c r="S473" s="654">
        <f t="shared" si="210"/>
        <v>0</v>
      </c>
      <c r="T473" s="656" t="str">
        <f>+VLOOKUP($L473,Data_Validation!$A:$D,1,0)</f>
        <v>1416@</v>
      </c>
      <c r="U473" s="656" t="str">
        <f>+VLOOKUP($L473,Data_Validation!$A:$D,3,0)</f>
        <v>Bilan</v>
      </c>
      <c r="V473" s="656">
        <f>+VLOOKUP($L473,Data_Validation!$A:$D,4,0)</f>
        <v>0</v>
      </c>
      <c r="W473" s="656" t="str">
        <f>+VLOOKUP($L473,Data_Validation!$A:$E,5,0)</f>
        <v>NB</v>
      </c>
      <c r="X473" s="656">
        <f>+VLOOKUP($L473,Data_Validation!$A:$F,6,0)</f>
        <v>0</v>
      </c>
    </row>
    <row r="474" spans="1:24" ht="15.75" hidden="1" customHeight="1">
      <c r="A474" s="1213" t="s">
        <v>965</v>
      </c>
      <c r="B474" s="1213" t="s">
        <v>966</v>
      </c>
      <c r="C474" s="1214"/>
      <c r="D474" s="1214"/>
      <c r="E474" s="1214"/>
      <c r="F474" s="1213" t="s">
        <v>7</v>
      </c>
      <c r="G474" s="1213" t="s">
        <v>964</v>
      </c>
      <c r="H474" s="1214"/>
      <c r="I474" s="1215">
        <v>-147</v>
      </c>
      <c r="J474" s="1215">
        <v>-7</v>
      </c>
      <c r="K474" s="1215">
        <v>-154</v>
      </c>
      <c r="L474" s="653" t="str">
        <f t="shared" si="206"/>
        <v>4100@</v>
      </c>
      <c r="M474" s="654" t="str">
        <f t="shared" si="207"/>
        <v>RESERVE</v>
      </c>
      <c r="N474" s="655">
        <f>+IF(OR($Q474=Parametres!$G$2,$Q474=Parametres!$G$3),I474,C474)</f>
        <v>-147</v>
      </c>
      <c r="O474" s="655">
        <f>+IF(OR($Q474=Parametres!$G$2,$Q474=Parametres!$G$3),J474,D474)</f>
        <v>-7</v>
      </c>
      <c r="P474" s="655">
        <f>+IF(OR($Q474=Parametres!$G$2,$Q474=Parametres!$G$3),K474,E474)</f>
        <v>-154</v>
      </c>
      <c r="Q474" s="654" t="str">
        <f t="shared" si="208"/>
        <v>10-Compte compteur</v>
      </c>
      <c r="R474" s="653" t="str">
        <f t="shared" si="209"/>
        <v>4100</v>
      </c>
      <c r="S474" s="654">
        <f t="shared" si="210"/>
        <v>0</v>
      </c>
      <c r="T474" s="656" t="str">
        <f>+VLOOKUP($L474,Data_Validation!$A:$D,1,0)</f>
        <v>4100@</v>
      </c>
      <c r="U474" s="656" t="str">
        <f>+VLOOKUP($L474,Data_Validation!$A:$D,3,0)</f>
        <v>Véhicules neufs</v>
      </c>
      <c r="V474" s="656" t="str">
        <f>+VLOOKUP($L474,Data_Validation!$A:$D,4,0)</f>
        <v>Rachat bail</v>
      </c>
      <c r="W474" s="656" t="str">
        <f>+VLOOKUP($L474,Data_Validation!$A:$E,5,0)</f>
        <v>NB</v>
      </c>
      <c r="X474" s="656">
        <f>+VLOOKUP($L474,Data_Validation!$A:$F,6,0)</f>
        <v>0</v>
      </c>
    </row>
    <row r="475" spans="1:24" ht="15.75" hidden="1" customHeight="1">
      <c r="A475" s="1213" t="s">
        <v>969</v>
      </c>
      <c r="B475" s="1213" t="s">
        <v>970</v>
      </c>
      <c r="C475" s="1214"/>
      <c r="D475" s="1214"/>
      <c r="E475" s="1214"/>
      <c r="F475" s="1213" t="s">
        <v>7</v>
      </c>
      <c r="G475" s="1213" t="s">
        <v>968</v>
      </c>
      <c r="H475" s="1214"/>
      <c r="I475" s="1215">
        <v>-28</v>
      </c>
      <c r="J475" s="1215">
        <v>-1</v>
      </c>
      <c r="K475" s="1215">
        <v>-29</v>
      </c>
      <c r="L475" s="653" t="str">
        <f t="shared" ref="L475:L479" si="211">TEXT(B475,0)</f>
        <v>4109@</v>
      </c>
      <c r="M475" s="654" t="str">
        <f t="shared" ref="M475:M479" si="212">+A475</f>
        <v># DE VENTE - GOLF R</v>
      </c>
      <c r="N475" s="655">
        <f>+IF(OR($Q475=Parametres!$G$2,$Q475=Parametres!$G$3),I475,C475)</f>
        <v>-28</v>
      </c>
      <c r="O475" s="655">
        <f>+IF(OR($Q475=Parametres!$G$2,$Q475=Parametres!$G$3),J475,D475)</f>
        <v>-1</v>
      </c>
      <c r="P475" s="655">
        <f>+IF(OR($Q475=Parametres!$G$2,$Q475=Parametres!$G$3),K475,E475)</f>
        <v>-29</v>
      </c>
      <c r="Q475" s="654" t="str">
        <f t="shared" ref="Q475:Q479" si="213">+F475</f>
        <v>10-Compte compteur</v>
      </c>
      <c r="R475" s="653" t="str">
        <f t="shared" ref="R475:R479" si="214">+G475</f>
        <v>4109</v>
      </c>
      <c r="S475" s="654">
        <f t="shared" ref="S475:S479" si="215">+H475</f>
        <v>0</v>
      </c>
      <c r="T475" s="656" t="str">
        <f>+VLOOKUP($L475,Data_Validation!$A:$D,1,0)</f>
        <v>4109@</v>
      </c>
      <c r="U475" s="656" t="str">
        <f>+VLOOKUP($L475,Data_Validation!$A:$D,3,0)</f>
        <v>Véhicules neufs</v>
      </c>
      <c r="V475" s="656" t="str">
        <f>+VLOOKUP($L475,Data_Validation!$A:$D,4,0)</f>
        <v>Autos détail</v>
      </c>
      <c r="W475" s="656" t="str">
        <f>+VLOOKUP($L475,Data_Validation!$A:$E,5,0)</f>
        <v>NB</v>
      </c>
      <c r="X475" s="656">
        <f>+VLOOKUP($L475,Data_Validation!$A:$F,6,0)</f>
        <v>0</v>
      </c>
    </row>
    <row r="476" spans="1:24" ht="15.75" hidden="1" customHeight="1">
      <c r="A476" s="1213" t="s">
        <v>971</v>
      </c>
      <c r="B476" s="1213" t="s">
        <v>973</v>
      </c>
      <c r="C476" s="1214"/>
      <c r="D476" s="1214"/>
      <c r="E476" s="1214"/>
      <c r="F476" s="1213" t="s">
        <v>7</v>
      </c>
      <c r="G476" s="1213" t="s">
        <v>972</v>
      </c>
      <c r="H476" s="1214"/>
      <c r="I476" s="1215">
        <v>-71</v>
      </c>
      <c r="J476" s="1215">
        <v>-3</v>
      </c>
      <c r="K476" s="1215">
        <v>-74</v>
      </c>
      <c r="L476" s="653" t="str">
        <f t="shared" si="211"/>
        <v>4111@</v>
      </c>
      <c r="M476" s="654" t="str">
        <f t="shared" si="212"/>
        <v>JETTA/ JETTA GLI</v>
      </c>
      <c r="N476" s="655">
        <f>+IF(OR($Q476=Parametres!$G$2,$Q476=Parametres!$G$3),I476,C476)</f>
        <v>-71</v>
      </c>
      <c r="O476" s="655">
        <f>+IF(OR($Q476=Parametres!$G$2,$Q476=Parametres!$G$3),J476,D476)</f>
        <v>-3</v>
      </c>
      <c r="P476" s="655">
        <f>+IF(OR($Q476=Parametres!$G$2,$Q476=Parametres!$G$3),K476,E476)</f>
        <v>-74</v>
      </c>
      <c r="Q476" s="654" t="str">
        <f t="shared" si="213"/>
        <v>10-Compte compteur</v>
      </c>
      <c r="R476" s="653" t="str">
        <f t="shared" si="214"/>
        <v>4111</v>
      </c>
      <c r="S476" s="654">
        <f t="shared" si="215"/>
        <v>0</v>
      </c>
      <c r="T476" s="656" t="str">
        <f>+VLOOKUP($L476,Data_Validation!$A:$D,1,0)</f>
        <v>4111@</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hidden="1" customHeight="1">
      <c r="A477" s="1213" t="s">
        <v>976</v>
      </c>
      <c r="B477" s="1213" t="s">
        <v>977</v>
      </c>
      <c r="C477" s="1214"/>
      <c r="D477" s="1214"/>
      <c r="E477" s="1214"/>
      <c r="F477" s="1213" t="s">
        <v>7</v>
      </c>
      <c r="G477" s="1213" t="s">
        <v>978</v>
      </c>
      <c r="H477" s="1214"/>
      <c r="I477" s="1215">
        <v>-141</v>
      </c>
      <c r="J477" s="1215">
        <v>-5</v>
      </c>
      <c r="K477" s="1215">
        <v>-146</v>
      </c>
      <c r="L477" s="653" t="str">
        <f t="shared" si="211"/>
        <v>4118@</v>
      </c>
      <c r="M477" s="654" t="str">
        <f t="shared" si="212"/>
        <v>TAOS</v>
      </c>
      <c r="N477" s="655">
        <f>+IF(OR($Q477=Parametres!$G$2,$Q477=Parametres!$G$3),I477,C477)</f>
        <v>-141</v>
      </c>
      <c r="O477" s="655">
        <f>+IF(OR($Q477=Parametres!$G$2,$Q477=Parametres!$G$3),J477,D477)</f>
        <v>-5</v>
      </c>
      <c r="P477" s="655">
        <f>+IF(OR($Q477=Parametres!$G$2,$Q477=Parametres!$G$3),K477,E477)</f>
        <v>-146</v>
      </c>
      <c r="Q477" s="654" t="str">
        <f t="shared" si="213"/>
        <v>10-Compte compteur</v>
      </c>
      <c r="R477" s="653" t="str">
        <f t="shared" si="214"/>
        <v>411</v>
      </c>
      <c r="S477" s="654">
        <f t="shared" si="215"/>
        <v>0</v>
      </c>
      <c r="T477" s="656" t="str">
        <f>+VLOOKUP($L477,Data_Validation!$A:$D,1,0)</f>
        <v>4118@</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75" hidden="1" customHeight="1">
      <c r="A478" s="1213" t="s">
        <v>981</v>
      </c>
      <c r="B478" s="1213" t="s">
        <v>982</v>
      </c>
      <c r="C478" s="1214"/>
      <c r="D478" s="1214"/>
      <c r="E478" s="1214"/>
      <c r="F478" s="1213" t="s">
        <v>7</v>
      </c>
      <c r="G478" s="1213" t="s">
        <v>980</v>
      </c>
      <c r="H478" s="1214"/>
      <c r="I478" s="1215">
        <v>-67</v>
      </c>
      <c r="J478" s="1215">
        <v>-3</v>
      </c>
      <c r="K478" s="1215">
        <v>-70</v>
      </c>
      <c r="L478" s="653" t="str">
        <f t="shared" si="211"/>
        <v>4119@</v>
      </c>
      <c r="M478" s="654" t="str">
        <f t="shared" si="212"/>
        <v># DE VTE - ATLAS</v>
      </c>
      <c r="N478" s="655">
        <f>+IF(OR($Q478=Parametres!$G$2,$Q478=Parametres!$G$3),I478,C478)</f>
        <v>-67</v>
      </c>
      <c r="O478" s="655">
        <f>+IF(OR($Q478=Parametres!$G$2,$Q478=Parametres!$G$3),J478,D478)</f>
        <v>-3</v>
      </c>
      <c r="P478" s="655">
        <f>+IF(OR($Q478=Parametres!$G$2,$Q478=Parametres!$G$3),K478,E478)</f>
        <v>-70</v>
      </c>
      <c r="Q478" s="654" t="str">
        <f t="shared" si="213"/>
        <v>10-Compte compteur</v>
      </c>
      <c r="R478" s="653" t="str">
        <f t="shared" si="214"/>
        <v>4119</v>
      </c>
      <c r="S478" s="654">
        <f t="shared" si="215"/>
        <v>0</v>
      </c>
      <c r="T478" s="656" t="str">
        <f>+VLOOKUP($L478,Data_Validation!$A:$D,1,0)</f>
        <v>4119@</v>
      </c>
      <c r="U478" s="656" t="str">
        <f>+VLOOKUP($L478,Data_Validation!$A:$D,3,0)</f>
        <v>Véhicules neufs</v>
      </c>
      <c r="V478" s="656" t="str">
        <f>+VLOOKUP($L478,Data_Validation!$A:$D,4,0)</f>
        <v>Camions détail</v>
      </c>
      <c r="W478" s="656" t="str">
        <f>+VLOOKUP($L478,Data_Validation!$A:$E,5,0)</f>
        <v>NB</v>
      </c>
      <c r="X478" s="656">
        <f>+VLOOKUP($L478,Data_Validation!$A:$F,6,0)</f>
        <v>0</v>
      </c>
    </row>
    <row r="479" spans="1:24" ht="15.75" hidden="1" customHeight="1">
      <c r="A479" s="1213" t="s">
        <v>984</v>
      </c>
      <c r="B479" s="1213" t="s">
        <v>985</v>
      </c>
      <c r="C479" s="1214"/>
      <c r="D479" s="1214"/>
      <c r="E479" s="1214"/>
      <c r="F479" s="1213" t="s">
        <v>7</v>
      </c>
      <c r="G479" s="1213" t="s">
        <v>3350</v>
      </c>
      <c r="H479" s="1214"/>
      <c r="I479" s="1215">
        <v>-4</v>
      </c>
      <c r="J479" s="1215">
        <v>-1</v>
      </c>
      <c r="K479" s="1215">
        <v>-5</v>
      </c>
      <c r="L479" s="653" t="str">
        <f t="shared" si="211"/>
        <v>4121@</v>
      </c>
      <c r="M479" s="654" t="str">
        <f t="shared" si="212"/>
        <v># DE VTE - ATLAS CROSS SPORT</v>
      </c>
      <c r="N479" s="655">
        <f>+IF(OR($Q479=Parametres!$G$2,$Q479=Parametres!$G$3),I479,C479)</f>
        <v>-4</v>
      </c>
      <c r="O479" s="655">
        <f>+IF(OR($Q479=Parametres!$G$2,$Q479=Parametres!$G$3),J479,D479)</f>
        <v>-1</v>
      </c>
      <c r="P479" s="655">
        <f>+IF(OR($Q479=Parametres!$G$2,$Q479=Parametres!$G$3),K479,E479)</f>
        <v>-5</v>
      </c>
      <c r="Q479" s="654" t="str">
        <f t="shared" si="213"/>
        <v>10-Compte compteur</v>
      </c>
      <c r="R479" s="653" t="str">
        <f t="shared" si="214"/>
        <v>4121</v>
      </c>
      <c r="S479" s="654">
        <f t="shared" si="215"/>
        <v>0</v>
      </c>
      <c r="T479" s="656" t="str">
        <f>+VLOOKUP($L479,Data_Validation!$A:$D,1,0)</f>
        <v>4121@</v>
      </c>
      <c r="U479" s="656" t="str">
        <f>+VLOOKUP($L479,Data_Validation!$A:$D,3,0)</f>
        <v>Véhicules neufs</v>
      </c>
      <c r="V479" s="656" t="str">
        <f>+VLOOKUP($L479,Data_Validation!$A:$D,4,0)</f>
        <v>Camions détail</v>
      </c>
      <c r="W479" s="656" t="str">
        <f>+VLOOKUP($L479,Data_Validation!$A:$E,5,0)</f>
        <v>NB</v>
      </c>
      <c r="X479" s="656">
        <f>+VLOOKUP($L479,Data_Validation!$A:$F,6,0)</f>
        <v>0</v>
      </c>
    </row>
    <row r="480" spans="1:24" ht="15.75" hidden="1" customHeight="1">
      <c r="A480" s="1213" t="s">
        <v>988</v>
      </c>
      <c r="B480" s="1213" t="s">
        <v>989</v>
      </c>
      <c r="C480" s="1214"/>
      <c r="D480" s="1214"/>
      <c r="E480" s="1214"/>
      <c r="F480" s="1213" t="s">
        <v>7</v>
      </c>
      <c r="G480" s="1213" t="s">
        <v>987</v>
      </c>
      <c r="H480" s="1214"/>
      <c r="I480" s="1215">
        <v>-58</v>
      </c>
      <c r="J480" s="1215">
        <v>-1</v>
      </c>
      <c r="K480" s="1215">
        <v>-59</v>
      </c>
      <c r="L480" s="653" t="str">
        <f t="shared" ref="L480:L484" si="216">TEXT(B480,0)</f>
        <v>4127@</v>
      </c>
      <c r="M480" s="654" t="str">
        <f t="shared" ref="M480:M484" si="217">+A480</f>
        <v># DE VENTE - GOLF GTI</v>
      </c>
      <c r="N480" s="655">
        <f>+IF(OR($Q480=Parametres!$G$2,$Q480=Parametres!$G$3),I480,C480)</f>
        <v>-58</v>
      </c>
      <c r="O480" s="655">
        <f>+IF(OR($Q480=Parametres!$G$2,$Q480=Parametres!$G$3),J480,D480)</f>
        <v>-1</v>
      </c>
      <c r="P480" s="655">
        <f>+IF(OR($Q480=Parametres!$G$2,$Q480=Parametres!$G$3),K480,E480)</f>
        <v>-59</v>
      </c>
      <c r="Q480" s="654" t="str">
        <f t="shared" ref="Q480:Q484" si="218">+F480</f>
        <v>10-Compte compteur</v>
      </c>
      <c r="R480" s="653" t="str">
        <f t="shared" ref="R480:R484" si="219">+G480</f>
        <v>4127</v>
      </c>
      <c r="S480" s="654">
        <f t="shared" ref="S480:S484" si="220">+H480</f>
        <v>0</v>
      </c>
      <c r="T480" s="656" t="str">
        <f>+VLOOKUP($L480,Data_Validation!$A:$D,1,0)</f>
        <v>4127@</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75" hidden="1" customHeight="1">
      <c r="A481" s="1213" t="s">
        <v>992</v>
      </c>
      <c r="B481" s="1213" t="s">
        <v>993</v>
      </c>
      <c r="C481" s="1214"/>
      <c r="D481" s="1214"/>
      <c r="E481" s="1214"/>
      <c r="F481" s="1213" t="s">
        <v>7</v>
      </c>
      <c r="G481" s="1213" t="s">
        <v>991</v>
      </c>
      <c r="H481" s="1214"/>
      <c r="I481" s="1215">
        <v>-98</v>
      </c>
      <c r="J481" s="1215">
        <v>-4</v>
      </c>
      <c r="K481" s="1215">
        <v>-102</v>
      </c>
      <c r="L481" s="653" t="str">
        <f t="shared" si="216"/>
        <v>4131@</v>
      </c>
      <c r="M481" s="654" t="str">
        <f t="shared" si="217"/>
        <v># DE VTE - TIGUAN LWB</v>
      </c>
      <c r="N481" s="655">
        <f>+IF(OR($Q481=Parametres!$G$2,$Q481=Parametres!$G$3),I481,C481)</f>
        <v>-98</v>
      </c>
      <c r="O481" s="655">
        <f>+IF(OR($Q481=Parametres!$G$2,$Q481=Parametres!$G$3),J481,D481)</f>
        <v>-4</v>
      </c>
      <c r="P481" s="655">
        <f>+IF(OR($Q481=Parametres!$G$2,$Q481=Parametres!$G$3),K481,E481)</f>
        <v>-102</v>
      </c>
      <c r="Q481" s="654" t="str">
        <f t="shared" si="218"/>
        <v>10-Compte compteur</v>
      </c>
      <c r="R481" s="653" t="str">
        <f t="shared" si="219"/>
        <v>4131</v>
      </c>
      <c r="S481" s="654">
        <f t="shared" si="220"/>
        <v>0</v>
      </c>
      <c r="T481" s="656" t="str">
        <f>+VLOOKUP($L481,Data_Validation!$A:$D,1,0)</f>
        <v>4131@</v>
      </c>
      <c r="U481" s="656" t="str">
        <f>+VLOOKUP($L481,Data_Validation!$A:$D,3,0)</f>
        <v>Véhicules neufs</v>
      </c>
      <c r="V481" s="656" t="str">
        <f>+VLOOKUP($L481,Data_Validation!$A:$D,4,0)</f>
        <v>Camions détail</v>
      </c>
      <c r="W481" s="656" t="str">
        <f>+VLOOKUP($L481,Data_Validation!$A:$E,5,0)</f>
        <v>NB</v>
      </c>
      <c r="X481" s="656">
        <f>+VLOOKUP($L481,Data_Validation!$A:$F,6,0)</f>
        <v>0</v>
      </c>
    </row>
    <row r="482" spans="1:24" ht="15.75" hidden="1" customHeight="1">
      <c r="A482" s="1213" t="s">
        <v>996</v>
      </c>
      <c r="B482" s="1213" t="s">
        <v>997</v>
      </c>
      <c r="C482" s="1214"/>
      <c r="D482" s="1214"/>
      <c r="E482" s="1214"/>
      <c r="F482" s="1213" t="s">
        <v>7</v>
      </c>
      <c r="G482" s="1213" t="s">
        <v>995</v>
      </c>
      <c r="H482" s="1214"/>
      <c r="I482" s="1215">
        <v>-14</v>
      </c>
      <c r="J482" s="1215">
        <v>-6</v>
      </c>
      <c r="K482" s="1215">
        <v>-20</v>
      </c>
      <c r="L482" s="653" t="str">
        <f t="shared" si="216"/>
        <v>4137@</v>
      </c>
      <c r="M482" s="654" t="str">
        <f t="shared" si="217"/>
        <v>VW FLOTTE/VENTE ENTR/EMPLOYE/VEH DEMONST</v>
      </c>
      <c r="N482" s="655">
        <f>+IF(OR($Q482=Parametres!$G$2,$Q482=Parametres!$G$3),I482,C482)</f>
        <v>-14</v>
      </c>
      <c r="O482" s="655">
        <f>+IF(OR($Q482=Parametres!$G$2,$Q482=Parametres!$G$3),J482,D482)</f>
        <v>-6</v>
      </c>
      <c r="P482" s="655">
        <f>+IF(OR($Q482=Parametres!$G$2,$Q482=Parametres!$G$3),K482,E482)</f>
        <v>-20</v>
      </c>
      <c r="Q482" s="654" t="str">
        <f t="shared" si="218"/>
        <v>10-Compte compteur</v>
      </c>
      <c r="R482" s="653" t="str">
        <f t="shared" si="219"/>
        <v>4137</v>
      </c>
      <c r="S482" s="654">
        <f t="shared" si="220"/>
        <v>0</v>
      </c>
      <c r="T482" s="656" t="str">
        <f>+VLOOKUP($L482,Data_Validation!$A:$D,1,0)</f>
        <v>4137@</v>
      </c>
      <c r="U482" s="656" t="str">
        <f>+VLOOKUP($L482,Data_Validation!$A:$D,3,0)</f>
        <v>Véhicules neufs</v>
      </c>
      <c r="V482" s="656" t="str">
        <f>+VLOOKUP($L482,Data_Validation!$A:$D,4,0)</f>
        <v>Flottes</v>
      </c>
      <c r="W482" s="656" t="str">
        <f>+VLOOKUP($L482,Data_Validation!$A:$E,5,0)</f>
        <v>NB</v>
      </c>
      <c r="X482" s="656">
        <f>+VLOOKUP($L482,Data_Validation!$A:$F,6,0)</f>
        <v>0</v>
      </c>
    </row>
    <row r="483" spans="1:24" ht="15.75" hidden="1" customHeight="1">
      <c r="A483" s="1213" t="s">
        <v>1000</v>
      </c>
      <c r="B483" s="1213" t="s">
        <v>1001</v>
      </c>
      <c r="C483" s="1214"/>
      <c r="D483" s="1214"/>
      <c r="E483" s="1214"/>
      <c r="F483" s="1213" t="s">
        <v>7</v>
      </c>
      <c r="G483" s="1213" t="s">
        <v>999</v>
      </c>
      <c r="H483" s="1214"/>
      <c r="I483" s="1215">
        <v>-37</v>
      </c>
      <c r="J483" s="1215">
        <v>-4</v>
      </c>
      <c r="K483" s="1215">
        <v>-41</v>
      </c>
      <c r="L483" s="653" t="str">
        <f t="shared" si="216"/>
        <v>4139@</v>
      </c>
      <c r="M483" s="654" t="str">
        <f t="shared" si="217"/>
        <v>VENTES A PARK AVENUE LOCATION</v>
      </c>
      <c r="N483" s="655">
        <f>+IF(OR($Q483=Parametres!$G$2,$Q483=Parametres!$G$3),I483,C483)</f>
        <v>-37</v>
      </c>
      <c r="O483" s="655">
        <f>+IF(OR($Q483=Parametres!$G$2,$Q483=Parametres!$G$3),J483,D483)</f>
        <v>-4</v>
      </c>
      <c r="P483" s="655">
        <f>+IF(OR($Q483=Parametres!$G$2,$Q483=Parametres!$G$3),K483,E483)</f>
        <v>-41</v>
      </c>
      <c r="Q483" s="654" t="str">
        <f t="shared" si="218"/>
        <v>10-Compte compteur</v>
      </c>
      <c r="R483" s="653" t="str">
        <f t="shared" si="219"/>
        <v>4139</v>
      </c>
      <c r="S483" s="654">
        <f t="shared" si="220"/>
        <v>0</v>
      </c>
      <c r="T483" s="656" t="str">
        <f>+VLOOKUP($L483,Data_Validation!$A:$D,1,0)</f>
        <v>4139@</v>
      </c>
      <c r="U483" s="656" t="str">
        <f>+VLOOKUP($L483,Data_Validation!$A:$D,3,0)</f>
        <v>Véhicules neufs</v>
      </c>
      <c r="V483" s="656" t="str">
        <f>+VLOOKUP($L483,Data_Validation!$A:$D,4,0)</f>
        <v>Ex-Démos et courtoisies</v>
      </c>
      <c r="W483" s="656" t="str">
        <f>+VLOOKUP($L483,Data_Validation!$A:$E,5,0)</f>
        <v>NB</v>
      </c>
      <c r="X483" s="656">
        <f>+VLOOKUP($L483,Data_Validation!$A:$F,6,0)</f>
        <v>0</v>
      </c>
    </row>
    <row r="484" spans="1:24" ht="15.75" hidden="1" customHeight="1">
      <c r="A484" s="1213" t="s">
        <v>3916</v>
      </c>
      <c r="B484" s="1213" t="s">
        <v>3917</v>
      </c>
      <c r="C484" s="1214"/>
      <c r="D484" s="1214"/>
      <c r="E484" s="1214"/>
      <c r="F484" s="1213" t="s">
        <v>7</v>
      </c>
      <c r="G484" s="1213" t="s">
        <v>3912</v>
      </c>
      <c r="H484" s="1214"/>
      <c r="I484" s="1215">
        <v>-155</v>
      </c>
      <c r="J484" s="1215">
        <v>-11</v>
      </c>
      <c r="K484" s="1215">
        <v>-166</v>
      </c>
      <c r="L484" s="653" t="str">
        <f t="shared" si="216"/>
        <v>4141@</v>
      </c>
      <c r="M484" s="654" t="str">
        <f t="shared" si="217"/>
        <v># DE VTW - ID4</v>
      </c>
      <c r="N484" s="655">
        <f>+IF(OR($Q484=Parametres!$G$2,$Q484=Parametres!$G$3),I484,C484)</f>
        <v>-155</v>
      </c>
      <c r="O484" s="655">
        <f>+IF(OR($Q484=Parametres!$G$2,$Q484=Parametres!$G$3),J484,D484)</f>
        <v>-11</v>
      </c>
      <c r="P484" s="655">
        <f>+IF(OR($Q484=Parametres!$G$2,$Q484=Parametres!$G$3),K484,E484)</f>
        <v>-166</v>
      </c>
      <c r="Q484" s="654" t="str">
        <f t="shared" si="218"/>
        <v>10-Compte compteur</v>
      </c>
      <c r="R484" s="653" t="str">
        <f t="shared" si="219"/>
        <v>4141</v>
      </c>
      <c r="S484" s="654">
        <f t="shared" si="220"/>
        <v>0</v>
      </c>
      <c r="T484" s="656" t="str">
        <f>+VLOOKUP($L484,Data_Validation!$A:$D,1,0)</f>
        <v>4141@</v>
      </c>
      <c r="U484" s="656" t="str">
        <f>+VLOOKUP($L484,Data_Validation!$A:$D,3,0)</f>
        <v>Véhicules neufs</v>
      </c>
      <c r="V484" s="656" t="str">
        <f>+VLOOKUP($L484,Data_Validation!$A:$D,4,0)</f>
        <v>Camions détail</v>
      </c>
      <c r="W484" s="656" t="str">
        <f>+VLOOKUP($L484,Data_Validation!$A:$E,5,0)</f>
        <v>NB</v>
      </c>
      <c r="X484" s="656">
        <f>+VLOOKUP($L484,Data_Validation!$A:$F,6,0)</f>
        <v>0</v>
      </c>
    </row>
    <row r="485" spans="1:24" ht="15.75" hidden="1" customHeight="1">
      <c r="A485" s="1213" t="s">
        <v>1004</v>
      </c>
      <c r="B485" s="1213" t="s">
        <v>1005</v>
      </c>
      <c r="C485" s="1214"/>
      <c r="D485" s="1214"/>
      <c r="E485" s="1214"/>
      <c r="F485" s="1213" t="s">
        <v>7</v>
      </c>
      <c r="G485" s="1213" t="s">
        <v>1003</v>
      </c>
      <c r="H485" s="1214"/>
      <c r="I485" s="1215">
        <v>-20</v>
      </c>
      <c r="J485" s="1215">
        <v>-1</v>
      </c>
      <c r="K485" s="1215">
        <v>-21</v>
      </c>
      <c r="L485" s="653" t="str">
        <f t="shared" ref="L485:L490" si="221">TEXT(B485,0)</f>
        <v>4144@</v>
      </c>
      <c r="M485" s="654" t="str">
        <f t="shared" ref="M485:M490" si="222">+A485</f>
        <v># OF VTES -JETTA GLI</v>
      </c>
      <c r="N485" s="655">
        <f>+IF(OR($Q485=Parametres!$G$2,$Q485=Parametres!$G$3),I485,C485)</f>
        <v>-20</v>
      </c>
      <c r="O485" s="655">
        <f>+IF(OR($Q485=Parametres!$G$2,$Q485=Parametres!$G$3),J485,D485)</f>
        <v>-1</v>
      </c>
      <c r="P485" s="655">
        <f>+IF(OR($Q485=Parametres!$G$2,$Q485=Parametres!$G$3),K485,E485)</f>
        <v>-21</v>
      </c>
      <c r="Q485" s="654" t="str">
        <f t="shared" ref="Q485:Q490" si="223">+F485</f>
        <v>10-Compte compteur</v>
      </c>
      <c r="R485" s="653" t="str">
        <f t="shared" ref="R485:R490" si="224">+G485</f>
        <v>414</v>
      </c>
      <c r="S485" s="654">
        <f t="shared" ref="S485:S490" si="225">+H485</f>
        <v>0</v>
      </c>
      <c r="T485" s="656" t="str">
        <f>+VLOOKUP($L485,Data_Validation!$A:$D,1,0)</f>
        <v>4144@</v>
      </c>
      <c r="U485" s="656" t="str">
        <f>+VLOOKUP($L485,Data_Validation!$A:$D,3,0)</f>
        <v>Véhicules neufs</v>
      </c>
      <c r="V485" s="656" t="str">
        <f>+VLOOKUP($L485,Data_Validation!$A:$D,4,0)</f>
        <v>Autos détail</v>
      </c>
      <c r="W485" s="656" t="str">
        <f>+VLOOKUP($L485,Data_Validation!$A:$E,5,0)</f>
        <v>NB</v>
      </c>
      <c r="X485" s="656">
        <f>+VLOOKUP($L485,Data_Validation!$A:$F,6,0)</f>
        <v>0</v>
      </c>
    </row>
    <row r="486" spans="1:24" ht="15.75" hidden="1" customHeight="1">
      <c r="A486" s="1213" t="s">
        <v>1008</v>
      </c>
      <c r="B486" s="1213" t="s">
        <v>1009</v>
      </c>
      <c r="C486" s="1214"/>
      <c r="D486" s="1214"/>
      <c r="E486" s="1214"/>
      <c r="F486" s="1213" t="s">
        <v>7</v>
      </c>
      <c r="G486" s="1213" t="s">
        <v>1007</v>
      </c>
      <c r="H486" s="1214"/>
      <c r="I486" s="1215">
        <v>-287</v>
      </c>
      <c r="J486" s="1215">
        <v>-17</v>
      </c>
      <c r="K486" s="1215">
        <v>-304</v>
      </c>
      <c r="L486" s="653" t="str">
        <f t="shared" si="221"/>
        <v>4201@</v>
      </c>
      <c r="M486" s="654" t="str">
        <f t="shared" si="222"/>
        <v># DE VTE - VEH.USAGE VW DET.CERT.</v>
      </c>
      <c r="N486" s="655">
        <f>+IF(OR($Q486=Parametres!$G$2,$Q486=Parametres!$G$3),I486,C486)</f>
        <v>-287</v>
      </c>
      <c r="O486" s="655">
        <f>+IF(OR($Q486=Parametres!$G$2,$Q486=Parametres!$G$3),J486,D486)</f>
        <v>-17</v>
      </c>
      <c r="P486" s="655">
        <f>+IF(OR($Q486=Parametres!$G$2,$Q486=Parametres!$G$3),K486,E486)</f>
        <v>-304</v>
      </c>
      <c r="Q486" s="654" t="str">
        <f t="shared" si="223"/>
        <v>10-Compte compteur</v>
      </c>
      <c r="R486" s="653" t="str">
        <f t="shared" si="224"/>
        <v>4201</v>
      </c>
      <c r="S486" s="654">
        <f t="shared" si="225"/>
        <v>0</v>
      </c>
      <c r="T486" s="656" t="str">
        <f>+VLOOKUP($L486,Data_Validation!$A:$D,1,0)</f>
        <v>4201@</v>
      </c>
      <c r="U486" s="656" t="str">
        <f>+VLOOKUP($L486,Data_Validation!$A:$D,3,0)</f>
        <v>Véhicules usagés</v>
      </c>
      <c r="V486" s="656" t="str">
        <f>+VLOOKUP($L486,Data_Validation!$A:$D,4,0)</f>
        <v>Certifié</v>
      </c>
      <c r="W486" s="656" t="str">
        <f>+VLOOKUP($L486,Data_Validation!$A:$E,5,0)</f>
        <v>NB</v>
      </c>
      <c r="X486" s="656">
        <f>+VLOOKUP($L486,Data_Validation!$A:$F,6,0)</f>
        <v>0</v>
      </c>
    </row>
    <row r="487" spans="1:24" ht="15.75" hidden="1" customHeight="1">
      <c r="A487" s="1213" t="s">
        <v>1012</v>
      </c>
      <c r="B487" s="1213" t="s">
        <v>1013</v>
      </c>
      <c r="C487" s="1214"/>
      <c r="D487" s="1214"/>
      <c r="E487" s="1214"/>
      <c r="F487" s="1213" t="s">
        <v>7</v>
      </c>
      <c r="G487" s="1213" t="s">
        <v>1011</v>
      </c>
      <c r="H487" s="1214"/>
      <c r="I487" s="1215">
        <v>-11</v>
      </c>
      <c r="J487" s="1215">
        <v>0</v>
      </c>
      <c r="K487" s="1215">
        <v>-11</v>
      </c>
      <c r="L487" s="653" t="str">
        <f t="shared" si="221"/>
        <v>4211@</v>
      </c>
      <c r="M487" s="654" t="str">
        <f t="shared" si="222"/>
        <v>VENTES USED DET. CHAMBLY</v>
      </c>
      <c r="N487" s="655">
        <f>+IF(OR($Q487=Parametres!$G$2,$Q487=Parametres!$G$3),I487,C487)</f>
        <v>-11</v>
      </c>
      <c r="O487" s="655">
        <f>+IF(OR($Q487=Parametres!$G$2,$Q487=Parametres!$G$3),J487,D487)</f>
        <v>0</v>
      </c>
      <c r="P487" s="655">
        <f>+IF(OR($Q487=Parametres!$G$2,$Q487=Parametres!$G$3),K487,E487)</f>
        <v>-11</v>
      </c>
      <c r="Q487" s="654" t="str">
        <f t="shared" si="223"/>
        <v>10-Compte compteur</v>
      </c>
      <c r="R487" s="653" t="str">
        <f t="shared" si="224"/>
        <v>4211</v>
      </c>
      <c r="S487" s="654">
        <f t="shared" si="225"/>
        <v>0</v>
      </c>
      <c r="T487" s="656" t="str">
        <f>+VLOOKUP($L487,Data_Validation!$A:$D,1,0)</f>
        <v>4211@</v>
      </c>
      <c r="U487" s="656" t="str">
        <f>+VLOOKUP($L487,Data_Validation!$A:$D,3,0)</f>
        <v>Véhicules usagés</v>
      </c>
      <c r="V487" s="656" t="str">
        <f>+VLOOKUP($L487,Data_Validation!$A:$D,4,0)</f>
        <v>Non Certifié</v>
      </c>
      <c r="W487" s="656" t="str">
        <f>+VLOOKUP($L487,Data_Validation!$A:$E,5,0)</f>
        <v>NB</v>
      </c>
      <c r="X487" s="656">
        <f>+VLOOKUP($L487,Data_Validation!$A:$F,6,0)</f>
        <v>0</v>
      </c>
    </row>
    <row r="488" spans="1:24" ht="15.75" hidden="1" customHeight="1">
      <c r="A488" s="1213" t="s">
        <v>1016</v>
      </c>
      <c r="B488" s="1213" t="s">
        <v>1017</v>
      </c>
      <c r="C488" s="1214"/>
      <c r="D488" s="1214"/>
      <c r="E488" s="1214"/>
      <c r="F488" s="1213" t="s">
        <v>7</v>
      </c>
      <c r="G488" s="1213" t="s">
        <v>1015</v>
      </c>
      <c r="H488" s="1214"/>
      <c r="I488" s="1215">
        <v>-21</v>
      </c>
      <c r="J488" s="1215">
        <v>-1</v>
      </c>
      <c r="K488" s="1215">
        <v>-22</v>
      </c>
      <c r="L488" s="653" t="str">
        <f t="shared" si="221"/>
        <v>4285@</v>
      </c>
      <c r="M488" s="654" t="str">
        <f t="shared" si="222"/>
        <v>AUTRE MARQUES DETAIL - USAGE</v>
      </c>
      <c r="N488" s="655">
        <f>+IF(OR($Q488=Parametres!$G$2,$Q488=Parametres!$G$3),I488,C488)</f>
        <v>-21</v>
      </c>
      <c r="O488" s="655">
        <f>+IF(OR($Q488=Parametres!$G$2,$Q488=Parametres!$G$3),J488,D488)</f>
        <v>-1</v>
      </c>
      <c r="P488" s="655">
        <f>+IF(OR($Q488=Parametres!$G$2,$Q488=Parametres!$G$3),K488,E488)</f>
        <v>-22</v>
      </c>
      <c r="Q488" s="654" t="str">
        <f t="shared" si="223"/>
        <v>10-Compte compteur</v>
      </c>
      <c r="R488" s="653" t="str">
        <f t="shared" si="224"/>
        <v>4261</v>
      </c>
      <c r="S488" s="654">
        <f t="shared" si="225"/>
        <v>0</v>
      </c>
      <c r="T488" s="656" t="str">
        <f>+VLOOKUP($L488,Data_Validation!$A:$D,1,0)</f>
        <v>4285@</v>
      </c>
      <c r="U488" s="656" t="str">
        <f>+VLOOKUP($L488,Data_Validation!$A:$D,3,0)</f>
        <v>Véhicules usagés</v>
      </c>
      <c r="V488" s="656" t="str">
        <f>+VLOOKUP($L488,Data_Validation!$A:$D,4,0)</f>
        <v>Autres Marques</v>
      </c>
      <c r="W488" s="656" t="str">
        <f>+VLOOKUP($L488,Data_Validation!$A:$E,5,0)</f>
        <v>NB</v>
      </c>
      <c r="X488" s="656">
        <f>+VLOOKUP($L488,Data_Validation!$A:$F,6,0)</f>
        <v>0</v>
      </c>
    </row>
    <row r="489" spans="1:24" ht="15.75" hidden="1" customHeight="1">
      <c r="A489" s="1213" t="s">
        <v>1020</v>
      </c>
      <c r="B489" s="1213" t="s">
        <v>1021</v>
      </c>
      <c r="C489" s="1214"/>
      <c r="D489" s="1214"/>
      <c r="E489" s="1214"/>
      <c r="F489" s="1213" t="s">
        <v>7</v>
      </c>
      <c r="G489" s="1213" t="s">
        <v>1019</v>
      </c>
      <c r="H489" s="1214"/>
      <c r="I489" s="1215">
        <v>-372</v>
      </c>
      <c r="J489" s="1215">
        <v>-22</v>
      </c>
      <c r="K489" s="1215">
        <v>-394</v>
      </c>
      <c r="L489" s="653" t="str">
        <f t="shared" si="221"/>
        <v>4291@</v>
      </c>
      <c r="M489" s="654" t="str">
        <f t="shared" si="222"/>
        <v>VENTE AU GROS - USAGES</v>
      </c>
      <c r="N489" s="655">
        <f>+IF(OR($Q489=Parametres!$G$2,$Q489=Parametres!$G$3),I489,C489)</f>
        <v>-372</v>
      </c>
      <c r="O489" s="655">
        <f>+IF(OR($Q489=Parametres!$G$2,$Q489=Parametres!$G$3),J489,D489)</f>
        <v>-22</v>
      </c>
      <c r="P489" s="655">
        <f>+IF(OR($Q489=Parametres!$G$2,$Q489=Parametres!$G$3),K489,E489)</f>
        <v>-394</v>
      </c>
      <c r="Q489" s="654" t="str">
        <f t="shared" si="223"/>
        <v>10-Compte compteur</v>
      </c>
      <c r="R489" s="653" t="str">
        <f t="shared" si="224"/>
        <v>4281</v>
      </c>
      <c r="S489" s="654">
        <f t="shared" si="225"/>
        <v>0</v>
      </c>
      <c r="T489" s="656" t="str">
        <f>+VLOOKUP($L489,Data_Validation!$A:$D,1,0)</f>
        <v>4291@</v>
      </c>
      <c r="U489" s="656" t="str">
        <f>+VLOOKUP($L489,Data_Validation!$A:$D,3,0)</f>
        <v>Véhicules usagés</v>
      </c>
      <c r="V489" s="656" t="str">
        <f>+VLOOKUP($L489,Data_Validation!$A:$D,4,0)</f>
        <v>Ventes au Gros</v>
      </c>
      <c r="W489" s="656" t="str">
        <f>+VLOOKUP($L489,Data_Validation!$A:$E,5,0)</f>
        <v>NB</v>
      </c>
      <c r="X489" s="656">
        <f>+VLOOKUP($L489,Data_Validation!$A:$F,6,0)</f>
        <v>0</v>
      </c>
    </row>
    <row r="490" spans="1:24" ht="15.75" hidden="1" customHeight="1">
      <c r="A490" s="1213" t="s">
        <v>3672</v>
      </c>
      <c r="B490" s="1213" t="s">
        <v>1024</v>
      </c>
      <c r="C490" s="1214"/>
      <c r="D490" s="1214"/>
      <c r="E490" s="1214"/>
      <c r="F490" s="1213" t="s">
        <v>7</v>
      </c>
      <c r="G490" s="1213" t="s">
        <v>1023</v>
      </c>
      <c r="H490" s="1214"/>
      <c r="I490" s="1215">
        <v>-5183</v>
      </c>
      <c r="J490" s="1215">
        <v>-341</v>
      </c>
      <c r="K490" s="1215">
        <v>-5524</v>
      </c>
      <c r="L490" s="653" t="str">
        <f t="shared" si="221"/>
        <v>4401@</v>
      </c>
      <c r="M490" s="654" t="str">
        <f t="shared" si="222"/>
        <v>MAIN-D'OEUVRE - CLIENT VW - MCI</v>
      </c>
      <c r="N490" s="655">
        <f>+IF(OR($Q490=Parametres!$G$2,$Q490=Parametres!$G$3),I490,C490)</f>
        <v>-5183</v>
      </c>
      <c r="O490" s="655">
        <f>+IF(OR($Q490=Parametres!$G$2,$Q490=Parametres!$G$3),J490,D490)</f>
        <v>-341</v>
      </c>
      <c r="P490" s="655">
        <f>+IF(OR($Q490=Parametres!$G$2,$Q490=Parametres!$G$3),K490,E490)</f>
        <v>-5524</v>
      </c>
      <c r="Q490" s="654" t="str">
        <f t="shared" si="223"/>
        <v>10-Compte compteur</v>
      </c>
      <c r="R490" s="653" t="str">
        <f t="shared" si="224"/>
        <v>4401</v>
      </c>
      <c r="S490" s="654">
        <f t="shared" si="225"/>
        <v>0</v>
      </c>
      <c r="T490" s="656" t="str">
        <f>+VLOOKUP($L490,Data_Validation!$A:$D,1,0)</f>
        <v>4401@</v>
      </c>
      <c r="U490" s="656" t="str">
        <f>+VLOOKUP($L490,Data_Validation!$A:$D,3,0)</f>
        <v>Service</v>
      </c>
      <c r="V490" s="656" t="str">
        <f>+VLOOKUP($L490,Data_Validation!$A:$D,4,0)</f>
        <v>M/O Client</v>
      </c>
      <c r="W490" s="656" t="str">
        <f>+VLOOKUP($L490,Data_Validation!$A:$E,5,0)</f>
        <v>NB</v>
      </c>
      <c r="X490" s="656">
        <f>+VLOOKUP($L490,Data_Validation!$A:$F,6,0)</f>
        <v>0</v>
      </c>
    </row>
    <row r="491" spans="1:24" ht="15.75" hidden="1" customHeight="1">
      <c r="A491" s="1213" t="s">
        <v>3673</v>
      </c>
      <c r="B491" s="1213" t="s">
        <v>1029</v>
      </c>
      <c r="C491" s="1214"/>
      <c r="D491" s="1214"/>
      <c r="E491" s="1214"/>
      <c r="F491" s="1213" t="s">
        <v>7</v>
      </c>
      <c r="G491" s="1213" t="s">
        <v>1028</v>
      </c>
      <c r="H491" s="1214"/>
      <c r="I491" s="1215">
        <v>-1441</v>
      </c>
      <c r="J491" s="1215">
        <v>-177</v>
      </c>
      <c r="K491" s="1215">
        <v>-1618</v>
      </c>
      <c r="L491" s="653" t="str">
        <f t="shared" ref="L491:L493" si="226">TEXT(B491,0)</f>
        <v>4403@</v>
      </c>
      <c r="M491" s="654" t="str">
        <f t="shared" ref="M491:M493" si="227">+A491</f>
        <v>MAIN-D'OEUVRE - GARANTIE VW - MCI</v>
      </c>
      <c r="N491" s="655">
        <f>+IF(OR($Q491=Parametres!$G$2,$Q491=Parametres!$G$3),I491,C491)</f>
        <v>-1441</v>
      </c>
      <c r="O491" s="655">
        <f>+IF(OR($Q491=Parametres!$G$2,$Q491=Parametres!$G$3),J491,D491)</f>
        <v>-177</v>
      </c>
      <c r="P491" s="655">
        <f>+IF(OR($Q491=Parametres!$G$2,$Q491=Parametres!$G$3),K491,E491)</f>
        <v>-1618</v>
      </c>
      <c r="Q491" s="654" t="str">
        <f t="shared" ref="Q491:Q493" si="228">+F491</f>
        <v>10-Compte compteur</v>
      </c>
      <c r="R491" s="653" t="str">
        <f t="shared" ref="R491:R493" si="229">+G491</f>
        <v>4403</v>
      </c>
      <c r="S491" s="654">
        <f t="shared" ref="S491:S493" si="230">+H491</f>
        <v>0</v>
      </c>
      <c r="T491" s="656" t="str">
        <f>+VLOOKUP($L491,Data_Validation!$A:$D,1,0)</f>
        <v>4403@</v>
      </c>
      <c r="U491" s="656" t="str">
        <f>+VLOOKUP($L491,Data_Validation!$A:$D,3,0)</f>
        <v>Service</v>
      </c>
      <c r="V491" s="656" t="str">
        <f>+VLOOKUP($L491,Data_Validation!$A:$D,4,0)</f>
        <v>M/O Garantie</v>
      </c>
      <c r="W491" s="656" t="str">
        <f>+VLOOKUP($L491,Data_Validation!$A:$E,5,0)</f>
        <v>NB</v>
      </c>
      <c r="X491" s="656">
        <f>+VLOOKUP($L491,Data_Validation!$A:$F,6,0)</f>
        <v>0</v>
      </c>
    </row>
    <row r="492" spans="1:24" ht="15.75" hidden="1" customHeight="1">
      <c r="A492" s="1213" t="s">
        <v>3674</v>
      </c>
      <c r="B492" s="1213" t="s">
        <v>1032</v>
      </c>
      <c r="C492" s="1214"/>
      <c r="D492" s="1214"/>
      <c r="E492" s="1214"/>
      <c r="F492" s="1213" t="s">
        <v>7</v>
      </c>
      <c r="G492" s="1213" t="s">
        <v>1031</v>
      </c>
      <c r="H492" s="1214"/>
      <c r="I492" s="1215">
        <v>-2658</v>
      </c>
      <c r="J492" s="1215">
        <v>-234</v>
      </c>
      <c r="K492" s="1215">
        <v>-2892</v>
      </c>
      <c r="L492" s="653" t="str">
        <f t="shared" si="226"/>
        <v>4405@</v>
      </c>
      <c r="M492" s="654" t="str">
        <f t="shared" si="227"/>
        <v>MAIN-D'OEUVRE - INTERNE VW - MCI</v>
      </c>
      <c r="N492" s="655">
        <f>+IF(OR($Q492=Parametres!$G$2,$Q492=Parametres!$G$3),I492,C492)</f>
        <v>-2658</v>
      </c>
      <c r="O492" s="655">
        <f>+IF(OR($Q492=Parametres!$G$2,$Q492=Parametres!$G$3),J492,D492)</f>
        <v>-234</v>
      </c>
      <c r="P492" s="655">
        <f>+IF(OR($Q492=Parametres!$G$2,$Q492=Parametres!$G$3),K492,E492)</f>
        <v>-2892</v>
      </c>
      <c r="Q492" s="654" t="str">
        <f t="shared" si="228"/>
        <v>10-Compte compteur</v>
      </c>
      <c r="R492" s="653" t="str">
        <f t="shared" si="229"/>
        <v>4405</v>
      </c>
      <c r="S492" s="654">
        <f t="shared" si="230"/>
        <v>0</v>
      </c>
      <c r="T492" s="656" t="str">
        <f>+VLOOKUP($L492,Data_Validation!$A:$D,1,0)</f>
        <v>4405@</v>
      </c>
      <c r="U492" s="656" t="str">
        <f>+VLOOKUP($L492,Data_Validation!$A:$D,3,0)</f>
        <v>Service</v>
      </c>
      <c r="V492" s="656" t="str">
        <f>+VLOOKUP($L492,Data_Validation!$A:$D,4,0)</f>
        <v>M/O Interne</v>
      </c>
      <c r="W492" s="656" t="str">
        <f>+VLOOKUP($L492,Data_Validation!$A:$E,5,0)</f>
        <v>NB</v>
      </c>
      <c r="X492" s="656">
        <f>+VLOOKUP($L492,Data_Validation!$A:$F,6,0)</f>
        <v>0</v>
      </c>
    </row>
    <row r="493" spans="1:24" ht="15.75" hidden="1" customHeight="1">
      <c r="A493" s="1213" t="s">
        <v>1033</v>
      </c>
      <c r="B493" s="1213" t="s">
        <v>1035</v>
      </c>
      <c r="C493" s="1214"/>
      <c r="D493" s="1214"/>
      <c r="E493" s="1214"/>
      <c r="F493" s="1213" t="s">
        <v>7</v>
      </c>
      <c r="G493" s="1213" t="s">
        <v>1034</v>
      </c>
      <c r="H493" s="1214"/>
      <c r="I493" s="1215">
        <v>-3797</v>
      </c>
      <c r="J493" s="1215">
        <v>-263</v>
      </c>
      <c r="K493" s="1215">
        <v>-4060</v>
      </c>
      <c r="L493" s="653" t="str">
        <f t="shared" si="226"/>
        <v>4451@</v>
      </c>
      <c r="M493" s="654" t="str">
        <f t="shared" si="227"/>
        <v>CARBURANT/HUILE/GRAISSE</v>
      </c>
      <c r="N493" s="655">
        <f>+IF(OR($Q493=Parametres!$G$2,$Q493=Parametres!$G$3),I493,C493)</f>
        <v>-3797</v>
      </c>
      <c r="O493" s="655">
        <f>+IF(OR($Q493=Parametres!$G$2,$Q493=Parametres!$G$3),J493,D493)</f>
        <v>-263</v>
      </c>
      <c r="P493" s="655">
        <f>+IF(OR($Q493=Parametres!$G$2,$Q493=Parametres!$G$3),K493,E493)</f>
        <v>-4060</v>
      </c>
      <c r="Q493" s="654" t="str">
        <f t="shared" si="228"/>
        <v>10-Compte compteur</v>
      </c>
      <c r="R493" s="653" t="str">
        <f t="shared" si="229"/>
        <v>4782</v>
      </c>
      <c r="S493" s="654">
        <f t="shared" si="230"/>
        <v>0</v>
      </c>
      <c r="T493" s="656" t="str">
        <f>+VLOOKUP($L493,Data_Validation!$A:$D,1,0)</f>
        <v>4451@</v>
      </c>
      <c r="U493" s="656" t="str">
        <f>+VLOOKUP($L493,Data_Validation!$A:$D,3,0)</f>
        <v>Pièces</v>
      </c>
      <c r="V493" s="656" t="str">
        <f>+VLOOKUP($L493,Data_Validation!$A:$D,4,0)</f>
        <v>Huiles et Graisse</v>
      </c>
      <c r="W493" s="656" t="str">
        <f>+VLOOKUP($L493,Data_Validation!$A:$E,5,0)</f>
        <v>NB</v>
      </c>
      <c r="X493" s="656">
        <f>+VLOOKUP($L493,Data_Validation!$A:$F,6,0)</f>
        <v>0</v>
      </c>
    </row>
    <row r="494" spans="1:24" ht="15.75" hidden="1" customHeight="1">
      <c r="A494" s="1213" t="s">
        <v>1036</v>
      </c>
      <c r="B494" s="1213" t="s">
        <v>1038</v>
      </c>
      <c r="C494" s="1214"/>
      <c r="D494" s="1214"/>
      <c r="E494" s="1214"/>
      <c r="F494" s="1213" t="s">
        <v>7</v>
      </c>
      <c r="G494" s="1213" t="s">
        <v>1037</v>
      </c>
      <c r="H494" s="1214"/>
      <c r="I494" s="1215">
        <v>-687</v>
      </c>
      <c r="J494" s="1215">
        <v>-36</v>
      </c>
      <c r="K494" s="1215">
        <v>-723</v>
      </c>
      <c r="L494" s="653" t="str">
        <f t="shared" ref="L494:L495" si="231">TEXT(B494,0)</f>
        <v>4491@</v>
      </c>
      <c r="M494" s="654" t="str">
        <f t="shared" ref="M494:M495" si="232">+A494</f>
        <v>REPARATION SOUS-LOC. - GENERAL</v>
      </c>
      <c r="N494" s="655">
        <f>+IF(OR($Q494=Parametres!$G$2,$Q494=Parametres!$G$3),I494,C494)</f>
        <v>-687</v>
      </c>
      <c r="O494" s="655">
        <f>+IF(OR($Q494=Parametres!$G$2,$Q494=Parametres!$G$3),J494,D494)</f>
        <v>-36</v>
      </c>
      <c r="P494" s="655">
        <f>+IF(OR($Q494=Parametres!$G$2,$Q494=Parametres!$G$3),K494,E494)</f>
        <v>-723</v>
      </c>
      <c r="Q494" s="654" t="str">
        <f t="shared" ref="Q494:Q495" si="233">+F494</f>
        <v>10-Compte compteur</v>
      </c>
      <c r="R494" s="653" t="str">
        <f t="shared" ref="R494:R495" si="234">+G494</f>
        <v>4491</v>
      </c>
      <c r="S494" s="654">
        <f t="shared" ref="S494:S495" si="235">+H494</f>
        <v>0</v>
      </c>
      <c r="T494" s="656" t="str">
        <f>+VLOOKUP($L494,Data_Validation!$A:$D,1,0)</f>
        <v>4491@</v>
      </c>
      <c r="U494" s="656" t="str">
        <f>+VLOOKUP($L494,Data_Validation!$A:$D,3,0)</f>
        <v>Service</v>
      </c>
      <c r="V494" s="656" t="str">
        <f>+VLOOKUP($L494,Data_Validation!$A:$D,4,0)</f>
        <v>Sous-traitement</v>
      </c>
      <c r="W494" s="656" t="str">
        <f>+VLOOKUP($L494,Data_Validation!$A:$E,5,0)</f>
        <v>NB</v>
      </c>
      <c r="X494" s="656">
        <f>+VLOOKUP($L494,Data_Validation!$A:$F,6,0)</f>
        <v>0</v>
      </c>
    </row>
    <row r="495" spans="1:24" ht="15.75" hidden="1" customHeight="1">
      <c r="A495" s="1213" t="s">
        <v>1041</v>
      </c>
      <c r="B495" s="1213" t="s">
        <v>1042</v>
      </c>
      <c r="C495" s="1214"/>
      <c r="D495" s="1214"/>
      <c r="E495" s="1214"/>
      <c r="F495" s="1213" t="s">
        <v>7</v>
      </c>
      <c r="G495" s="1213" t="s">
        <v>1040</v>
      </c>
      <c r="H495" s="1214"/>
      <c r="I495" s="1215">
        <v>-6</v>
      </c>
      <c r="J495" s="1215">
        <v>0</v>
      </c>
      <c r="K495" s="1215">
        <v>-6</v>
      </c>
      <c r="L495" s="653" t="str">
        <f t="shared" si="231"/>
        <v>4493@</v>
      </c>
      <c r="M495" s="654" t="str">
        <f t="shared" si="232"/>
        <v># DE VTE - SOUS-TRAITANCE GARANTIE</v>
      </c>
      <c r="N495" s="655">
        <f>+IF(OR($Q495=Parametres!$G$2,$Q495=Parametres!$G$3),I495,C495)</f>
        <v>-6</v>
      </c>
      <c r="O495" s="655">
        <f>+IF(OR($Q495=Parametres!$G$2,$Q495=Parametres!$G$3),J495,D495)</f>
        <v>0</v>
      </c>
      <c r="P495" s="655">
        <f>+IF(OR($Q495=Parametres!$G$2,$Q495=Parametres!$G$3),K495,E495)</f>
        <v>-6</v>
      </c>
      <c r="Q495" s="654" t="str">
        <f t="shared" si="233"/>
        <v>10-Compte compteur</v>
      </c>
      <c r="R495" s="653" t="str">
        <f t="shared" si="234"/>
        <v>4493</v>
      </c>
      <c r="S495" s="654">
        <f t="shared" si="235"/>
        <v>0</v>
      </c>
      <c r="T495" s="656" t="str">
        <f>+VLOOKUP($L495,Data_Validation!$A:$D,1,0)</f>
        <v>4493@</v>
      </c>
      <c r="U495" s="656" t="str">
        <f>+VLOOKUP($L495,Data_Validation!$A:$D,3,0)</f>
        <v>Service</v>
      </c>
      <c r="V495" s="656" t="str">
        <f>+VLOOKUP($L495,Data_Validation!$A:$D,4,0)</f>
        <v>Sous-traitement</v>
      </c>
      <c r="W495" s="656" t="str">
        <f>+VLOOKUP($L495,Data_Validation!$A:$E,5,0)</f>
        <v>NB</v>
      </c>
      <c r="X495" s="656">
        <f>+VLOOKUP($L495,Data_Validation!$A:$F,6,0)</f>
        <v>0</v>
      </c>
    </row>
    <row r="496" spans="1:24" ht="15.75" hidden="1" customHeight="1">
      <c r="A496" s="1213" t="s">
        <v>1045</v>
      </c>
      <c r="B496" s="1213" t="s">
        <v>1046</v>
      </c>
      <c r="C496" s="1214"/>
      <c r="D496" s="1214"/>
      <c r="E496" s="1214"/>
      <c r="F496" s="1213" t="s">
        <v>7</v>
      </c>
      <c r="G496" s="1213" t="s">
        <v>1044</v>
      </c>
      <c r="H496" s="1214"/>
      <c r="I496" s="1215">
        <v>-527</v>
      </c>
      <c r="J496" s="1215">
        <v>-36</v>
      </c>
      <c r="K496" s="1215">
        <v>-563</v>
      </c>
      <c r="L496" s="653" t="str">
        <f t="shared" ref="L496:L498" si="236">TEXT(B496,0)</f>
        <v>4495@</v>
      </c>
      <c r="M496" s="654" t="str">
        <f t="shared" ref="M496:M498" si="237">+A496</f>
        <v># DE VTE - S-TRAITANCE MEC.INTERNE VW</v>
      </c>
      <c r="N496" s="655">
        <f>+IF(OR($Q496=Parametres!$G$2,$Q496=Parametres!$G$3),I496,C496)</f>
        <v>-527</v>
      </c>
      <c r="O496" s="655">
        <f>+IF(OR($Q496=Parametres!$G$2,$Q496=Parametres!$G$3),J496,D496)</f>
        <v>-36</v>
      </c>
      <c r="P496" s="655">
        <f>+IF(OR($Q496=Parametres!$G$2,$Q496=Parametres!$G$3),K496,E496)</f>
        <v>-563</v>
      </c>
      <c r="Q496" s="654" t="str">
        <f t="shared" ref="Q496:Q498" si="238">+F496</f>
        <v>10-Compte compteur</v>
      </c>
      <c r="R496" s="653" t="str">
        <f t="shared" ref="R496:R498" si="239">+G496</f>
        <v>4495</v>
      </c>
      <c r="S496" s="654">
        <f t="shared" ref="S496:S498" si="240">+H496</f>
        <v>0</v>
      </c>
      <c r="T496" s="656" t="str">
        <f>+VLOOKUP($L496,Data_Validation!$A:$D,1,0)</f>
        <v>4495@</v>
      </c>
      <c r="U496" s="656" t="str">
        <f>+VLOOKUP($L496,Data_Validation!$A:$D,3,0)</f>
        <v>Service</v>
      </c>
      <c r="V496" s="656" t="str">
        <f>+VLOOKUP($L496,Data_Validation!$A:$D,4,0)</f>
        <v>Sous-traitement</v>
      </c>
      <c r="W496" s="656" t="str">
        <f>+VLOOKUP($L496,Data_Validation!$A:$E,5,0)</f>
        <v>NB</v>
      </c>
      <c r="X496" s="656">
        <f>+VLOOKUP($L496,Data_Validation!$A:$F,6,0)</f>
        <v>0</v>
      </c>
    </row>
    <row r="497" spans="1:24" ht="15.75" hidden="1" customHeight="1">
      <c r="A497" s="1213" t="s">
        <v>3431</v>
      </c>
      <c r="B497" s="1213" t="s">
        <v>3432</v>
      </c>
      <c r="C497" s="1214"/>
      <c r="D497" s="1214"/>
      <c r="E497" s="1214"/>
      <c r="F497" s="1213" t="s">
        <v>7</v>
      </c>
      <c r="G497" s="1213" t="s">
        <v>3428</v>
      </c>
      <c r="H497" s="1214"/>
      <c r="I497" s="1215">
        <v>-464</v>
      </c>
      <c r="J497" s="1215">
        <v>-24</v>
      </c>
      <c r="K497" s="1215">
        <v>-488</v>
      </c>
      <c r="L497" s="653" t="str">
        <f t="shared" si="236"/>
        <v>4505@</v>
      </c>
      <c r="M497" s="654" t="str">
        <f t="shared" si="237"/>
        <v># DE VTE - M.O. INTERNE CARROSSERIE</v>
      </c>
      <c r="N497" s="655">
        <f>+IF(OR($Q497=Parametres!$G$2,$Q497=Parametres!$G$3),I497,C497)</f>
        <v>-464</v>
      </c>
      <c r="O497" s="655">
        <f>+IF(OR($Q497=Parametres!$G$2,$Q497=Parametres!$G$3),J497,D497)</f>
        <v>-24</v>
      </c>
      <c r="P497" s="655">
        <f>+IF(OR($Q497=Parametres!$G$2,$Q497=Parametres!$G$3),K497,E497)</f>
        <v>-488</v>
      </c>
      <c r="Q497" s="654" t="str">
        <f t="shared" si="238"/>
        <v>10-Compte compteur</v>
      </c>
      <c r="R497" s="653" t="str">
        <f t="shared" si="239"/>
        <v>4505</v>
      </c>
      <c r="S497" s="654">
        <f t="shared" si="240"/>
        <v>0</v>
      </c>
      <c r="T497" s="656" t="str">
        <f>+VLOOKUP($L497,Data_Validation!$A:$D,1,0)</f>
        <v>4505@</v>
      </c>
      <c r="U497" s="656" t="str">
        <f>+VLOOKUP($L497,Data_Validation!$A:$D,3,0)</f>
        <v>Service</v>
      </c>
      <c r="V497" s="656" t="str">
        <f>+VLOOKUP($L497,Data_Validation!$A:$D,4,0)</f>
        <v>M.O. Recond. MCPA</v>
      </c>
      <c r="W497" s="656" t="str">
        <f>+VLOOKUP($L497,Data_Validation!$A:$E,5,0)</f>
        <v>NB</v>
      </c>
      <c r="X497" s="656">
        <f>+VLOOKUP($L497,Data_Validation!$A:$F,6,0)</f>
        <v>0</v>
      </c>
    </row>
    <row r="498" spans="1:24" ht="15.75" hidden="1" customHeight="1">
      <c r="A498" s="1213" t="s">
        <v>1052</v>
      </c>
      <c r="B498" s="1213" t="s">
        <v>1053</v>
      </c>
      <c r="C498" s="1214"/>
      <c r="D498" s="1214"/>
      <c r="E498" s="1214"/>
      <c r="F498" s="1213" t="s">
        <v>7</v>
      </c>
      <c r="G498" s="1213" t="s">
        <v>1051</v>
      </c>
      <c r="H498" s="1214"/>
      <c r="I498" s="1215">
        <v>-33</v>
      </c>
      <c r="J498" s="1215">
        <v>-2</v>
      </c>
      <c r="K498" s="1215">
        <v>-35</v>
      </c>
      <c r="L498" s="653" t="str">
        <f t="shared" si="236"/>
        <v>4591@</v>
      </c>
      <c r="M498" s="654" t="str">
        <f t="shared" si="237"/>
        <v>REPARATION SOUS-LOC.-PEINT/DEB</v>
      </c>
      <c r="N498" s="655">
        <f>+IF(OR($Q498=Parametres!$G$2,$Q498=Parametres!$G$3),I498,C498)</f>
        <v>-33</v>
      </c>
      <c r="O498" s="655">
        <f>+IF(OR($Q498=Parametres!$G$2,$Q498=Parametres!$G$3),J498,D498)</f>
        <v>-2</v>
      </c>
      <c r="P498" s="655">
        <f>+IF(OR($Q498=Parametres!$G$2,$Q498=Parametres!$G$3),K498,E498)</f>
        <v>-35</v>
      </c>
      <c r="Q498" s="654" t="str">
        <f t="shared" si="238"/>
        <v>10-Compte compteur</v>
      </c>
      <c r="R498" s="653" t="str">
        <f t="shared" si="239"/>
        <v>4591</v>
      </c>
      <c r="S498" s="654">
        <f t="shared" si="240"/>
        <v>0</v>
      </c>
      <c r="T498" s="656" t="str">
        <f>+VLOOKUP($L498,Data_Validation!$A:$D,1,0)</f>
        <v>4591@</v>
      </c>
      <c r="U498" s="656" t="str">
        <f>+VLOOKUP($L498,Data_Validation!$A:$D,3,0)</f>
        <v>Carrosserie</v>
      </c>
      <c r="V498" s="656" t="str">
        <f>+VLOOKUP($L498,Data_Validation!$A:$D,4,0)</f>
        <v>M/O Sous-traitement</v>
      </c>
      <c r="W498" s="656" t="str">
        <f>+VLOOKUP($L498,Data_Validation!$A:$E,5,0)</f>
        <v>NB</v>
      </c>
      <c r="X498" s="656">
        <f>+VLOOKUP($L498,Data_Validation!$A:$F,6,0)</f>
        <v>0</v>
      </c>
    </row>
    <row r="499" spans="1:24" ht="15.75" hidden="1" customHeight="1">
      <c r="A499" s="1213" t="s">
        <v>1056</v>
      </c>
      <c r="B499" s="1213" t="s">
        <v>1057</v>
      </c>
      <c r="C499" s="1214"/>
      <c r="D499" s="1214"/>
      <c r="E499" s="1214"/>
      <c r="F499" s="1213" t="s">
        <v>7</v>
      </c>
      <c r="G499" s="1213" t="s">
        <v>1055</v>
      </c>
      <c r="H499" s="1214"/>
      <c r="I499" s="1215">
        <v>-90</v>
      </c>
      <c r="J499" s="1215">
        <v>-7</v>
      </c>
      <c r="K499" s="1215">
        <v>-97</v>
      </c>
      <c r="L499" s="653" t="str">
        <f t="shared" ref="L499:L504" si="241">TEXT(B499,0)</f>
        <v>4593@</v>
      </c>
      <c r="M499" s="654" t="str">
        <f t="shared" ref="M499:M504" si="242">+A499</f>
        <v># DE VTE - S-TRAITANCE GAR.CARR.</v>
      </c>
      <c r="N499" s="655">
        <f>+IF(OR($Q499=Parametres!$G$2,$Q499=Parametres!$G$3),I499,C499)</f>
        <v>-90</v>
      </c>
      <c r="O499" s="655">
        <f>+IF(OR($Q499=Parametres!$G$2,$Q499=Parametres!$G$3),J499,D499)</f>
        <v>-7</v>
      </c>
      <c r="P499" s="655">
        <f>+IF(OR($Q499=Parametres!$G$2,$Q499=Parametres!$G$3),K499,E499)</f>
        <v>-97</v>
      </c>
      <c r="Q499" s="654" t="str">
        <f t="shared" ref="Q499:Q504" si="243">+F499</f>
        <v>10-Compte compteur</v>
      </c>
      <c r="R499" s="653" t="str">
        <f t="shared" ref="R499:R504" si="244">+G499</f>
        <v>4593</v>
      </c>
      <c r="S499" s="654">
        <f t="shared" ref="S499:S504" si="245">+H499</f>
        <v>0</v>
      </c>
      <c r="T499" s="656" t="str">
        <f>+VLOOKUP($L499,Data_Validation!$A:$D,1,0)</f>
        <v>4593@</v>
      </c>
      <c r="U499" s="656" t="str">
        <f>+VLOOKUP($L499,Data_Validation!$A:$D,3,0)</f>
        <v>Carrosserie</v>
      </c>
      <c r="V499" s="656" t="str">
        <f>+VLOOKUP($L499,Data_Validation!$A:$D,4,0)</f>
        <v>M/O Sous-traitement</v>
      </c>
      <c r="W499" s="656" t="str">
        <f>+VLOOKUP($L499,Data_Validation!$A:$E,5,0)</f>
        <v>NB</v>
      </c>
      <c r="X499" s="656">
        <f>+VLOOKUP($L499,Data_Validation!$A:$F,6,0)</f>
        <v>0</v>
      </c>
    </row>
    <row r="500" spans="1:24" ht="15.75" hidden="1" customHeight="1">
      <c r="A500" s="1213" t="s">
        <v>1060</v>
      </c>
      <c r="B500" s="1213" t="s">
        <v>1061</v>
      </c>
      <c r="C500" s="1214"/>
      <c r="D500" s="1214"/>
      <c r="E500" s="1214"/>
      <c r="F500" s="1213" t="s">
        <v>7</v>
      </c>
      <c r="G500" s="1213" t="s">
        <v>1059</v>
      </c>
      <c r="H500" s="1214"/>
      <c r="I500" s="1215">
        <v>-7</v>
      </c>
      <c r="J500" s="1215">
        <v>-2</v>
      </c>
      <c r="K500" s="1215">
        <v>-9</v>
      </c>
      <c r="L500" s="653" t="str">
        <f t="shared" si="241"/>
        <v>4595@</v>
      </c>
      <c r="M500" s="654" t="str">
        <f t="shared" si="242"/>
        <v># DE VTE - S-TRAIT.INTERNE CARR.</v>
      </c>
      <c r="N500" s="655">
        <f>+IF(OR($Q500=Parametres!$G$2,$Q500=Parametres!$G$3),I500,C500)</f>
        <v>-7</v>
      </c>
      <c r="O500" s="655">
        <f>+IF(OR($Q500=Parametres!$G$2,$Q500=Parametres!$G$3),J500,D500)</f>
        <v>-2</v>
      </c>
      <c r="P500" s="655">
        <f>+IF(OR($Q500=Parametres!$G$2,$Q500=Parametres!$G$3),K500,E500)</f>
        <v>-9</v>
      </c>
      <c r="Q500" s="654" t="str">
        <f t="shared" si="243"/>
        <v>10-Compte compteur</v>
      </c>
      <c r="R500" s="653" t="str">
        <f t="shared" si="244"/>
        <v>4595</v>
      </c>
      <c r="S500" s="654">
        <f t="shared" si="245"/>
        <v>0</v>
      </c>
      <c r="T500" s="656" t="str">
        <f>+VLOOKUP($L500,Data_Validation!$A:$D,1,0)</f>
        <v>4595@</v>
      </c>
      <c r="U500" s="656" t="str">
        <f>+VLOOKUP($L500,Data_Validation!$A:$D,3,0)</f>
        <v>Carrosserie</v>
      </c>
      <c r="V500" s="656" t="str">
        <f>+VLOOKUP($L500,Data_Validation!$A:$D,4,0)</f>
        <v>M/O Sous-traitement</v>
      </c>
      <c r="W500" s="656" t="str">
        <f>+VLOOKUP($L500,Data_Validation!$A:$E,5,0)</f>
        <v>NB</v>
      </c>
      <c r="X500" s="656">
        <f>+VLOOKUP($L500,Data_Validation!$A:$F,6,0)</f>
        <v>0</v>
      </c>
    </row>
    <row r="501" spans="1:24" ht="15.75" hidden="1" customHeight="1">
      <c r="A501" s="1213" t="s">
        <v>3675</v>
      </c>
      <c r="B501" s="1213" t="s">
        <v>1065</v>
      </c>
      <c r="C501" s="1214"/>
      <c r="D501" s="1214"/>
      <c r="E501" s="1214"/>
      <c r="F501" s="1213" t="s">
        <v>7</v>
      </c>
      <c r="G501" s="1213" t="s">
        <v>1063</v>
      </c>
      <c r="H501" s="1214"/>
      <c r="I501" s="1215">
        <v>-5260</v>
      </c>
      <c r="J501" s="1215">
        <v>-345</v>
      </c>
      <c r="K501" s="1215">
        <v>-5605</v>
      </c>
      <c r="L501" s="653" t="str">
        <f t="shared" si="241"/>
        <v>4701@</v>
      </c>
      <c r="M501" s="654" t="str">
        <f t="shared" si="242"/>
        <v>VW P&amp;A - BR - CLIENT - MCI</v>
      </c>
      <c r="N501" s="655">
        <f>+IF(OR($Q501=Parametres!$G$2,$Q501=Parametres!$G$3),I501,C501)</f>
        <v>-5260</v>
      </c>
      <c r="O501" s="655">
        <f>+IF(OR($Q501=Parametres!$G$2,$Q501=Parametres!$G$3),J501,D501)</f>
        <v>-345</v>
      </c>
      <c r="P501" s="655">
        <f>+IF(OR($Q501=Parametres!$G$2,$Q501=Parametres!$G$3),K501,E501)</f>
        <v>-5605</v>
      </c>
      <c r="Q501" s="654" t="str">
        <f t="shared" si="243"/>
        <v>10-Compte compteur</v>
      </c>
      <c r="R501" s="653" t="str">
        <f t="shared" si="244"/>
        <v>4701</v>
      </c>
      <c r="S501" s="654">
        <f t="shared" si="245"/>
        <v>0</v>
      </c>
      <c r="T501" s="656" t="str">
        <f>+VLOOKUP($L501,Data_Validation!$A:$D,1,0)</f>
        <v>4701@</v>
      </c>
      <c r="U501" s="656" t="str">
        <f>+VLOOKUP($L501,Data_Validation!$A:$D,3,0)</f>
        <v>Pièces</v>
      </c>
      <c r="V501" s="656" t="str">
        <f>+VLOOKUP($L501,Data_Validation!$A:$D,4,0)</f>
        <v>Pièces Ro Clients</v>
      </c>
      <c r="W501" s="656" t="str">
        <f>+VLOOKUP($L501,Data_Validation!$A:$E,5,0)</f>
        <v>NB</v>
      </c>
      <c r="X501" s="656">
        <f>+VLOOKUP($L501,Data_Validation!$A:$F,6,0)</f>
        <v>0</v>
      </c>
    </row>
    <row r="502" spans="1:24" ht="15.75" hidden="1" customHeight="1">
      <c r="A502" s="1213" t="s">
        <v>3676</v>
      </c>
      <c r="B502" s="1213" t="s">
        <v>1071</v>
      </c>
      <c r="C502" s="1214"/>
      <c r="D502" s="1214"/>
      <c r="E502" s="1214"/>
      <c r="F502" s="1213" t="s">
        <v>7</v>
      </c>
      <c r="G502" s="1213" t="s">
        <v>1069</v>
      </c>
      <c r="H502" s="1214"/>
      <c r="I502" s="1215">
        <v>-1178</v>
      </c>
      <c r="J502" s="1215">
        <v>-156</v>
      </c>
      <c r="K502" s="1215">
        <v>-1334</v>
      </c>
      <c r="L502" s="653" t="str">
        <f t="shared" si="241"/>
        <v>4703@</v>
      </c>
      <c r="M502" s="654" t="str">
        <f t="shared" si="242"/>
        <v>VW P&amp;A - BR - GARANTIE - MCI</v>
      </c>
      <c r="N502" s="655">
        <f>+IF(OR($Q502=Parametres!$G$2,$Q502=Parametres!$G$3),I502,C502)</f>
        <v>-1178</v>
      </c>
      <c r="O502" s="655">
        <f>+IF(OR($Q502=Parametres!$G$2,$Q502=Parametres!$G$3),J502,D502)</f>
        <v>-156</v>
      </c>
      <c r="P502" s="655">
        <f>+IF(OR($Q502=Parametres!$G$2,$Q502=Parametres!$G$3),K502,E502)</f>
        <v>-1334</v>
      </c>
      <c r="Q502" s="654" t="str">
        <f t="shared" si="243"/>
        <v>10-Compte compteur</v>
      </c>
      <c r="R502" s="653" t="str">
        <f t="shared" si="244"/>
        <v>4703</v>
      </c>
      <c r="S502" s="654">
        <f t="shared" si="245"/>
        <v>0</v>
      </c>
      <c r="T502" s="656" t="str">
        <f>+VLOOKUP($L502,Data_Validation!$A:$D,1,0)</f>
        <v>4703@</v>
      </c>
      <c r="U502" s="656" t="str">
        <f>+VLOOKUP($L502,Data_Validation!$A:$D,3,0)</f>
        <v>Pièces</v>
      </c>
      <c r="V502" s="656" t="str">
        <f>+VLOOKUP($L502,Data_Validation!$A:$D,4,0)</f>
        <v>P/A Garantie</v>
      </c>
      <c r="W502" s="656" t="str">
        <f>+VLOOKUP($L502,Data_Validation!$A:$E,5,0)</f>
        <v>NB</v>
      </c>
      <c r="X502" s="656">
        <f>+VLOOKUP($L502,Data_Validation!$A:$F,6,0)</f>
        <v>0</v>
      </c>
    </row>
    <row r="503" spans="1:24" ht="15.75" hidden="1" customHeight="1">
      <c r="A503" s="1213" t="s">
        <v>3677</v>
      </c>
      <c r="B503" s="1213" t="s">
        <v>1075</v>
      </c>
      <c r="C503" s="1214"/>
      <c r="D503" s="1214"/>
      <c r="E503" s="1214"/>
      <c r="F503" s="1213" t="s">
        <v>7</v>
      </c>
      <c r="G503" s="1213" t="s">
        <v>1073</v>
      </c>
      <c r="H503" s="1214"/>
      <c r="I503" s="1215">
        <v>-2794</v>
      </c>
      <c r="J503" s="1215">
        <v>-243</v>
      </c>
      <c r="K503" s="1215">
        <v>-3037</v>
      </c>
      <c r="L503" s="653" t="str">
        <f t="shared" si="241"/>
        <v>4705@</v>
      </c>
      <c r="M503" s="654" t="str">
        <f t="shared" si="242"/>
        <v>VW P&amp;A - BR - INTERNE - MCI</v>
      </c>
      <c r="N503" s="655">
        <f>+IF(OR($Q503=Parametres!$G$2,$Q503=Parametres!$G$3),I503,C503)</f>
        <v>-2794</v>
      </c>
      <c r="O503" s="655">
        <f>+IF(OR($Q503=Parametres!$G$2,$Q503=Parametres!$G$3),J503,D503)</f>
        <v>-243</v>
      </c>
      <c r="P503" s="655">
        <f>+IF(OR($Q503=Parametres!$G$2,$Q503=Parametres!$G$3),K503,E503)</f>
        <v>-3037</v>
      </c>
      <c r="Q503" s="654" t="str">
        <f t="shared" si="243"/>
        <v>10-Compte compteur</v>
      </c>
      <c r="R503" s="653" t="str">
        <f t="shared" si="244"/>
        <v>4705</v>
      </c>
      <c r="S503" s="654">
        <f t="shared" si="245"/>
        <v>0</v>
      </c>
      <c r="T503" s="656" t="str">
        <f>+VLOOKUP($L503,Data_Validation!$A:$D,1,0)</f>
        <v>4705@</v>
      </c>
      <c r="U503" s="656" t="str">
        <f>+VLOOKUP($L503,Data_Validation!$A:$D,3,0)</f>
        <v>Pièces</v>
      </c>
      <c r="V503" s="656" t="str">
        <f>+VLOOKUP($L503,Data_Validation!$A:$D,4,0)</f>
        <v>Ventes Internes</v>
      </c>
      <c r="W503" s="656" t="str">
        <f>+VLOOKUP($L503,Data_Validation!$A:$E,5,0)</f>
        <v>NB</v>
      </c>
      <c r="X503" s="656">
        <f>+VLOOKUP($L503,Data_Validation!$A:$F,6,0)</f>
        <v>0</v>
      </c>
    </row>
    <row r="504" spans="1:24" ht="15.75" hidden="1" customHeight="1">
      <c r="A504" s="1213" t="s">
        <v>1079</v>
      </c>
      <c r="B504" s="1213" t="s">
        <v>1080</v>
      </c>
      <c r="C504" s="1214"/>
      <c r="D504" s="1214"/>
      <c r="E504" s="1214"/>
      <c r="F504" s="1213" t="s">
        <v>7</v>
      </c>
      <c r="G504" s="1213" t="s">
        <v>1078</v>
      </c>
      <c r="H504" s="1214"/>
      <c r="I504" s="1215">
        <v>-2579</v>
      </c>
      <c r="J504" s="1215">
        <v>-172</v>
      </c>
      <c r="K504" s="1215">
        <v>-2751</v>
      </c>
      <c r="L504" s="653" t="str">
        <f t="shared" si="241"/>
        <v>4711@</v>
      </c>
      <c r="M504" s="654" t="str">
        <f t="shared" si="242"/>
        <v># DE VTE - P&amp;A B.T. CLIENT AUDI</v>
      </c>
      <c r="N504" s="655">
        <f>+IF(OR($Q504=Parametres!$G$2,$Q504=Parametres!$G$3),I504,C504)</f>
        <v>-2579</v>
      </c>
      <c r="O504" s="655">
        <f>+IF(OR($Q504=Parametres!$G$2,$Q504=Parametres!$G$3),J504,D504)</f>
        <v>-172</v>
      </c>
      <c r="P504" s="655">
        <f>+IF(OR($Q504=Parametres!$G$2,$Q504=Parametres!$G$3),K504,E504)</f>
        <v>-2751</v>
      </c>
      <c r="Q504" s="654" t="str">
        <f t="shared" si="243"/>
        <v>10-Compte compteur</v>
      </c>
      <c r="R504" s="653" t="str">
        <f t="shared" si="244"/>
        <v>84711</v>
      </c>
      <c r="S504" s="654">
        <f t="shared" si="245"/>
        <v>0</v>
      </c>
      <c r="T504" s="656" t="str">
        <f>+VLOOKUP($L504,Data_Validation!$A:$D,1,0)</f>
        <v>4711@</v>
      </c>
      <c r="U504" s="656" t="str">
        <f>+VLOOKUP($L504,Data_Validation!$A:$D,3,0)</f>
        <v>Pièces</v>
      </c>
      <c r="V504" s="656" t="str">
        <f>+VLOOKUP($L504,Data_Validation!$A:$D,4,0)</f>
        <v>Pièces Ro Clients</v>
      </c>
      <c r="W504" s="656" t="str">
        <f>+VLOOKUP($L504,Data_Validation!$A:$E,5,0)</f>
        <v>NB</v>
      </c>
      <c r="X504" s="656">
        <f>+VLOOKUP($L504,Data_Validation!$A:$F,6,0)</f>
        <v>0</v>
      </c>
    </row>
    <row r="505" spans="1:24" ht="15.75" hidden="1" customHeight="1">
      <c r="A505" s="1213" t="s">
        <v>1087</v>
      </c>
      <c r="B505" s="1213" t="s">
        <v>1088</v>
      </c>
      <c r="C505" s="1214"/>
      <c r="D505" s="1214"/>
      <c r="E505" s="1214"/>
      <c r="F505" s="1213" t="s">
        <v>7</v>
      </c>
      <c r="G505" s="1213" t="s">
        <v>1086</v>
      </c>
      <c r="H505" s="1214"/>
      <c r="I505" s="1215">
        <v>-21</v>
      </c>
      <c r="J505" s="1215">
        <v>-1</v>
      </c>
      <c r="K505" s="1215">
        <v>-22</v>
      </c>
      <c r="L505" s="653" t="str">
        <f t="shared" ref="L505:L509" si="246">TEXT(B505,0)</f>
        <v>4731@</v>
      </c>
      <c r="M505" s="654" t="str">
        <f t="shared" ref="M505:M509" si="247">+A505</f>
        <v>PIECES-BON REPAR. PEINT/DEBOS</v>
      </c>
      <c r="N505" s="655">
        <f>+IF(OR($Q505=Parametres!$G$2,$Q505=Parametres!$G$3),I505,C505)</f>
        <v>-21</v>
      </c>
      <c r="O505" s="655">
        <f>+IF(OR($Q505=Parametres!$G$2,$Q505=Parametres!$G$3),J505,D505)</f>
        <v>-1</v>
      </c>
      <c r="P505" s="655">
        <f>+IF(OR($Q505=Parametres!$G$2,$Q505=Parametres!$G$3),K505,E505)</f>
        <v>-22</v>
      </c>
      <c r="Q505" s="654" t="str">
        <f t="shared" ref="Q505:Q509" si="248">+F505</f>
        <v>10-Compte compteur</v>
      </c>
      <c r="R505" s="653" t="str">
        <f t="shared" ref="R505:R509" si="249">+G505</f>
        <v>4731</v>
      </c>
      <c r="S505" s="654">
        <f t="shared" ref="S505:S509" si="250">+H505</f>
        <v>0</v>
      </c>
      <c r="T505" s="656" t="str">
        <f>+VLOOKUP($L505,Data_Validation!$A:$D,1,0)</f>
        <v>4731@</v>
      </c>
      <c r="U505" s="656" t="str">
        <f>+VLOOKUP($L505,Data_Validation!$A:$D,3,0)</f>
        <v>Pièces</v>
      </c>
      <c r="V505" s="656" t="str">
        <f>+VLOOKUP($L505,Data_Validation!$A:$D,4,0)</f>
        <v>Pièces Ro Carrosserie</v>
      </c>
      <c r="W505" s="656" t="str">
        <f>+VLOOKUP($L505,Data_Validation!$A:$E,5,0)</f>
        <v>NB</v>
      </c>
      <c r="X505" s="656">
        <f>+VLOOKUP($L505,Data_Validation!$A:$F,6,0)</f>
        <v>0</v>
      </c>
    </row>
    <row r="506" spans="1:24" ht="15.75" hidden="1" customHeight="1">
      <c r="A506" s="1213" t="s">
        <v>1091</v>
      </c>
      <c r="B506" s="1213" t="s">
        <v>1092</v>
      </c>
      <c r="C506" s="1214"/>
      <c r="D506" s="1214"/>
      <c r="E506" s="1214"/>
      <c r="F506" s="1213" t="s">
        <v>7</v>
      </c>
      <c r="G506" s="1213" t="s">
        <v>1090</v>
      </c>
      <c r="H506" s="1214"/>
      <c r="I506" s="1215">
        <v>-69</v>
      </c>
      <c r="J506" s="1215">
        <v>-7</v>
      </c>
      <c r="K506" s="1215">
        <v>-76</v>
      </c>
      <c r="L506" s="653" t="str">
        <f t="shared" si="246"/>
        <v>4733@</v>
      </c>
      <c r="M506" s="654" t="str">
        <f t="shared" si="247"/>
        <v># DE VTE - P&amp;A B.T. GARANTIE CARR.</v>
      </c>
      <c r="N506" s="655">
        <f>+IF(OR($Q506=Parametres!$G$2,$Q506=Parametres!$G$3),I506,C506)</f>
        <v>-69</v>
      </c>
      <c r="O506" s="655">
        <f>+IF(OR($Q506=Parametres!$G$2,$Q506=Parametres!$G$3),J506,D506)</f>
        <v>-7</v>
      </c>
      <c r="P506" s="655">
        <f>+IF(OR($Q506=Parametres!$G$2,$Q506=Parametres!$G$3),K506,E506)</f>
        <v>-76</v>
      </c>
      <c r="Q506" s="654" t="str">
        <f t="shared" si="248"/>
        <v>10-Compte compteur</v>
      </c>
      <c r="R506" s="653" t="str">
        <f t="shared" si="249"/>
        <v>4733</v>
      </c>
      <c r="S506" s="654">
        <f t="shared" si="250"/>
        <v>0</v>
      </c>
      <c r="T506" s="656" t="str">
        <f>+VLOOKUP($L506,Data_Validation!$A:$D,1,0)</f>
        <v>4733@</v>
      </c>
      <c r="U506" s="656" t="str">
        <f>+VLOOKUP($L506,Data_Validation!$A:$D,3,0)</f>
        <v>Pièces</v>
      </c>
      <c r="V506" s="656" t="str">
        <f>+VLOOKUP($L506,Data_Validation!$A:$D,4,0)</f>
        <v>Pièces Ro Carrosserie</v>
      </c>
      <c r="W506" s="656" t="str">
        <f>+VLOOKUP($L506,Data_Validation!$A:$E,5,0)</f>
        <v>NB</v>
      </c>
      <c r="X506" s="656">
        <f>+VLOOKUP($L506,Data_Validation!$A:$F,6,0)</f>
        <v>0</v>
      </c>
    </row>
    <row r="507" spans="1:24" ht="15.75" hidden="1" customHeight="1">
      <c r="A507" s="1213" t="s">
        <v>1095</v>
      </c>
      <c r="B507" s="1213" t="s">
        <v>1096</v>
      </c>
      <c r="C507" s="1214"/>
      <c r="D507" s="1214"/>
      <c r="E507" s="1214"/>
      <c r="F507" s="1213" t="s">
        <v>7</v>
      </c>
      <c r="G507" s="1213" t="s">
        <v>1094</v>
      </c>
      <c r="H507" s="1214"/>
      <c r="I507" s="1215">
        <v>-15</v>
      </c>
      <c r="J507" s="1215">
        <v>-2</v>
      </c>
      <c r="K507" s="1215">
        <v>-17</v>
      </c>
      <c r="L507" s="653" t="str">
        <f t="shared" si="246"/>
        <v>4735@</v>
      </c>
      <c r="M507" s="654" t="str">
        <f t="shared" si="247"/>
        <v># DE VTE - P&amp;A B.T. INTERNE CARROS.</v>
      </c>
      <c r="N507" s="655">
        <f>+IF(OR($Q507=Parametres!$G$2,$Q507=Parametres!$G$3),I507,C507)</f>
        <v>-15</v>
      </c>
      <c r="O507" s="655">
        <f>+IF(OR($Q507=Parametres!$G$2,$Q507=Parametres!$G$3),J507,D507)</f>
        <v>-2</v>
      </c>
      <c r="P507" s="655">
        <f>+IF(OR($Q507=Parametres!$G$2,$Q507=Parametres!$G$3),K507,E507)</f>
        <v>-17</v>
      </c>
      <c r="Q507" s="654" t="str">
        <f t="shared" si="248"/>
        <v>10-Compte compteur</v>
      </c>
      <c r="R507" s="653" t="str">
        <f t="shared" si="249"/>
        <v>4735</v>
      </c>
      <c r="S507" s="654">
        <f t="shared" si="250"/>
        <v>0</v>
      </c>
      <c r="T507" s="656" t="str">
        <f>+VLOOKUP($L507,Data_Validation!$A:$D,1,0)</f>
        <v>4735@</v>
      </c>
      <c r="U507" s="656" t="str">
        <f>+VLOOKUP($L507,Data_Validation!$A:$D,3,0)</f>
        <v>Pièces</v>
      </c>
      <c r="V507" s="656" t="str">
        <f>+VLOOKUP($L507,Data_Validation!$A:$D,4,0)</f>
        <v>Pièces Ro Carrosserie</v>
      </c>
      <c r="W507" s="656" t="str">
        <f>+VLOOKUP($L507,Data_Validation!$A:$E,5,0)</f>
        <v>NB</v>
      </c>
      <c r="X507" s="656">
        <f>+VLOOKUP($L507,Data_Validation!$A:$F,6,0)</f>
        <v>0</v>
      </c>
    </row>
    <row r="508" spans="1:24" ht="15.75" hidden="1" customHeight="1">
      <c r="A508" s="1213" t="s">
        <v>1099</v>
      </c>
      <c r="B508" s="1213" t="s">
        <v>1100</v>
      </c>
      <c r="C508" s="1214"/>
      <c r="D508" s="1214"/>
      <c r="E508" s="1214"/>
      <c r="F508" s="1213" t="s">
        <v>7</v>
      </c>
      <c r="G508" s="1213" t="s">
        <v>1098</v>
      </c>
      <c r="H508" s="1214"/>
      <c r="I508" s="1215">
        <v>-1663</v>
      </c>
      <c r="J508" s="1215">
        <v>-171</v>
      </c>
      <c r="K508" s="1215">
        <v>-1834</v>
      </c>
      <c r="L508" s="653" t="str">
        <f t="shared" si="246"/>
        <v>4761@</v>
      </c>
      <c r="M508" s="654" t="str">
        <f t="shared" si="247"/>
        <v>PIECES-COMPTOIR-DETAIL</v>
      </c>
      <c r="N508" s="655">
        <f>+IF(OR($Q508=Parametres!$G$2,$Q508=Parametres!$G$3),I508,C508)</f>
        <v>-1663</v>
      </c>
      <c r="O508" s="655">
        <f>+IF(OR($Q508=Parametres!$G$2,$Q508=Parametres!$G$3),J508,D508)</f>
        <v>-171</v>
      </c>
      <c r="P508" s="655">
        <f>+IF(OR($Q508=Parametres!$G$2,$Q508=Parametres!$G$3),K508,E508)</f>
        <v>-1834</v>
      </c>
      <c r="Q508" s="654" t="str">
        <f t="shared" si="248"/>
        <v>10-Compte compteur</v>
      </c>
      <c r="R508" s="653" t="str">
        <f t="shared" si="249"/>
        <v>4761</v>
      </c>
      <c r="S508" s="654">
        <f t="shared" si="250"/>
        <v>0</v>
      </c>
      <c r="T508" s="656" t="str">
        <f>+VLOOKUP($L508,Data_Validation!$A:$D,1,0)</f>
        <v>4761@</v>
      </c>
      <c r="U508" s="656" t="str">
        <f>+VLOOKUP($L508,Data_Validation!$A:$D,3,0)</f>
        <v>Pièces</v>
      </c>
      <c r="V508" s="656" t="str">
        <f>+VLOOKUP($L508,Data_Validation!$A:$D,4,0)</f>
        <v>Ventes Détails</v>
      </c>
      <c r="W508" s="656" t="str">
        <f>+VLOOKUP($L508,Data_Validation!$A:$E,5,0)</f>
        <v>NB</v>
      </c>
      <c r="X508" s="656">
        <f>+VLOOKUP($L508,Data_Validation!$A:$F,6,0)</f>
        <v>0</v>
      </c>
    </row>
    <row r="509" spans="1:24" ht="15.75" hidden="1" customHeight="1">
      <c r="A509" s="1213" t="s">
        <v>1103</v>
      </c>
      <c r="B509" s="1213" t="s">
        <v>1104</v>
      </c>
      <c r="C509" s="1214"/>
      <c r="D509" s="1214"/>
      <c r="E509" s="1214"/>
      <c r="F509" s="1213" t="s">
        <v>7</v>
      </c>
      <c r="G509" s="1213" t="s">
        <v>1102</v>
      </c>
      <c r="H509" s="1214"/>
      <c r="I509" s="1215">
        <v>-4173</v>
      </c>
      <c r="J509" s="1215">
        <v>-366</v>
      </c>
      <c r="K509" s="1215">
        <v>-4539</v>
      </c>
      <c r="L509" s="653" t="str">
        <f t="shared" si="246"/>
        <v>4763@</v>
      </c>
      <c r="M509" s="654" t="str">
        <f t="shared" si="247"/>
        <v>PIECES-COMPTOIR-COMM. GROS</v>
      </c>
      <c r="N509" s="655">
        <f>+IF(OR($Q509=Parametres!$G$2,$Q509=Parametres!$G$3),I509,C509)</f>
        <v>-4173</v>
      </c>
      <c r="O509" s="655">
        <f>+IF(OR($Q509=Parametres!$G$2,$Q509=Parametres!$G$3),J509,D509)</f>
        <v>-366</v>
      </c>
      <c r="P509" s="655">
        <f>+IF(OR($Q509=Parametres!$G$2,$Q509=Parametres!$G$3),K509,E509)</f>
        <v>-4539</v>
      </c>
      <c r="Q509" s="654" t="str">
        <f t="shared" si="248"/>
        <v>10-Compte compteur</v>
      </c>
      <c r="R509" s="653" t="str">
        <f t="shared" si="249"/>
        <v>4763</v>
      </c>
      <c r="S509" s="654">
        <f t="shared" si="250"/>
        <v>0</v>
      </c>
      <c r="T509" s="656" t="str">
        <f>+VLOOKUP($L509,Data_Validation!$A:$D,1,0)</f>
        <v>4763@</v>
      </c>
      <c r="U509" s="656" t="str">
        <f>+VLOOKUP($L509,Data_Validation!$A:$D,3,0)</f>
        <v>Pièces</v>
      </c>
      <c r="V509" s="656" t="str">
        <f>+VLOOKUP($L509,Data_Validation!$A:$D,4,0)</f>
        <v>Ventes de Gros</v>
      </c>
      <c r="W509" s="656" t="str">
        <f>+VLOOKUP($L509,Data_Validation!$A:$E,5,0)</f>
        <v>NB</v>
      </c>
      <c r="X509" s="656">
        <f>+VLOOKUP($L509,Data_Validation!$A:$F,6,0)</f>
        <v>0</v>
      </c>
    </row>
    <row r="510" spans="1:24" ht="15.75" hidden="1" customHeight="1">
      <c r="A510" s="1213" t="s">
        <v>1105</v>
      </c>
      <c r="B510" s="1213" t="s">
        <v>1107</v>
      </c>
      <c r="C510" s="1214"/>
      <c r="D510" s="1214"/>
      <c r="E510" s="1214"/>
      <c r="F510" s="1213" t="s">
        <v>7</v>
      </c>
      <c r="G510" s="1213" t="s">
        <v>1106</v>
      </c>
      <c r="H510" s="1214"/>
      <c r="I510" s="1215">
        <v>-446</v>
      </c>
      <c r="J510" s="1215">
        <v>-54</v>
      </c>
      <c r="K510" s="1215">
        <v>-500</v>
      </c>
      <c r="L510" s="653" t="str">
        <f t="shared" ref="L510:L511" si="251">TEXT(B510,0)</f>
        <v>4781@</v>
      </c>
      <c r="M510" s="654" t="str">
        <f t="shared" ref="M510:M511" si="252">+A510</f>
        <v>VENTES PNEUS</v>
      </c>
      <c r="N510" s="655">
        <f>+IF(OR($Q510=Parametres!$G$2,$Q510=Parametres!$G$3),I510,C510)</f>
        <v>-446</v>
      </c>
      <c r="O510" s="655">
        <f>+IF(OR($Q510=Parametres!$G$2,$Q510=Parametres!$G$3),J510,D510)</f>
        <v>-54</v>
      </c>
      <c r="P510" s="655">
        <f>+IF(OR($Q510=Parametres!$G$2,$Q510=Parametres!$G$3),K510,E510)</f>
        <v>-500</v>
      </c>
      <c r="Q510" s="654" t="str">
        <f t="shared" ref="Q510:Q511" si="253">+F510</f>
        <v>10-Compte compteur</v>
      </c>
      <c r="R510" s="653" t="str">
        <f t="shared" ref="R510:R511" si="254">+G510</f>
        <v>4781</v>
      </c>
      <c r="S510" s="654">
        <f t="shared" ref="S510:S511" si="255">+H510</f>
        <v>0</v>
      </c>
      <c r="T510" s="656" t="str">
        <f>+VLOOKUP($L510,Data_Validation!$A:$D,1,0)</f>
        <v>4781@</v>
      </c>
      <c r="U510" s="656" t="str">
        <f>+VLOOKUP($L510,Data_Validation!$A:$D,3,0)</f>
        <v>Pièces</v>
      </c>
      <c r="V510" s="656" t="str">
        <f>+VLOOKUP($L510,Data_Validation!$A:$D,4,0)</f>
        <v>Ventes Pneus</v>
      </c>
      <c r="W510" s="656" t="str">
        <f>+VLOOKUP($L510,Data_Validation!$A:$E,5,0)</f>
        <v>NB</v>
      </c>
      <c r="X510" s="656">
        <f>+VLOOKUP($L510,Data_Validation!$A:$F,6,0)</f>
        <v>0</v>
      </c>
    </row>
    <row r="511" spans="1:24" ht="15.75" hidden="1" customHeight="1">
      <c r="A511" s="1213" t="s">
        <v>1292</v>
      </c>
      <c r="B511" s="1213" t="s">
        <v>1293</v>
      </c>
      <c r="C511" s="1214"/>
      <c r="D511" s="1214"/>
      <c r="E511" s="1214"/>
      <c r="F511" s="1213" t="s">
        <v>7</v>
      </c>
      <c r="G511" s="1213" t="s">
        <v>1291</v>
      </c>
      <c r="H511" s="1214"/>
      <c r="I511" s="1215">
        <v>-11</v>
      </c>
      <c r="J511" s="1215">
        <v>0</v>
      </c>
      <c r="K511" s="1215">
        <v>-11</v>
      </c>
      <c r="L511" s="653" t="str">
        <f t="shared" si="251"/>
        <v>9161@</v>
      </c>
      <c r="M511" s="654" t="str">
        <f t="shared" si="252"/>
        <v>REV FINANCE ET ASS NEUF</v>
      </c>
      <c r="N511" s="655">
        <f>+IF(OR($Q511=Parametres!$G$2,$Q511=Parametres!$G$3),I511,C511)</f>
        <v>-11</v>
      </c>
      <c r="O511" s="655">
        <f>+IF(OR($Q511=Parametres!$G$2,$Q511=Parametres!$G$3),J511,D511)</f>
        <v>0</v>
      </c>
      <c r="P511" s="655">
        <f>+IF(OR($Q511=Parametres!$G$2,$Q511=Parametres!$G$3),K511,E511)</f>
        <v>-11</v>
      </c>
      <c r="Q511" s="654" t="str">
        <f t="shared" si="253"/>
        <v>10-Compte compteur</v>
      </c>
      <c r="R511" s="653" t="str">
        <f t="shared" si="254"/>
        <v>9161</v>
      </c>
      <c r="S511" s="654">
        <f t="shared" si="255"/>
        <v>0</v>
      </c>
      <c r="T511" s="656" t="str">
        <f>+VLOOKUP($L511,Data_Validation!$A:$D,1,0)</f>
        <v>9161@</v>
      </c>
      <c r="U511" s="656" t="str">
        <f>+VLOOKUP($L511,Data_Validation!$A:$D,3,0)</f>
        <v>Véhicules neufs</v>
      </c>
      <c r="V511" s="656">
        <f>+VLOOKUP($L511,Data_Validation!$A:$D,4,0)</f>
        <v>0</v>
      </c>
      <c r="W511" s="656" t="str">
        <f>+VLOOKUP($L511,Data_Validation!$A:$E,5,0)</f>
        <v>NB</v>
      </c>
      <c r="X511" s="656">
        <f>+VLOOKUP($L511,Data_Validation!$A:$F,6,0)</f>
        <v>0</v>
      </c>
    </row>
    <row r="512" spans="1:24" ht="15.75" hidden="1" customHeight="1">
      <c r="A512" s="1213" t="s">
        <v>1294</v>
      </c>
      <c r="B512" s="1213" t="s">
        <v>1296</v>
      </c>
      <c r="C512" s="1214"/>
      <c r="D512" s="1214"/>
      <c r="E512" s="1214"/>
      <c r="F512" s="1213" t="s">
        <v>7</v>
      </c>
      <c r="G512" s="1213" t="s">
        <v>1295</v>
      </c>
      <c r="H512" s="1214"/>
      <c r="I512" s="1215">
        <v>-100</v>
      </c>
      <c r="J512" s="1215">
        <v>-2</v>
      </c>
      <c r="K512" s="1215">
        <v>-102</v>
      </c>
      <c r="L512" s="653" t="str">
        <f t="shared" ref="L512:L513" si="256">TEXT(B512,0)</f>
        <v>9163@</v>
      </c>
      <c r="M512" s="654" t="str">
        <f t="shared" ref="M512:M513" si="257">+A512</f>
        <v>RESERVE FIN ET ASS VEH OCCASION</v>
      </c>
      <c r="N512" s="655">
        <f>+IF(OR($Q512=Parametres!$G$2,$Q512=Parametres!$G$3),I512,C512)</f>
        <v>-100</v>
      </c>
      <c r="O512" s="655">
        <f>+IF(OR($Q512=Parametres!$G$2,$Q512=Parametres!$G$3),J512,D512)</f>
        <v>-2</v>
      </c>
      <c r="P512" s="655">
        <f>+IF(OR($Q512=Parametres!$G$2,$Q512=Parametres!$G$3),K512,E512)</f>
        <v>-102</v>
      </c>
      <c r="Q512" s="654" t="str">
        <f t="shared" ref="Q512:Q513" si="258">+F512</f>
        <v>10-Compte compteur</v>
      </c>
      <c r="R512" s="653" t="str">
        <f t="shared" ref="R512:R513" si="259">+G512</f>
        <v>9163</v>
      </c>
      <c r="S512" s="654">
        <f t="shared" ref="S512:S513" si="260">+H512</f>
        <v>0</v>
      </c>
      <c r="T512" s="656" t="str">
        <f>+VLOOKUP($L512,Data_Validation!$A:$D,1,0)</f>
        <v>9163@</v>
      </c>
      <c r="U512" s="656" t="str">
        <f>+VLOOKUP($L512,Data_Validation!$A:$D,3,0)</f>
        <v>Véhicules usagés</v>
      </c>
      <c r="V512" s="656">
        <f>+VLOOKUP($L512,Data_Validation!$A:$D,4,0)</f>
        <v>0</v>
      </c>
      <c r="W512" s="656" t="str">
        <f>+VLOOKUP($L512,Data_Validation!$A:$E,5,0)</f>
        <v>NB</v>
      </c>
      <c r="X512" s="656">
        <f>+VLOOKUP($L512,Data_Validation!$A:$F,6,0)</f>
        <v>0</v>
      </c>
    </row>
    <row r="513" spans="1:24" ht="15.75" hidden="1" customHeight="1">
      <c r="A513" s="1213" t="s">
        <v>3348</v>
      </c>
      <c r="B513" s="1213" t="s">
        <v>3349</v>
      </c>
      <c r="C513" s="1214"/>
      <c r="D513" s="1214"/>
      <c r="E513" s="1214"/>
      <c r="F513" s="1213" t="s">
        <v>7</v>
      </c>
      <c r="G513" s="1213" t="s">
        <v>1291</v>
      </c>
      <c r="H513" s="1214"/>
      <c r="I513" s="1215">
        <v>-661</v>
      </c>
      <c r="J513" s="1215">
        <v>-36</v>
      </c>
      <c r="K513" s="1215">
        <v>-697</v>
      </c>
      <c r="L513" s="653" t="str">
        <f t="shared" si="256"/>
        <v>9170@</v>
      </c>
      <c r="M513" s="654" t="str">
        <f t="shared" si="257"/>
        <v># DE PROFIT PROTECTIONS - NEUFS</v>
      </c>
      <c r="N513" s="655">
        <f>+IF(OR($Q513=Parametres!$G$2,$Q513=Parametres!$G$3),I513,C513)</f>
        <v>-661</v>
      </c>
      <c r="O513" s="655">
        <f>+IF(OR($Q513=Parametres!$G$2,$Q513=Parametres!$G$3),J513,D513)</f>
        <v>-36</v>
      </c>
      <c r="P513" s="655">
        <f>+IF(OR($Q513=Parametres!$G$2,$Q513=Parametres!$G$3),K513,E513)</f>
        <v>-697</v>
      </c>
      <c r="Q513" s="654" t="str">
        <f t="shared" si="258"/>
        <v>10-Compte compteur</v>
      </c>
      <c r="R513" s="653" t="str">
        <f t="shared" si="259"/>
        <v>9161</v>
      </c>
      <c r="S513" s="654">
        <f t="shared" si="260"/>
        <v>0</v>
      </c>
      <c r="T513" s="656" t="str">
        <f>+VLOOKUP($L513,Data_Validation!$A:$D,1,0)</f>
        <v>9170@</v>
      </c>
      <c r="U513" s="656" t="str">
        <f>+VLOOKUP($L513,Data_Validation!$A:$D,3,0)</f>
        <v>Véhicules neufs</v>
      </c>
      <c r="V513" s="656">
        <f>+VLOOKUP($L513,Data_Validation!$A:$D,4,0)</f>
        <v>0</v>
      </c>
      <c r="W513" s="656" t="str">
        <f>+VLOOKUP($L513,Data_Validation!$A:$E,5,0)</f>
        <v>NB</v>
      </c>
      <c r="X513" s="656">
        <f>+VLOOKUP($L513,Data_Validation!$A:$F,6,0)</f>
        <v>0</v>
      </c>
    </row>
    <row r="514" spans="1:24" ht="15.75" hidden="1" customHeight="1">
      <c r="A514" s="1213" t="s">
        <v>1307</v>
      </c>
      <c r="B514" s="1213" t="s">
        <v>1308</v>
      </c>
      <c r="C514" s="1214"/>
      <c r="D514" s="1214"/>
      <c r="E514" s="1214"/>
      <c r="F514" s="1213" t="s">
        <v>7</v>
      </c>
      <c r="G514" s="1213" t="s">
        <v>1295</v>
      </c>
      <c r="H514" s="1214"/>
      <c r="I514" s="1215">
        <v>-287</v>
      </c>
      <c r="J514" s="1215">
        <v>-17</v>
      </c>
      <c r="K514" s="1215">
        <v>-304</v>
      </c>
      <c r="L514" s="653" t="str">
        <f t="shared" ref="L514" si="261">TEXT(B514,0)</f>
        <v>9172@</v>
      </c>
      <c r="M514" s="654" t="str">
        <f t="shared" ref="M514" si="262">+A514</f>
        <v># DE PROFIT PROTECTIONS - USAGES</v>
      </c>
      <c r="N514" s="655">
        <f>+IF(OR($Q514=Parametres!$G$2,$Q514=Parametres!$G$3),I514,C514)</f>
        <v>-287</v>
      </c>
      <c r="O514" s="655">
        <f>+IF(OR($Q514=Parametres!$G$2,$Q514=Parametres!$G$3),J514,D514)</f>
        <v>-17</v>
      </c>
      <c r="P514" s="655">
        <f>+IF(OR($Q514=Parametres!$G$2,$Q514=Parametres!$G$3),K514,E514)</f>
        <v>-304</v>
      </c>
      <c r="Q514" s="654" t="str">
        <f t="shared" ref="Q514" si="263">+F514</f>
        <v>10-Compte compteur</v>
      </c>
      <c r="R514" s="653" t="str">
        <f t="shared" ref="R514" si="264">+G514</f>
        <v>9163</v>
      </c>
      <c r="S514" s="654">
        <f t="shared" ref="S514" si="265">+H514</f>
        <v>0</v>
      </c>
      <c r="T514" s="656" t="str">
        <f>+VLOOKUP($L514,Data_Validation!$A:$D,1,0)</f>
        <v>9172@</v>
      </c>
      <c r="U514" s="656" t="str">
        <f>+VLOOKUP($L514,Data_Validation!$A:$D,3,0)</f>
        <v>Véhicules usagés</v>
      </c>
      <c r="V514" s="656">
        <f>+VLOOKUP($L514,Data_Validation!$A:$D,4,0)</f>
        <v>0</v>
      </c>
      <c r="W514" s="656" t="str">
        <f>+VLOOKUP($L514,Data_Validation!$A:$E,5,0)</f>
        <v>NB</v>
      </c>
      <c r="X514" s="656">
        <f>+VLOOKUP($L514,Data_Validation!$A:$F,6,0)</f>
        <v>0</v>
      </c>
    </row>
    <row r="515" spans="1:24" ht="15.75" customHeight="1">
      <c r="C515" s="1023"/>
      <c r="D515" s="1023"/>
      <c r="E515" s="1023"/>
      <c r="I515" s="1024"/>
      <c r="J515" s="1024"/>
      <c r="K515" s="1024"/>
      <c r="O515" s="673"/>
    </row>
    <row r="516" spans="1:24" ht="15.75" customHeight="1">
      <c r="C516" s="1023"/>
      <c r="D516" s="1023"/>
      <c r="E516" s="1023"/>
      <c r="I516" s="1024"/>
      <c r="J516" s="1024"/>
      <c r="K516" s="1024"/>
      <c r="O516" s="673"/>
    </row>
    <row r="517" spans="1:24" ht="15.75" customHeight="1">
      <c r="C517" s="1023"/>
      <c r="D517" s="1023"/>
      <c r="E517" s="1023"/>
      <c r="I517" s="1024"/>
      <c r="J517" s="1024"/>
      <c r="K517" s="1024"/>
      <c r="O517" s="673"/>
    </row>
    <row r="518" spans="1:24" ht="15.75" customHeight="1">
      <c r="C518" s="1023"/>
      <c r="D518" s="1023"/>
      <c r="E518" s="1023"/>
      <c r="I518" s="1024"/>
      <c r="J518" s="1024"/>
      <c r="K518" s="1024"/>
      <c r="O518" s="673"/>
    </row>
    <row r="519" spans="1:24" ht="15.75" customHeight="1">
      <c r="C519" s="1023"/>
      <c r="D519" s="1023"/>
      <c r="E519" s="1023"/>
      <c r="I519" s="1024"/>
      <c r="J519" s="1024"/>
      <c r="K519" s="1024"/>
      <c r="O519" s="673"/>
    </row>
    <row r="520" spans="1:24" ht="15.75" customHeight="1">
      <c r="C520" s="1023"/>
      <c r="D520" s="1023"/>
      <c r="E520" s="1023"/>
      <c r="I520" s="1024"/>
      <c r="J520" s="1024"/>
      <c r="K520" s="1024"/>
      <c r="O520" s="673"/>
    </row>
    <row r="521" spans="1:24" ht="15.75" customHeight="1">
      <c r="C521" s="1023"/>
      <c r="D521" s="1023"/>
      <c r="E521" s="1023"/>
      <c r="I521" s="1024"/>
      <c r="J521" s="1024"/>
      <c r="K521" s="1024"/>
      <c r="O521" s="673"/>
    </row>
    <row r="522" spans="1:24" ht="15.75" customHeight="1">
      <c r="C522" s="1023"/>
      <c r="D522" s="1023"/>
      <c r="E522" s="1023"/>
      <c r="I522" s="1024"/>
      <c r="J522" s="1024"/>
      <c r="K522" s="1024"/>
      <c r="O522" s="673"/>
    </row>
    <row r="523" spans="1:24" ht="15.75" customHeight="1">
      <c r="C523" s="1023"/>
      <c r="D523" s="1023"/>
      <c r="E523" s="1023"/>
      <c r="I523" s="1024"/>
      <c r="J523" s="1024"/>
      <c r="K523" s="1024"/>
      <c r="O523" s="673"/>
    </row>
    <row r="524" spans="1:24" ht="15.75" customHeight="1">
      <c r="C524" s="1023"/>
      <c r="D524" s="1023"/>
      <c r="E524" s="1023"/>
      <c r="I524" s="1024"/>
      <c r="J524" s="1024"/>
      <c r="K524" s="1024"/>
      <c r="O524" s="673"/>
    </row>
    <row r="525" spans="1:24" ht="15.75" customHeight="1">
      <c r="C525" s="1023"/>
      <c r="D525" s="1023"/>
      <c r="E525" s="1023"/>
      <c r="I525" s="1024"/>
      <c r="J525" s="1024"/>
      <c r="K525" s="1024"/>
      <c r="O525" s="673"/>
    </row>
    <row r="526" spans="1:24" ht="15.75" customHeight="1">
      <c r="C526" s="1023"/>
      <c r="D526" s="1023"/>
      <c r="E526" s="1023"/>
      <c r="I526" s="1024"/>
      <c r="J526" s="1024"/>
      <c r="K526" s="1024"/>
      <c r="O526" s="673"/>
    </row>
    <row r="527" spans="1:24" ht="15.75" customHeight="1">
      <c r="C527" s="1023"/>
      <c r="D527" s="1023"/>
      <c r="E527" s="1023"/>
      <c r="I527" s="1024"/>
      <c r="J527" s="1024"/>
      <c r="K527" s="1024"/>
      <c r="O527" s="673"/>
    </row>
    <row r="528" spans="1:24"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row r="601" spans="3:15" ht="15.75" customHeight="1">
      <c r="C601" s="1023"/>
      <c r="D601" s="1023"/>
      <c r="E601" s="1023"/>
      <c r="I601" s="1024"/>
      <c r="J601" s="1024"/>
      <c r="K601" s="1024"/>
      <c r="O601" s="673"/>
    </row>
    <row r="602" spans="3:15" ht="15.75" customHeight="1">
      <c r="C602" s="1023"/>
      <c r="D602" s="1023"/>
      <c r="E602" s="1023"/>
      <c r="I602" s="1024"/>
      <c r="J602" s="1024"/>
      <c r="K602" s="1024"/>
      <c r="O602" s="673"/>
    </row>
    <row r="603" spans="3:15" ht="15.75" customHeight="1">
      <c r="C603" s="1023"/>
      <c r="D603" s="1023"/>
      <c r="E603" s="1023"/>
      <c r="I603" s="1024"/>
      <c r="J603" s="1024"/>
      <c r="K603" s="1024"/>
      <c r="O603" s="673"/>
    </row>
    <row r="604" spans="3:15" ht="15.75" customHeight="1">
      <c r="C604" s="1023"/>
      <c r="D604" s="1023"/>
      <c r="E604" s="1023"/>
      <c r="I604" s="1024"/>
      <c r="J604" s="1024"/>
      <c r="K604" s="1024"/>
      <c r="O604" s="673"/>
    </row>
    <row r="605" spans="3:15" ht="15.75" customHeight="1">
      <c r="C605" s="1023"/>
      <c r="D605" s="1023"/>
      <c r="E605" s="1023"/>
      <c r="I605" s="1024"/>
      <c r="J605" s="1024"/>
      <c r="K605" s="1024"/>
      <c r="O605" s="673"/>
    </row>
    <row r="606" spans="3:15" ht="15.75" customHeight="1">
      <c r="C606" s="1023"/>
      <c r="D606" s="1023"/>
      <c r="E606" s="1023"/>
      <c r="I606" s="1024"/>
      <c r="J606" s="1024"/>
      <c r="K606" s="1024"/>
      <c r="O606" s="673"/>
    </row>
    <row r="607" spans="3:15" ht="15.75" customHeight="1">
      <c r="C607" s="1023"/>
      <c r="D607" s="1023"/>
      <c r="E607" s="1023"/>
      <c r="I607" s="1024"/>
      <c r="J607" s="1024"/>
      <c r="K607" s="1024"/>
      <c r="O607" s="673"/>
    </row>
    <row r="608" spans="3:15" ht="15.75" customHeight="1">
      <c r="C608" s="1023"/>
      <c r="D608" s="1023"/>
      <c r="E608" s="1023"/>
      <c r="I608" s="1024"/>
      <c r="J608" s="1024"/>
      <c r="K608" s="1024"/>
      <c r="O608" s="673"/>
    </row>
    <row r="609" spans="3:15" ht="15.75" customHeight="1">
      <c r="C609" s="1023"/>
      <c r="D609" s="1023"/>
      <c r="E609" s="1023"/>
      <c r="I609" s="1024"/>
      <c r="J609" s="1024"/>
      <c r="K609" s="1024"/>
      <c r="O609" s="673"/>
    </row>
    <row r="610" spans="3:15" ht="15.75" customHeight="1">
      <c r="C610" s="1023"/>
      <c r="D610" s="1023"/>
      <c r="E610" s="1023"/>
      <c r="I610" s="1024"/>
      <c r="J610" s="1024"/>
      <c r="K610" s="1024"/>
      <c r="O610" s="673"/>
    </row>
    <row r="611" spans="3:15" ht="15.75" customHeight="1">
      <c r="C611" s="1023"/>
      <c r="D611" s="1023"/>
      <c r="E611" s="1023"/>
      <c r="I611" s="1024"/>
      <c r="J611" s="1024"/>
      <c r="K611" s="1024"/>
      <c r="O611" s="673"/>
    </row>
    <row r="612" spans="3:15" ht="15.75" customHeight="1">
      <c r="C612" s="1023"/>
      <c r="D612" s="1023"/>
      <c r="E612" s="1023"/>
      <c r="I612" s="1024"/>
      <c r="J612" s="1024"/>
      <c r="K612" s="1024"/>
      <c r="O612" s="673"/>
    </row>
    <row r="613" spans="3:15" ht="15.75" customHeight="1">
      <c r="C613" s="1023"/>
      <c r="D613" s="1023"/>
      <c r="E613" s="1023"/>
      <c r="I613" s="1024"/>
      <c r="J613" s="1024"/>
      <c r="K613" s="1024"/>
      <c r="O613" s="673"/>
    </row>
    <row r="614" spans="3:15" ht="15.75" customHeight="1">
      <c r="C614" s="1023"/>
      <c r="D614" s="1023"/>
      <c r="E614" s="1023"/>
      <c r="I614" s="1024"/>
      <c r="J614" s="1024"/>
      <c r="K614" s="1024"/>
      <c r="O614" s="673"/>
    </row>
    <row r="615" spans="3:15" ht="15.75" customHeight="1">
      <c r="C615" s="1023"/>
      <c r="D615" s="1023"/>
      <c r="E615" s="1023"/>
      <c r="I615" s="1024"/>
      <c r="J615" s="1024"/>
      <c r="K615" s="1024"/>
      <c r="O615" s="673"/>
    </row>
    <row r="616" spans="3:15" ht="15.75" customHeight="1">
      <c r="C616" s="1023"/>
      <c r="D616" s="1023"/>
      <c r="E616" s="1023"/>
      <c r="I616" s="1024"/>
      <c r="J616" s="1024"/>
      <c r="K616" s="1024"/>
      <c r="O616" s="673"/>
    </row>
    <row r="617" spans="3:15" ht="15.75" customHeight="1">
      <c r="C617" s="1023"/>
      <c r="D617" s="1023"/>
      <c r="E617" s="1023"/>
      <c r="I617" s="1024"/>
      <c r="J617" s="1024"/>
      <c r="K617" s="1024"/>
      <c r="O617" s="673"/>
    </row>
    <row r="618" spans="3:15" ht="15.75" customHeight="1">
      <c r="C618" s="1023"/>
      <c r="D618" s="1023"/>
      <c r="E618" s="1023"/>
      <c r="I618" s="1024"/>
      <c r="J618" s="1024"/>
      <c r="K618" s="1024"/>
      <c r="O618" s="673"/>
    </row>
    <row r="619" spans="3:15" ht="15.75" customHeight="1">
      <c r="C619" s="1023"/>
      <c r="D619" s="1023"/>
      <c r="E619" s="1023"/>
      <c r="I619" s="1024"/>
      <c r="J619" s="1024"/>
      <c r="K619" s="1024"/>
      <c r="O619" s="673"/>
    </row>
    <row r="620" spans="3:15" ht="15.75" customHeight="1">
      <c r="C620" s="1023"/>
      <c r="D620" s="1023"/>
      <c r="E620" s="1023"/>
      <c r="I620" s="1024"/>
      <c r="J620" s="1024"/>
      <c r="K620" s="1024"/>
      <c r="O620" s="673"/>
    </row>
    <row r="621" spans="3:15" ht="15.75" customHeight="1">
      <c r="C621" s="1023"/>
      <c r="D621" s="1023"/>
      <c r="E621" s="1023"/>
      <c r="I621" s="1024"/>
      <c r="J621" s="1024"/>
      <c r="K621" s="1024"/>
      <c r="O621" s="673"/>
    </row>
    <row r="622" spans="3:15" ht="15.75" customHeight="1">
      <c r="C622" s="1023"/>
      <c r="D622" s="1023"/>
      <c r="E622" s="1023"/>
      <c r="I622" s="1024"/>
      <c r="J622" s="1024"/>
      <c r="K622" s="1024"/>
      <c r="O622" s="673"/>
    </row>
    <row r="623" spans="3:15" ht="15.75" customHeight="1">
      <c r="C623" s="1023"/>
      <c r="D623" s="1023"/>
      <c r="E623" s="1023"/>
      <c r="I623" s="1024"/>
      <c r="J623" s="1024"/>
      <c r="K623" s="1024"/>
      <c r="O623" s="673"/>
    </row>
    <row r="624" spans="3:15" ht="15.75" customHeight="1">
      <c r="C624" s="1023"/>
      <c r="D624" s="1023"/>
      <c r="E624" s="1023"/>
      <c r="I624" s="1024"/>
      <c r="J624" s="1024"/>
      <c r="K624" s="1024"/>
      <c r="O624" s="673"/>
    </row>
    <row r="625" spans="3:15" ht="15.75" customHeight="1">
      <c r="C625" s="1023"/>
      <c r="D625" s="1023"/>
      <c r="E625" s="1023"/>
      <c r="I625" s="1024"/>
      <c r="J625" s="1024"/>
      <c r="K625" s="1024"/>
      <c r="O625" s="673"/>
    </row>
    <row r="626" spans="3:15" ht="15.75" customHeight="1">
      <c r="C626" s="1023"/>
      <c r="D626" s="1023"/>
      <c r="E626" s="1023"/>
      <c r="I626" s="1024"/>
      <c r="J626" s="1024"/>
      <c r="K626" s="1024"/>
      <c r="O626" s="673"/>
    </row>
    <row r="627" spans="3:15" ht="15.75" customHeight="1">
      <c r="C627" s="1023"/>
      <c r="D627" s="1023"/>
      <c r="E627" s="1023"/>
      <c r="I627" s="1024"/>
      <c r="J627" s="1024"/>
      <c r="K627" s="1024"/>
      <c r="O627" s="673"/>
    </row>
    <row r="628" spans="3:15" ht="15.75" customHeight="1">
      <c r="C628" s="1023"/>
      <c r="D628" s="1023"/>
      <c r="E628" s="1023"/>
      <c r="I628" s="1024"/>
      <c r="J628" s="1024"/>
      <c r="K628" s="1024"/>
      <c r="O628" s="673"/>
    </row>
    <row r="629" spans="3:15" ht="15.75" customHeight="1">
      <c r="C629" s="1023"/>
      <c r="D629" s="1023"/>
      <c r="E629" s="1023"/>
      <c r="I629" s="1024"/>
      <c r="J629" s="1024"/>
      <c r="K629" s="1024"/>
      <c r="O629" s="673"/>
    </row>
    <row r="630" spans="3:15" ht="15.75" customHeight="1">
      <c r="C630" s="1023"/>
      <c r="D630" s="1023"/>
      <c r="E630" s="1023"/>
      <c r="I630" s="1024"/>
      <c r="J630" s="1024"/>
      <c r="K630" s="1024"/>
      <c r="O630" s="673"/>
    </row>
    <row r="631" spans="3:15" ht="15.75" customHeight="1">
      <c r="C631" s="1023"/>
      <c r="D631" s="1023"/>
      <c r="E631" s="1023"/>
      <c r="I631" s="1024"/>
      <c r="J631" s="1024"/>
      <c r="K631" s="1024"/>
      <c r="O631" s="673"/>
    </row>
    <row r="632" spans="3:15" ht="15.75" customHeight="1">
      <c r="C632" s="1023"/>
      <c r="D632" s="1023"/>
      <c r="E632" s="1023"/>
      <c r="I632" s="1024"/>
      <c r="J632" s="1024"/>
      <c r="K632" s="1024"/>
      <c r="O632" s="673"/>
    </row>
    <row r="633" spans="3:15" ht="15.75" customHeight="1">
      <c r="C633" s="1023"/>
      <c r="D633" s="1023"/>
      <c r="E633" s="1023"/>
      <c r="I633" s="1024"/>
      <c r="J633" s="1024"/>
      <c r="K633" s="1024"/>
      <c r="O633" s="673"/>
    </row>
    <row r="634" spans="3:15" ht="15.75" customHeight="1">
      <c r="C634" s="1023"/>
      <c r="D634" s="1023"/>
      <c r="E634" s="1023"/>
      <c r="I634" s="1024"/>
      <c r="J634" s="1024"/>
      <c r="K634" s="1024"/>
      <c r="O634" s="673"/>
    </row>
    <row r="635" spans="3:15" ht="15.75" customHeight="1">
      <c r="C635" s="1023"/>
      <c r="D635" s="1023"/>
      <c r="E635" s="1023"/>
      <c r="I635" s="1024"/>
      <c r="J635" s="1024"/>
      <c r="K635" s="1024"/>
      <c r="O635" s="673"/>
    </row>
    <row r="636" spans="3:15" ht="15.75" customHeight="1">
      <c r="C636" s="1023"/>
      <c r="D636" s="1023"/>
      <c r="E636" s="1023"/>
      <c r="I636" s="1024"/>
      <c r="J636" s="1024"/>
      <c r="K636" s="1024"/>
      <c r="O636" s="673"/>
    </row>
    <row r="637" spans="3:15" ht="15.75" customHeight="1">
      <c r="C637" s="1023"/>
      <c r="D637" s="1023"/>
      <c r="E637" s="1023"/>
      <c r="I637" s="1024"/>
      <c r="J637" s="1024"/>
      <c r="K637" s="1024"/>
      <c r="O637" s="673"/>
    </row>
    <row r="638" spans="3:15" ht="15.75" customHeight="1">
      <c r="C638" s="1023"/>
      <c r="D638" s="1023"/>
      <c r="E638" s="1023"/>
      <c r="I638" s="1024"/>
      <c r="J638" s="1024"/>
      <c r="K638" s="1024"/>
      <c r="O638" s="673"/>
    </row>
    <row r="639" spans="3:15" ht="15.75" customHeight="1">
      <c r="C639" s="1023"/>
      <c r="D639" s="1023"/>
      <c r="E639" s="1023"/>
      <c r="I639" s="1024"/>
      <c r="J639" s="1024"/>
      <c r="K639" s="1024"/>
      <c r="O639" s="673"/>
    </row>
    <row r="640" spans="3:15" ht="15.75" customHeight="1">
      <c r="C640" s="1023"/>
      <c r="D640" s="1023"/>
      <c r="E640" s="1023"/>
      <c r="I640" s="1024"/>
      <c r="J640" s="1024"/>
      <c r="K640" s="1024"/>
      <c r="O640" s="673"/>
    </row>
    <row r="641" spans="3:15" ht="15.75" customHeight="1">
      <c r="C641" s="1023"/>
      <c r="D641" s="1023"/>
      <c r="E641" s="1023"/>
      <c r="I641" s="1024"/>
      <c r="J641" s="1024"/>
      <c r="K641" s="1024"/>
      <c r="O641" s="673"/>
    </row>
    <row r="642" spans="3:15" ht="15.75" customHeight="1">
      <c r="C642" s="1023"/>
      <c r="D642" s="1023"/>
      <c r="E642" s="1023"/>
      <c r="I642" s="1024"/>
      <c r="J642" s="1024"/>
      <c r="K642" s="1024"/>
      <c r="O642" s="673"/>
    </row>
    <row r="643" spans="3:15" ht="15.75" customHeight="1">
      <c r="C643" s="1023"/>
      <c r="D643" s="1023"/>
      <c r="E643" s="1023"/>
      <c r="I643" s="1024"/>
      <c r="J643" s="1024"/>
      <c r="K643" s="1024"/>
      <c r="O643" s="673"/>
    </row>
    <row r="644" spans="3:15" ht="15.75" customHeight="1">
      <c r="C644" s="1023"/>
      <c r="D644" s="1023"/>
      <c r="E644" s="1023"/>
      <c r="I644" s="1024"/>
      <c r="J644" s="1024"/>
      <c r="K644" s="1024"/>
      <c r="O644" s="673"/>
    </row>
    <row r="645" spans="3:15" ht="15.75" customHeight="1">
      <c r="C645" s="1023"/>
      <c r="D645" s="1023"/>
      <c r="E645" s="1023"/>
      <c r="I645" s="1024"/>
      <c r="J645" s="1024"/>
      <c r="K645" s="1024"/>
      <c r="O645" s="673"/>
    </row>
    <row r="646" spans="3:15" ht="15.75" customHeight="1">
      <c r="C646" s="1023"/>
      <c r="D646" s="1023"/>
      <c r="E646" s="1023"/>
      <c r="I646" s="1024"/>
      <c r="J646" s="1024"/>
      <c r="K646" s="1024"/>
      <c r="O646" s="673"/>
    </row>
    <row r="647" spans="3:15" ht="15.75" customHeight="1">
      <c r="C647" s="1023"/>
      <c r="D647" s="1023"/>
      <c r="E647" s="1023"/>
      <c r="I647" s="1024"/>
      <c r="J647" s="1024"/>
      <c r="K647" s="1024"/>
      <c r="O647" s="673"/>
    </row>
    <row r="648" spans="3:15" ht="15.75" customHeight="1">
      <c r="C648" s="1023"/>
      <c r="D648" s="1023"/>
      <c r="E648" s="1023"/>
      <c r="I648" s="1024"/>
      <c r="J648" s="1024"/>
      <c r="K648" s="1024"/>
      <c r="O648" s="673"/>
    </row>
    <row r="649" spans="3:15" ht="15.75" customHeight="1">
      <c r="C649" s="1023"/>
      <c r="D649" s="1023"/>
      <c r="E649" s="1023"/>
      <c r="I649" s="1024"/>
      <c r="J649" s="1024"/>
      <c r="K649" s="1024"/>
      <c r="O649" s="673"/>
    </row>
    <row r="650" spans="3:15" ht="15.75" customHeight="1">
      <c r="C650" s="1023"/>
      <c r="D650" s="1023"/>
      <c r="E650" s="1023"/>
      <c r="I650" s="1024"/>
      <c r="J650" s="1024"/>
      <c r="K650" s="1024"/>
      <c r="O650" s="673"/>
    </row>
    <row r="651" spans="3:15" ht="15.75" customHeight="1">
      <c r="C651" s="1023"/>
      <c r="D651" s="1023"/>
      <c r="E651" s="1023"/>
      <c r="I651" s="1024"/>
      <c r="J651" s="1024"/>
      <c r="K651" s="1024"/>
      <c r="O651" s="673"/>
    </row>
    <row r="652" spans="3:15" ht="15.75" customHeight="1">
      <c r="C652" s="1023"/>
      <c r="D652" s="1023"/>
      <c r="E652" s="1023"/>
      <c r="I652" s="1024"/>
      <c r="J652" s="1024"/>
      <c r="K652" s="1024"/>
      <c r="O652" s="673"/>
    </row>
    <row r="653" spans="3:15" ht="15.75" customHeight="1">
      <c r="C653" s="1023"/>
      <c r="D653" s="1023"/>
      <c r="E653" s="1023"/>
      <c r="I653" s="1024"/>
      <c r="J653" s="1024"/>
      <c r="K653" s="1024"/>
      <c r="O653" s="673"/>
    </row>
    <row r="654" spans="3:15" ht="15.75" customHeight="1">
      <c r="C654" s="1023"/>
      <c r="D654" s="1023"/>
      <c r="E654" s="1023"/>
      <c r="I654" s="1024"/>
      <c r="J654" s="1024"/>
      <c r="K654" s="1024"/>
      <c r="O654" s="673"/>
    </row>
    <row r="655" spans="3:15" ht="15.75" customHeight="1">
      <c r="C655" s="1023"/>
      <c r="D655" s="1023"/>
      <c r="E655" s="1023"/>
      <c r="I655" s="1024"/>
      <c r="J655" s="1024"/>
      <c r="K655" s="1024"/>
      <c r="O655" s="673"/>
    </row>
    <row r="656" spans="3:15" ht="15.75" customHeight="1">
      <c r="C656" s="1023"/>
      <c r="D656" s="1023"/>
      <c r="E656" s="1023"/>
      <c r="I656" s="1024"/>
      <c r="J656" s="1024"/>
      <c r="K656" s="1024"/>
      <c r="O656" s="673"/>
    </row>
    <row r="657" spans="3:15" ht="15.75" customHeight="1">
      <c r="C657" s="1023"/>
      <c r="D657" s="1023"/>
      <c r="E657" s="1023"/>
      <c r="I657" s="1024"/>
      <c r="J657" s="1024"/>
      <c r="K657" s="1024"/>
      <c r="O657" s="673"/>
    </row>
    <row r="658" spans="3:15" ht="15.75" customHeight="1">
      <c r="C658" s="1023"/>
      <c r="D658" s="1023"/>
      <c r="E658" s="1023"/>
      <c r="I658" s="1024"/>
      <c r="J658" s="1024"/>
      <c r="K658" s="1024"/>
      <c r="O658" s="673"/>
    </row>
    <row r="659" spans="3:15" ht="15.75" customHeight="1">
      <c r="C659" s="1023"/>
      <c r="D659" s="1023"/>
      <c r="E659" s="1023"/>
      <c r="I659" s="1024"/>
      <c r="J659" s="1024"/>
      <c r="K659" s="1024"/>
      <c r="O659" s="673"/>
    </row>
    <row r="660" spans="3:15" ht="15.75" customHeight="1">
      <c r="C660" s="1023"/>
      <c r="D660" s="1023"/>
      <c r="E660" s="1023"/>
      <c r="I660" s="1024"/>
      <c r="J660" s="1024"/>
      <c r="K660" s="1024"/>
      <c r="O660" s="673"/>
    </row>
    <row r="661" spans="3:15" ht="15.75" customHeight="1">
      <c r="C661" s="1023"/>
      <c r="D661" s="1023"/>
      <c r="E661" s="1023"/>
      <c r="I661" s="1024"/>
      <c r="J661" s="1024"/>
      <c r="K661" s="1024"/>
      <c r="O661" s="673"/>
    </row>
    <row r="662" spans="3:15" ht="15.75" customHeight="1">
      <c r="C662" s="1023"/>
      <c r="D662" s="1023"/>
      <c r="E662" s="1023"/>
      <c r="I662" s="1024"/>
      <c r="J662" s="1024"/>
      <c r="K662" s="1024"/>
      <c r="O662" s="673"/>
    </row>
    <row r="663" spans="3:15" ht="15.75" customHeight="1">
      <c r="C663" s="1023"/>
      <c r="D663" s="1023"/>
      <c r="E663" s="1023"/>
      <c r="I663" s="1024"/>
      <c r="J663" s="1024"/>
      <c r="K663" s="1024"/>
      <c r="O663" s="673"/>
    </row>
    <row r="664" spans="3:15" ht="15.75" customHeight="1">
      <c r="C664" s="1023"/>
      <c r="D664" s="1023"/>
      <c r="E664" s="1023"/>
      <c r="I664" s="1024"/>
      <c r="J664" s="1024"/>
      <c r="K664" s="1024"/>
      <c r="O664" s="673"/>
    </row>
    <row r="665" spans="3:15" ht="15.75" customHeight="1">
      <c r="C665" s="1023"/>
      <c r="D665" s="1023"/>
      <c r="E665" s="1023"/>
      <c r="I665" s="1024"/>
      <c r="J665" s="1024"/>
      <c r="K665" s="1024"/>
      <c r="O665" s="673"/>
    </row>
    <row r="666" spans="3:15" ht="15.75" customHeight="1">
      <c r="C666" s="1023"/>
      <c r="D666" s="1023"/>
      <c r="E666" s="1023"/>
      <c r="I666" s="1024"/>
      <c r="J666" s="1024"/>
      <c r="K666" s="1024"/>
      <c r="O666" s="673"/>
    </row>
    <row r="667" spans="3:15" ht="15.75" customHeight="1">
      <c r="C667" s="1023"/>
      <c r="D667" s="1023"/>
      <c r="E667" s="1023"/>
      <c r="I667" s="1024"/>
      <c r="J667" s="1024"/>
      <c r="K667" s="1024"/>
      <c r="O667" s="673"/>
    </row>
    <row r="668" spans="3:15" ht="15.75" customHeight="1">
      <c r="C668" s="1023"/>
      <c r="D668" s="1023"/>
      <c r="E668" s="1023"/>
      <c r="I668" s="1024"/>
      <c r="J668" s="1024"/>
      <c r="K668" s="1024"/>
      <c r="O668" s="673"/>
    </row>
    <row r="669" spans="3:15" ht="15.75" customHeight="1">
      <c r="C669" s="1023"/>
      <c r="D669" s="1023"/>
      <c r="E669" s="1023"/>
      <c r="I669" s="1024"/>
      <c r="J669" s="1024"/>
      <c r="K669" s="1024"/>
      <c r="O669" s="673"/>
    </row>
    <row r="670" spans="3:15" ht="15.75" customHeight="1">
      <c r="C670" s="1023"/>
      <c r="D670" s="1023"/>
      <c r="E670" s="1023"/>
      <c r="I670" s="1024"/>
      <c r="J670" s="1024"/>
      <c r="K670" s="1024"/>
      <c r="O670" s="673"/>
    </row>
    <row r="671" spans="3:15" ht="15.75" customHeight="1">
      <c r="C671" s="1023"/>
      <c r="D671" s="1023"/>
      <c r="E671" s="1023"/>
      <c r="I671" s="1024"/>
      <c r="J671" s="1024"/>
      <c r="K671" s="1024"/>
      <c r="O671" s="673"/>
    </row>
    <row r="672" spans="3:15" ht="15.75" customHeight="1">
      <c r="C672" s="1023"/>
      <c r="D672" s="1023"/>
      <c r="E672" s="1023"/>
      <c r="I672" s="1024"/>
      <c r="J672" s="1024"/>
      <c r="K672" s="1024"/>
      <c r="O672" s="673"/>
    </row>
    <row r="673" spans="3:15" ht="15.75" customHeight="1">
      <c r="C673" s="1023"/>
      <c r="D673" s="1023"/>
      <c r="E673" s="1023"/>
      <c r="I673" s="1024"/>
      <c r="J673" s="1024"/>
      <c r="K673" s="1024"/>
      <c r="O673" s="673"/>
    </row>
    <row r="674" spans="3:15" ht="15.75" customHeight="1">
      <c r="C674" s="1023"/>
      <c r="D674" s="1023"/>
      <c r="E674" s="1023"/>
      <c r="I674" s="1024"/>
      <c r="J674" s="1024"/>
      <c r="K674" s="1024"/>
      <c r="O674" s="673"/>
    </row>
    <row r="675" spans="3:15" ht="15.75" customHeight="1">
      <c r="C675" s="1023"/>
      <c r="D675" s="1023"/>
      <c r="E675" s="1023"/>
      <c r="I675" s="1024"/>
      <c r="J675" s="1024"/>
      <c r="K675" s="1024"/>
      <c r="O675" s="673"/>
    </row>
    <row r="676" spans="3:15" ht="15.75" customHeight="1">
      <c r="C676" s="1023"/>
      <c r="D676" s="1023"/>
      <c r="E676" s="1023"/>
      <c r="I676" s="1024"/>
      <c r="J676" s="1024"/>
      <c r="K676" s="1024"/>
      <c r="O676" s="673"/>
    </row>
    <row r="677" spans="3:15" ht="15.75" customHeight="1">
      <c r="C677" s="1023"/>
      <c r="D677" s="1023"/>
      <c r="E677" s="1023"/>
      <c r="I677" s="1024"/>
      <c r="J677" s="1024"/>
      <c r="K677" s="1024"/>
      <c r="O677" s="673"/>
    </row>
    <row r="678" spans="3:15" ht="15.75" customHeight="1">
      <c r="C678" s="1023"/>
      <c r="D678" s="1023"/>
      <c r="E678" s="1023"/>
      <c r="I678" s="1024"/>
      <c r="J678" s="1024"/>
      <c r="K678" s="1024"/>
      <c r="O678" s="673"/>
    </row>
    <row r="679" spans="3:15" ht="15.75" customHeight="1">
      <c r="C679" s="1023"/>
      <c r="D679" s="1023"/>
      <c r="E679" s="1023"/>
      <c r="I679" s="1024"/>
      <c r="J679" s="1024"/>
      <c r="K679" s="1024"/>
      <c r="O679" s="673"/>
    </row>
    <row r="680" spans="3:15" ht="15.75" customHeight="1">
      <c r="C680" s="1023"/>
      <c r="D680" s="1023"/>
      <c r="E680" s="1023"/>
      <c r="I680" s="1024"/>
      <c r="J680" s="1024"/>
      <c r="K680" s="1024"/>
      <c r="O680" s="673"/>
    </row>
    <row r="681" spans="3:15" ht="15.75" customHeight="1">
      <c r="C681" s="1023"/>
      <c r="D681" s="1023"/>
      <c r="E681" s="1023"/>
      <c r="I681" s="1024"/>
      <c r="J681" s="1024"/>
      <c r="K681" s="1024"/>
      <c r="O681" s="673"/>
    </row>
    <row r="682" spans="3:15" ht="15.75" customHeight="1">
      <c r="C682" s="1023"/>
      <c r="D682" s="1023"/>
      <c r="E682" s="1023"/>
      <c r="I682" s="1024"/>
      <c r="J682" s="1024"/>
      <c r="K682" s="1024"/>
      <c r="O682" s="673"/>
    </row>
    <row r="683" spans="3:15" ht="15.75" customHeight="1">
      <c r="C683" s="1023"/>
      <c r="D683" s="1023"/>
      <c r="E683" s="1023"/>
      <c r="I683" s="1024"/>
      <c r="J683" s="1024"/>
      <c r="K683" s="1024"/>
      <c r="O683" s="673"/>
    </row>
    <row r="684" spans="3:15" ht="15.75" customHeight="1">
      <c r="C684" s="1023"/>
      <c r="D684" s="1023"/>
      <c r="E684" s="1023"/>
      <c r="I684" s="1024"/>
      <c r="J684" s="1024"/>
      <c r="K684" s="1024"/>
      <c r="O684" s="673"/>
    </row>
    <row r="685" spans="3:15" ht="15.75" customHeight="1">
      <c r="C685" s="1023"/>
      <c r="D685" s="1023"/>
      <c r="E685" s="1023"/>
      <c r="I685" s="1024"/>
      <c r="J685" s="1024"/>
      <c r="K685" s="1024"/>
      <c r="O685" s="673"/>
    </row>
    <row r="686" spans="3:15" ht="15.75" customHeight="1">
      <c r="C686" s="1023"/>
      <c r="D686" s="1023"/>
      <c r="E686" s="1023"/>
      <c r="I686" s="1024"/>
      <c r="J686" s="1024"/>
      <c r="K686" s="1024"/>
      <c r="O686" s="673"/>
    </row>
    <row r="687" spans="3:15" ht="15.75" customHeight="1">
      <c r="C687" s="1023"/>
      <c r="D687" s="1023"/>
      <c r="E687" s="1023"/>
      <c r="I687" s="1024"/>
      <c r="J687" s="1024"/>
      <c r="K687" s="1024"/>
      <c r="O687" s="673"/>
    </row>
    <row r="688" spans="3:15" ht="15.75" customHeight="1">
      <c r="C688" s="1023"/>
      <c r="D688" s="1023"/>
      <c r="E688" s="1023"/>
      <c r="I688" s="1024"/>
      <c r="J688" s="1024"/>
      <c r="K688" s="1024"/>
      <c r="O688" s="673"/>
    </row>
    <row r="689" spans="3:15" ht="15.75" customHeight="1">
      <c r="C689" s="1023"/>
      <c r="D689" s="1023"/>
      <c r="E689" s="1023"/>
      <c r="I689" s="1024"/>
      <c r="J689" s="1024"/>
      <c r="K689" s="1024"/>
      <c r="O689" s="673"/>
    </row>
    <row r="690" spans="3:15" ht="15.75" customHeight="1">
      <c r="C690" s="1023"/>
      <c r="D690" s="1023"/>
      <c r="E690" s="1023"/>
      <c r="I690" s="1024"/>
      <c r="J690" s="1024"/>
      <c r="K690" s="1024"/>
      <c r="O690" s="673"/>
    </row>
    <row r="691" spans="3:15" ht="15.75" customHeight="1">
      <c r="C691" s="1023"/>
      <c r="D691" s="1023"/>
      <c r="E691" s="1023"/>
      <c r="I691" s="1024"/>
      <c r="J691" s="1024"/>
      <c r="K691" s="1024"/>
      <c r="O691" s="673"/>
    </row>
    <row r="692" spans="3:15" ht="15.75" customHeight="1">
      <c r="C692" s="1023"/>
      <c r="D692" s="1023"/>
      <c r="E692" s="1023"/>
      <c r="I692" s="1024"/>
      <c r="J692" s="1024"/>
      <c r="K692" s="1024"/>
      <c r="O692" s="673"/>
    </row>
    <row r="693" spans="3:15" ht="15.75" customHeight="1">
      <c r="C693" s="1023"/>
      <c r="D693" s="1023"/>
      <c r="E693" s="1023"/>
      <c r="I693" s="1024"/>
      <c r="J693" s="1024"/>
      <c r="K693" s="1024"/>
      <c r="O693" s="673"/>
    </row>
    <row r="694" spans="3:15" ht="15.75" customHeight="1">
      <c r="C694" s="1023"/>
      <c r="D694" s="1023"/>
      <c r="E694" s="1023"/>
      <c r="I694" s="1024"/>
      <c r="J694" s="1024"/>
      <c r="K694" s="1024"/>
      <c r="O694" s="673"/>
    </row>
    <row r="695" spans="3:15" ht="15.75" customHeight="1">
      <c r="C695" s="1023"/>
      <c r="D695" s="1023"/>
      <c r="E695" s="1023"/>
      <c r="I695" s="1024"/>
      <c r="J695" s="1024"/>
      <c r="K695" s="1024"/>
      <c r="O695" s="673"/>
    </row>
    <row r="696" spans="3:15" ht="15.75" customHeight="1">
      <c r="C696" s="1023"/>
      <c r="D696" s="1023"/>
      <c r="E696" s="1023"/>
      <c r="I696" s="1024"/>
      <c r="J696" s="1024"/>
      <c r="K696" s="1024"/>
      <c r="O696" s="673"/>
    </row>
    <row r="697" spans="3:15" ht="15.75" customHeight="1">
      <c r="C697" s="1023"/>
      <c r="D697" s="1023"/>
      <c r="E697" s="1023"/>
      <c r="I697" s="1024"/>
      <c r="J697" s="1024"/>
      <c r="K697" s="1024"/>
      <c r="O697" s="673"/>
    </row>
    <row r="698" spans="3:15" ht="15.75" customHeight="1">
      <c r="C698" s="1023"/>
      <c r="D698" s="1023"/>
      <c r="E698" s="1023"/>
      <c r="I698" s="1024"/>
      <c r="J698" s="1024"/>
      <c r="K698" s="1024"/>
      <c r="O698" s="673"/>
    </row>
    <row r="699" spans="3:15" ht="15.75" customHeight="1">
      <c r="C699" s="1023"/>
      <c r="D699" s="1023"/>
      <c r="E699" s="1023"/>
      <c r="I699" s="1024"/>
      <c r="J699" s="1024"/>
      <c r="K699" s="1024"/>
      <c r="O699" s="673"/>
    </row>
    <row r="700" spans="3:15" ht="15.75" customHeight="1">
      <c r="C700" s="1023"/>
      <c r="D700" s="1023"/>
      <c r="E700" s="1023"/>
      <c r="I700" s="1024"/>
      <c r="J700" s="1024"/>
      <c r="K700" s="1024"/>
      <c r="O700" s="673"/>
    </row>
    <row r="701" spans="3:15" ht="15.75" customHeight="1">
      <c r="C701" s="1023"/>
      <c r="D701" s="1023"/>
      <c r="E701" s="1023"/>
      <c r="I701" s="1024"/>
      <c r="J701" s="1024"/>
      <c r="K701" s="1024"/>
      <c r="O701" s="673"/>
    </row>
    <row r="702" spans="3:15" ht="15.75" customHeight="1">
      <c r="C702" s="1023"/>
      <c r="D702" s="1023"/>
      <c r="E702" s="1023"/>
      <c r="I702" s="1024"/>
      <c r="J702" s="1024"/>
      <c r="K702" s="1024"/>
      <c r="O702" s="673"/>
    </row>
    <row r="703" spans="3:15" ht="15.75" customHeight="1">
      <c r="C703" s="1023"/>
      <c r="D703" s="1023"/>
      <c r="E703" s="1023"/>
      <c r="I703" s="1024"/>
      <c r="J703" s="1024"/>
      <c r="K703" s="1024"/>
      <c r="O703" s="673"/>
    </row>
    <row r="704" spans="3:15" ht="15.75" customHeight="1">
      <c r="C704" s="1023"/>
      <c r="D704" s="1023"/>
      <c r="E704" s="1023"/>
      <c r="I704" s="1024"/>
      <c r="J704" s="1024"/>
      <c r="K704" s="1024"/>
      <c r="O704" s="673"/>
    </row>
    <row r="705" spans="3:15" ht="15.75" customHeight="1">
      <c r="C705" s="1023"/>
      <c r="D705" s="1023"/>
      <c r="E705" s="1023"/>
      <c r="I705" s="1024"/>
      <c r="J705" s="1024"/>
      <c r="K705" s="1024"/>
      <c r="O705" s="673"/>
    </row>
    <row r="706" spans="3:15" ht="15.75" customHeight="1">
      <c r="C706" s="1023"/>
      <c r="D706" s="1023"/>
      <c r="E706" s="1023"/>
      <c r="I706" s="1024"/>
      <c r="J706" s="1024"/>
      <c r="K706" s="1024"/>
      <c r="O706" s="673"/>
    </row>
    <row r="707" spans="3:15" ht="15.75" customHeight="1">
      <c r="C707" s="1023"/>
      <c r="D707" s="1023"/>
      <c r="E707" s="1023"/>
      <c r="I707" s="1024"/>
      <c r="J707" s="1024"/>
      <c r="K707" s="1024"/>
      <c r="O707" s="673"/>
    </row>
    <row r="708" spans="3:15" ht="15.75" customHeight="1">
      <c r="C708" s="1023"/>
      <c r="D708" s="1023"/>
      <c r="E708" s="1023"/>
      <c r="I708" s="1024"/>
      <c r="J708" s="1024"/>
      <c r="K708" s="1024"/>
      <c r="O708" s="673"/>
    </row>
    <row r="709" spans="3:15" ht="15.75" customHeight="1">
      <c r="C709" s="1023"/>
      <c r="D709" s="1023"/>
      <c r="E709" s="1023"/>
      <c r="I709" s="1024"/>
      <c r="J709" s="1024"/>
      <c r="K709" s="1024"/>
      <c r="O709" s="673"/>
    </row>
    <row r="710" spans="3:15" ht="15.75" customHeight="1">
      <c r="C710" s="1023"/>
      <c r="D710" s="1023"/>
      <c r="E710" s="1023"/>
      <c r="I710" s="1024"/>
      <c r="J710" s="1024"/>
      <c r="K710" s="1024"/>
      <c r="O710" s="673"/>
    </row>
    <row r="711" spans="3:15" ht="15.75" customHeight="1">
      <c r="C711" s="1023"/>
      <c r="D711" s="1023"/>
      <c r="E711" s="1023"/>
      <c r="I711" s="1024"/>
      <c r="J711" s="1024"/>
      <c r="K711" s="1024"/>
      <c r="O711" s="673"/>
    </row>
    <row r="712" spans="3:15" ht="15.75" customHeight="1">
      <c r="C712" s="1023"/>
      <c r="D712" s="1023"/>
      <c r="E712" s="1023"/>
      <c r="I712" s="1024"/>
      <c r="J712" s="1024"/>
      <c r="K712" s="1024"/>
      <c r="O712" s="673"/>
    </row>
    <row r="713" spans="3:15" ht="15.75" customHeight="1">
      <c r="C713" s="1023"/>
      <c r="D713" s="1023"/>
      <c r="E713" s="1023"/>
      <c r="I713" s="1024"/>
      <c r="J713" s="1024"/>
      <c r="K713" s="1024"/>
      <c r="O713" s="673"/>
    </row>
    <row r="714" spans="3:15" ht="15.75" customHeight="1">
      <c r="C714" s="1023"/>
      <c r="D714" s="1023"/>
      <c r="E714" s="1023"/>
      <c r="I714" s="1024"/>
      <c r="J714" s="1024"/>
      <c r="K714" s="1024"/>
      <c r="O714" s="673"/>
    </row>
    <row r="715" spans="3:15" ht="15.75" customHeight="1">
      <c r="C715" s="1023"/>
      <c r="D715" s="1023"/>
      <c r="E715" s="1023"/>
      <c r="I715" s="1024"/>
      <c r="J715" s="1024"/>
      <c r="K715" s="1024"/>
      <c r="O715" s="673"/>
    </row>
    <row r="716" spans="3:15" ht="15.75" customHeight="1">
      <c r="C716" s="1023"/>
      <c r="D716" s="1023"/>
      <c r="E716" s="1023"/>
      <c r="I716" s="1024"/>
      <c r="J716" s="1024"/>
      <c r="K716" s="1024"/>
      <c r="O716" s="673"/>
    </row>
    <row r="717" spans="3:15" ht="15.75" customHeight="1">
      <c r="C717" s="1023"/>
      <c r="D717" s="1023"/>
      <c r="E717" s="1023"/>
      <c r="I717" s="1024"/>
      <c r="J717" s="1024"/>
      <c r="K717" s="1024"/>
      <c r="O717" s="673"/>
    </row>
    <row r="718" spans="3:15" ht="15.75" customHeight="1">
      <c r="C718" s="1023"/>
      <c r="D718" s="1023"/>
      <c r="E718" s="1023"/>
      <c r="I718" s="1024"/>
      <c r="J718" s="1024"/>
      <c r="K718" s="1024"/>
      <c r="O718" s="673"/>
    </row>
    <row r="719" spans="3:15" ht="15.75" customHeight="1">
      <c r="C719" s="1023"/>
      <c r="D719" s="1023"/>
      <c r="E719" s="1023"/>
      <c r="I719" s="1024"/>
      <c r="J719" s="1024"/>
      <c r="K719" s="1024"/>
      <c r="O719" s="673"/>
    </row>
    <row r="720" spans="3:15" ht="15.75" customHeight="1">
      <c r="C720" s="1023"/>
      <c r="D720" s="1023"/>
      <c r="E720" s="1023"/>
      <c r="I720" s="1024"/>
      <c r="J720" s="1024"/>
      <c r="K720" s="1024"/>
      <c r="O720" s="673"/>
    </row>
    <row r="721" spans="3:15" ht="15.75" customHeight="1">
      <c r="C721" s="1023"/>
      <c r="D721" s="1023"/>
      <c r="E721" s="1023"/>
      <c r="I721" s="1024"/>
      <c r="J721" s="1024"/>
      <c r="K721" s="1024"/>
      <c r="O721" s="673"/>
    </row>
    <row r="722" spans="3:15" ht="15.75" customHeight="1">
      <c r="C722" s="1023"/>
      <c r="D722" s="1023"/>
      <c r="E722" s="1023"/>
      <c r="I722" s="1024"/>
      <c r="J722" s="1024"/>
      <c r="K722" s="1024"/>
      <c r="O722" s="673"/>
    </row>
    <row r="723" spans="3:15" ht="15.75" customHeight="1">
      <c r="C723" s="1023"/>
      <c r="D723" s="1023"/>
      <c r="E723" s="1023"/>
      <c r="I723" s="1024"/>
      <c r="J723" s="1024"/>
      <c r="K723" s="1024"/>
      <c r="O723" s="673"/>
    </row>
    <row r="724" spans="3:15" ht="15.75" customHeight="1">
      <c r="C724" s="1023"/>
      <c r="D724" s="1023"/>
      <c r="E724" s="1023"/>
      <c r="I724" s="1024"/>
      <c r="J724" s="1024"/>
      <c r="K724" s="1024"/>
      <c r="O724" s="673"/>
    </row>
    <row r="725" spans="3:15" ht="15.75" customHeight="1">
      <c r="C725" s="1023"/>
      <c r="D725" s="1023"/>
      <c r="E725" s="1023"/>
      <c r="I725" s="1024"/>
      <c r="J725" s="1024"/>
      <c r="K725" s="1024"/>
      <c r="O725" s="673"/>
    </row>
    <row r="726" spans="3:15" ht="15.75" customHeight="1">
      <c r="C726" s="1023"/>
      <c r="D726" s="1023"/>
      <c r="E726" s="1023"/>
      <c r="I726" s="1024"/>
      <c r="J726" s="1024"/>
      <c r="K726" s="1024"/>
      <c r="O726" s="673"/>
    </row>
    <row r="727" spans="3:15" ht="15.75" customHeight="1">
      <c r="C727" s="1023"/>
      <c r="D727" s="1023"/>
      <c r="E727" s="1023"/>
      <c r="I727" s="1024"/>
      <c r="J727" s="1024"/>
      <c r="K727" s="1024"/>
      <c r="O727" s="673"/>
    </row>
    <row r="728" spans="3:15" ht="15.75" customHeight="1">
      <c r="C728" s="1023"/>
      <c r="D728" s="1023"/>
      <c r="E728" s="1023"/>
      <c r="I728" s="1024"/>
      <c r="J728" s="1024"/>
      <c r="K728" s="1024"/>
      <c r="O728" s="673"/>
    </row>
    <row r="729" spans="3:15" ht="15.75" customHeight="1">
      <c r="C729" s="1023"/>
      <c r="D729" s="1023"/>
      <c r="E729" s="1023"/>
      <c r="I729" s="1024"/>
      <c r="J729" s="1024"/>
      <c r="K729" s="1024"/>
      <c r="O729" s="673"/>
    </row>
    <row r="730" spans="3:15" ht="15.75" customHeight="1">
      <c r="C730" s="1023"/>
      <c r="D730" s="1023"/>
      <c r="E730" s="1023"/>
      <c r="I730" s="1024"/>
      <c r="J730" s="1024"/>
      <c r="K730" s="1024"/>
      <c r="O730" s="673"/>
    </row>
    <row r="731" spans="3:15" ht="15.75" customHeight="1">
      <c r="C731" s="1023"/>
      <c r="D731" s="1023"/>
      <c r="E731" s="1023"/>
      <c r="I731" s="1024"/>
      <c r="J731" s="1024"/>
      <c r="K731" s="1024"/>
      <c r="O731" s="673"/>
    </row>
  </sheetData>
  <autoFilter ref="A1:X514" xr:uid="{00000000-0009-0000-0000-00000E000000}">
    <filterColumn colId="20">
      <filters>
        <filter val="Bilan"/>
      </filters>
    </filterColumn>
    <filterColumn colId="21">
      <filters>
        <filter val="Améliorations Locatives"/>
        <filter val="Enseigne"/>
        <filter val="Équipements Informatique"/>
        <filter val="Équipements Service"/>
        <filter val="Mobilier"/>
      </filters>
    </filterColumn>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3357</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3358</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3359</v>
      </c>
      <c r="B8" s="678" t="s">
        <v>1340</v>
      </c>
      <c r="C8" s="679" t="s">
        <v>1321</v>
      </c>
      <c r="D8" s="679" t="s">
        <v>25</v>
      </c>
      <c r="E8" s="680" t="s">
        <v>303</v>
      </c>
      <c r="F8" s="681"/>
      <c r="G8" s="680" t="e">
        <v>#N/A</v>
      </c>
      <c r="H8" s="33"/>
      <c r="I8" s="683" t="str">
        <f>Print_Mois!K291</f>
        <v>Pièces</v>
      </c>
      <c r="K8" s="683" t="s">
        <v>85</v>
      </c>
      <c r="M8" s="138" t="s">
        <v>161</v>
      </c>
    </row>
    <row r="9" spans="1:13" ht="15" customHeight="1">
      <c r="A9" s="690" t="s">
        <v>3360</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3897</v>
      </c>
      <c r="B10" s="678" t="s">
        <v>3896</v>
      </c>
      <c r="C10" s="679" t="s">
        <v>1321</v>
      </c>
      <c r="D10" s="679" t="s">
        <v>25</v>
      </c>
      <c r="E10" s="680" t="s">
        <v>303</v>
      </c>
      <c r="F10" s="681"/>
      <c r="G10" s="680" t="s">
        <v>2</v>
      </c>
      <c r="H10" s="33"/>
      <c r="I10" s="683"/>
      <c r="K10" s="683"/>
      <c r="M10" s="138"/>
    </row>
    <row r="11" spans="1:13" ht="15" customHeight="1">
      <c r="A11" s="690" t="s">
        <v>3361</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3362</v>
      </c>
      <c r="B14" s="678" t="s">
        <v>1343</v>
      </c>
      <c r="C14" s="679" t="s">
        <v>1321</v>
      </c>
      <c r="D14" s="679" t="s">
        <v>25</v>
      </c>
      <c r="E14" s="680" t="s">
        <v>303</v>
      </c>
      <c r="F14" s="681"/>
      <c r="G14" s="680" t="e">
        <v>#N/A</v>
      </c>
      <c r="H14" s="33"/>
      <c r="K14" s="683" t="s">
        <v>173</v>
      </c>
    </row>
    <row r="15" spans="1:13" ht="15" customHeight="1">
      <c r="A15" s="690" t="s">
        <v>3363</v>
      </c>
      <c r="B15" s="678" t="s">
        <v>820</v>
      </c>
      <c r="C15" s="679" t="s">
        <v>1321</v>
      </c>
      <c r="D15" s="679" t="s">
        <v>25</v>
      </c>
      <c r="E15" s="680" t="s">
        <v>303</v>
      </c>
      <c r="F15" s="681"/>
      <c r="G15" s="682" t="e">
        <v>#N/A</v>
      </c>
      <c r="H15" s="33"/>
      <c r="K15" s="683" t="str">
        <f>Print_Mois!C312</f>
        <v>Autostock</v>
      </c>
      <c r="M15" s="5" t="s">
        <v>304</v>
      </c>
    </row>
    <row r="16" spans="1:13" ht="15" customHeight="1">
      <c r="A16" s="690" t="s">
        <v>3353</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3364</v>
      </c>
      <c r="B22" s="678" t="s">
        <v>830</v>
      </c>
      <c r="C22" s="679" t="s">
        <v>1321</v>
      </c>
      <c r="D22" s="679" t="s">
        <v>40</v>
      </c>
      <c r="E22" s="680" t="s">
        <v>303</v>
      </c>
      <c r="F22" s="681"/>
      <c r="G22" s="682" t="s">
        <v>902</v>
      </c>
      <c r="H22" s="33"/>
      <c r="K22" s="683" t="s">
        <v>67</v>
      </c>
    </row>
    <row r="23" spans="1:13" ht="15" customHeight="1">
      <c r="A23" s="690" t="s">
        <v>3365</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3345</v>
      </c>
      <c r="B28" s="687" t="s">
        <v>1345</v>
      </c>
      <c r="C28" s="679" t="s">
        <v>1321</v>
      </c>
      <c r="D28" s="679" t="s">
        <v>42</v>
      </c>
      <c r="E28" s="680" t="s">
        <v>303</v>
      </c>
      <c r="F28" s="681"/>
      <c r="G28" s="680" t="s">
        <v>2</v>
      </c>
      <c r="H28" s="33"/>
      <c r="K28" s="683" t="s">
        <v>98</v>
      </c>
    </row>
    <row r="29" spans="1:13" ht="15" customHeight="1">
      <c r="A29" s="687" t="s">
        <v>3366</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3367</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3368</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3369</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3370</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3371</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3372</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3373</v>
      </c>
      <c r="B81" s="678" t="s">
        <v>884</v>
      </c>
      <c r="C81" s="679" t="s">
        <v>1321</v>
      </c>
      <c r="D81" s="679" t="s">
        <v>70</v>
      </c>
      <c r="E81" s="680" t="s">
        <v>303</v>
      </c>
      <c r="F81" s="681"/>
      <c r="G81" s="682" t="s">
        <v>957</v>
      </c>
      <c r="H81" s="33"/>
      <c r="K81" s="683" t="s">
        <v>117</v>
      </c>
    </row>
    <row r="82" spans="1:11" ht="15" customHeight="1">
      <c r="A82" s="690" t="s">
        <v>3958</v>
      </c>
      <c r="B82" s="678" t="s">
        <v>3957</v>
      </c>
      <c r="C82" s="679" t="s">
        <v>1321</v>
      </c>
      <c r="D82" s="679" t="s">
        <v>70</v>
      </c>
      <c r="E82" s="680" t="s">
        <v>303</v>
      </c>
      <c r="F82" s="681"/>
      <c r="G82" s="682" t="s">
        <v>957</v>
      </c>
      <c r="H82" s="33"/>
      <c r="K82" s="683"/>
    </row>
    <row r="83" spans="1:11" ht="15" customHeight="1">
      <c r="A83" s="1021" t="s">
        <v>3408</v>
      </c>
      <c r="B83" s="678" t="s">
        <v>3407</v>
      </c>
      <c r="C83" s="679" t="s">
        <v>1321</v>
      </c>
      <c r="D83" s="679" t="s">
        <v>70</v>
      </c>
      <c r="E83" s="680" t="s">
        <v>303</v>
      </c>
      <c r="F83" s="681"/>
      <c r="G83" s="682" t="s">
        <v>957</v>
      </c>
      <c r="H83" s="33"/>
      <c r="K83" s="683" t="str">
        <f>Print_Mois!V492</f>
        <v>Intérêts sur marge</v>
      </c>
    </row>
    <row r="84" spans="1:11" ht="15" customHeight="1">
      <c r="A84" s="1021" t="s">
        <v>3960</v>
      </c>
      <c r="B84" s="678" t="s">
        <v>3959</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3321</v>
      </c>
      <c r="C99" s="679" t="s">
        <v>1321</v>
      </c>
      <c r="D99" s="679" t="s">
        <v>82</v>
      </c>
      <c r="E99" s="680" t="s">
        <v>303</v>
      </c>
      <c r="F99" s="681"/>
      <c r="G99" s="682" t="s">
        <v>963</v>
      </c>
      <c r="H99" s="33"/>
      <c r="K99" s="683" t="s">
        <v>75</v>
      </c>
    </row>
    <row r="100" spans="1:11" ht="15" customHeight="1">
      <c r="A100" s="690" t="s">
        <v>3374</v>
      </c>
      <c r="B100" s="678" t="s">
        <v>3322</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3375</v>
      </c>
      <c r="B105" s="678" t="s">
        <v>3313</v>
      </c>
      <c r="C105" s="679" t="s">
        <v>1321</v>
      </c>
      <c r="D105" s="679" t="s">
        <v>57</v>
      </c>
      <c r="E105" s="680" t="s">
        <v>303</v>
      </c>
      <c r="F105" s="681"/>
      <c r="G105" s="682" t="e">
        <v>#N/A</v>
      </c>
      <c r="H105" s="33"/>
      <c r="K105" s="683" t="str">
        <f>Print_Mois!C295</f>
        <v>Pièces Ro Clients</v>
      </c>
    </row>
    <row r="106" spans="1:11" ht="15" customHeight="1">
      <c r="A106" s="690" t="s">
        <v>3376</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3377</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3378</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3338</v>
      </c>
      <c r="B127" s="678" t="s">
        <v>3339</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3379</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3380</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3381</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3354</v>
      </c>
      <c r="B205" s="678" t="s">
        <v>772</v>
      </c>
      <c r="C205" s="679"/>
      <c r="D205" s="679"/>
      <c r="E205" s="680"/>
      <c r="F205" s="681"/>
      <c r="G205" s="682" t="s">
        <v>816</v>
      </c>
      <c r="H205" s="3"/>
    </row>
    <row r="206" spans="1:8" ht="15" customHeight="1">
      <c r="A206" s="690" t="s">
        <v>3350</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3912</v>
      </c>
      <c r="B218" s="678" t="s">
        <v>3911</v>
      </c>
      <c r="C218" s="679" t="s">
        <v>92</v>
      </c>
      <c r="D218" s="679" t="s">
        <v>98</v>
      </c>
      <c r="E218" s="680" t="s">
        <v>303</v>
      </c>
      <c r="F218" s="681" t="s">
        <v>1368</v>
      </c>
      <c r="G218" s="682" t="e">
        <v>#N/A</v>
      </c>
      <c r="H218" s="3"/>
    </row>
    <row r="219" spans="1:8" ht="15" customHeight="1">
      <c r="A219" s="1159" t="s">
        <v>3917</v>
      </c>
      <c r="B219" s="678" t="s">
        <v>3916</v>
      </c>
      <c r="C219" s="679" t="s">
        <v>92</v>
      </c>
      <c r="D219" s="679" t="s">
        <v>98</v>
      </c>
      <c r="E219" s="686" t="s">
        <v>341</v>
      </c>
      <c r="F219" s="686"/>
      <c r="G219" s="682" t="s">
        <v>1154</v>
      </c>
      <c r="H219" s="3"/>
    </row>
    <row r="220" spans="1:8" ht="15" customHeight="1">
      <c r="A220" s="690" t="s">
        <v>3382</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3383</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3863</v>
      </c>
      <c r="E235" s="680" t="s">
        <v>303</v>
      </c>
      <c r="F235" s="681" t="s">
        <v>1368</v>
      </c>
      <c r="G235" s="682" t="s">
        <v>963</v>
      </c>
      <c r="H235" s="3"/>
      <c r="I235" s="1204" t="s">
        <v>3863</v>
      </c>
    </row>
    <row r="236" spans="1:9" ht="15" customHeight="1">
      <c r="A236" s="690" t="s">
        <v>1017</v>
      </c>
      <c r="B236" s="678" t="s">
        <v>1016</v>
      </c>
      <c r="C236" s="679" t="s">
        <v>152</v>
      </c>
      <c r="D236" s="679" t="s">
        <v>3863</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3355</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3426</v>
      </c>
      <c r="B253" s="678" t="s">
        <v>3425</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3335</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3428</v>
      </c>
      <c r="B264" s="678" t="s">
        <v>3427</v>
      </c>
      <c r="C264" s="679" t="s">
        <v>161</v>
      </c>
      <c r="D264" s="679" t="s">
        <v>173</v>
      </c>
      <c r="E264" s="680" t="s">
        <v>303</v>
      </c>
      <c r="F264" s="681" t="s">
        <v>1368</v>
      </c>
      <c r="G264" s="682" t="s">
        <v>7</v>
      </c>
      <c r="H264" s="3"/>
    </row>
    <row r="265" spans="1:8" ht="15" customHeight="1">
      <c r="A265" s="1020" t="s">
        <v>3432</v>
      </c>
      <c r="B265" s="678" t="s">
        <v>3431</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3418</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3384</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3385</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3386</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3915</v>
      </c>
      <c r="B320" s="685" t="s">
        <v>3914</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3387</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3863</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3553</v>
      </c>
      <c r="B347" s="692" t="s">
        <v>3552</v>
      </c>
      <c r="C347" s="679" t="s">
        <v>176</v>
      </c>
      <c r="D347" s="679" t="s">
        <v>177</v>
      </c>
      <c r="E347" s="680" t="s">
        <v>303</v>
      </c>
      <c r="F347" s="680"/>
      <c r="G347" s="682" t="e">
        <v>#N/A</v>
      </c>
      <c r="H347" s="3"/>
    </row>
    <row r="348" spans="1:8" ht="15" customHeight="1">
      <c r="A348" s="690" t="s">
        <v>3430</v>
      </c>
      <c r="B348" s="692" t="s">
        <v>3429</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3356</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3419</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3388</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3685</v>
      </c>
      <c r="B369" s="685" t="s">
        <v>3684</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3946</v>
      </c>
      <c r="B372" s="685" t="s">
        <v>3945</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3389</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3390</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3391</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3392</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3393</v>
      </c>
      <c r="B456" s="678" t="s">
        <v>1392</v>
      </c>
      <c r="C456" s="679" t="s">
        <v>152</v>
      </c>
      <c r="D456" s="679" t="s">
        <v>214</v>
      </c>
      <c r="E456" s="680" t="s">
        <v>303</v>
      </c>
      <c r="F456" s="680"/>
      <c r="G456" s="680" t="s">
        <v>1154</v>
      </c>
      <c r="H456" s="3"/>
    </row>
    <row r="457" spans="1:8" ht="15" customHeight="1">
      <c r="A457" s="678" t="s">
        <v>3394</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3395</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3396</v>
      </c>
      <c r="B494" s="678" t="s">
        <v>1393</v>
      </c>
      <c r="C494" s="679" t="s">
        <v>161</v>
      </c>
      <c r="D494" s="679" t="s">
        <v>214</v>
      </c>
      <c r="E494" s="680" t="s">
        <v>303</v>
      </c>
      <c r="F494" s="680"/>
      <c r="G494" s="680" t="s">
        <v>1154</v>
      </c>
      <c r="H494" s="3"/>
    </row>
    <row r="495" spans="1:8" ht="15" customHeight="1">
      <c r="A495" s="696" t="s">
        <v>3397</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3398</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3687</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3399</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3400</v>
      </c>
      <c r="B534" s="678" t="s">
        <v>1396</v>
      </c>
      <c r="C534" s="679" t="s">
        <v>176</v>
      </c>
      <c r="D534" s="679" t="s">
        <v>214</v>
      </c>
      <c r="E534" s="680" t="s">
        <v>303</v>
      </c>
      <c r="F534" s="680"/>
      <c r="G534" s="680" t="s">
        <v>1154</v>
      </c>
      <c r="H534" s="3"/>
      <c r="K534" s="3"/>
    </row>
    <row r="535" spans="1:29" ht="15" customHeight="1">
      <c r="A535" s="678" t="s">
        <v>3401</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3402</v>
      </c>
      <c r="B562" s="685" t="s">
        <v>1278</v>
      </c>
      <c r="C562" s="679" t="s">
        <v>180</v>
      </c>
      <c r="D562" s="679" t="s">
        <v>142</v>
      </c>
      <c r="E562" s="680" t="s">
        <v>303</v>
      </c>
      <c r="F562" s="681"/>
      <c r="G562" s="682" t="s">
        <v>2</v>
      </c>
      <c r="H562" s="3"/>
    </row>
    <row r="563" spans="1:8" ht="15" customHeight="1">
      <c r="A563" s="690" t="s">
        <v>3899</v>
      </c>
      <c r="B563" s="685" t="s">
        <v>3898</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3403</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3404</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3347</v>
      </c>
      <c r="B590" s="1037" t="s">
        <v>3346</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3349</v>
      </c>
      <c r="B592" s="1037" t="s">
        <v>3348</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3405</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3406</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3901</v>
      </c>
      <c r="B604" s="679" t="s">
        <v>3900</v>
      </c>
      <c r="C604" s="679" t="s">
        <v>1325</v>
      </c>
      <c r="D604" s="679" t="s">
        <v>3866</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3555</v>
      </c>
      <c r="B606" s="685" t="s">
        <v>3554</v>
      </c>
      <c r="C606" s="679" t="s">
        <v>161</v>
      </c>
      <c r="D606" s="679" t="s">
        <v>140</v>
      </c>
      <c r="E606" s="680" t="s">
        <v>303</v>
      </c>
      <c r="F606" s="680"/>
      <c r="G606" s="682" t="s">
        <v>1154</v>
      </c>
      <c r="H606" s="3"/>
    </row>
    <row r="607" spans="1:11" ht="15" customHeight="1">
      <c r="A607" s="1178" t="s">
        <v>3925</v>
      </c>
      <c r="B607" s="1179" t="s">
        <v>3924</v>
      </c>
      <c r="C607" s="679" t="s">
        <v>152</v>
      </c>
      <c r="D607" s="679" t="s">
        <v>153</v>
      </c>
      <c r="E607" s="680" t="s">
        <v>303</v>
      </c>
      <c r="F607" s="681"/>
      <c r="G607" s="680" t="s">
        <v>1110</v>
      </c>
      <c r="H607" s="3"/>
    </row>
    <row r="608" spans="1:11" ht="15" customHeight="1">
      <c r="A608" s="1180" t="s">
        <v>3927</v>
      </c>
      <c r="B608" s="1179"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3413</v>
      </c>
      <c r="J1" s="1051" t="s">
        <v>3414</v>
      </c>
      <c r="K1" s="1051"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3323</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3323</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3323</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3323</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3323</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3323</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3323</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3323</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3323</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3323</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3323</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3353</v>
      </c>
      <c r="C13" s="1053"/>
      <c r="D13" s="1053"/>
      <c r="E13" s="1053"/>
      <c r="F13" s="1052" t="s">
        <v>2</v>
      </c>
      <c r="G13" s="1052" t="s">
        <v>3323</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3324</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3324</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3324</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3324</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3324</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3659</v>
      </c>
      <c r="B19" s="1052" t="s">
        <v>1718</v>
      </c>
      <c r="C19" s="1053"/>
      <c r="D19" s="1053"/>
      <c r="E19" s="1053"/>
      <c r="F19" s="1052" t="s">
        <v>2</v>
      </c>
      <c r="G19" s="1052" t="s">
        <v>3325</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3660</v>
      </c>
      <c r="B20" s="1052" t="s">
        <v>1721</v>
      </c>
      <c r="C20" s="1053"/>
      <c r="D20" s="1053"/>
      <c r="E20" s="1053"/>
      <c r="F20" s="1052" t="s">
        <v>2</v>
      </c>
      <c r="G20" s="1052" t="s">
        <v>3325</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3661</v>
      </c>
      <c r="B21" s="1052" t="s">
        <v>1724</v>
      </c>
      <c r="C21" s="1053"/>
      <c r="D21" s="1053"/>
      <c r="E21" s="1053"/>
      <c r="F21" s="1052" t="s">
        <v>2</v>
      </c>
      <c r="G21" s="1052" t="s">
        <v>3325</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3662</v>
      </c>
      <c r="B22" s="1052" t="s">
        <v>1727</v>
      </c>
      <c r="C22" s="1053"/>
      <c r="D22" s="1053"/>
      <c r="E22" s="1053"/>
      <c r="F22" s="1052" t="s">
        <v>2</v>
      </c>
      <c r="G22" s="1052" t="s">
        <v>3325</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3663</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3664</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3665</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3326</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3326</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3326</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3326</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3327</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3328</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3329</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3329</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3354</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3330</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3330</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3330</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3330</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3330</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3330</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3330</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3330</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3330</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3330</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3330</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3666</v>
      </c>
      <c r="B62" s="1052" t="s">
        <v>3355</v>
      </c>
      <c r="C62" s="1053"/>
      <c r="D62" s="1053"/>
      <c r="E62" s="1053"/>
      <c r="F62" s="1052" t="s">
        <v>2</v>
      </c>
      <c r="G62" s="1052" t="s">
        <v>3330</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3331</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3356</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3332</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3332</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3333</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3334</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3358</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3361</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3667</v>
      </c>
      <c r="B97" s="1052" t="s">
        <v>3363</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3364</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3365</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3367</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3368</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3371</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3372</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3336</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3668</v>
      </c>
      <c r="B158" s="1052" t="s">
        <v>3375</v>
      </c>
      <c r="C158" s="1054">
        <v>0</v>
      </c>
      <c r="D158" s="1054">
        <v>-10831.38</v>
      </c>
      <c r="E158" s="1054">
        <v>-10831.38</v>
      </c>
      <c r="F158" s="1052" t="s">
        <v>902</v>
      </c>
      <c r="G158" s="1052" t="s">
        <v>3669</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3670</v>
      </c>
      <c r="B159" s="1052" t="s">
        <v>3376</v>
      </c>
      <c r="C159" s="1054">
        <v>0</v>
      </c>
      <c r="D159" s="1054">
        <v>-7073.76</v>
      </c>
      <c r="E159" s="1054">
        <v>-7073.76</v>
      </c>
      <c r="F159" s="1052" t="s">
        <v>902</v>
      </c>
      <c r="G159" s="1052" t="s">
        <v>3671</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3377</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3378</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3379</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3380</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3381</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3350</v>
      </c>
      <c r="C203" s="1054">
        <v>-136159.35</v>
      </c>
      <c r="D203" s="1054">
        <v>0</v>
      </c>
      <c r="E203" s="1054">
        <v>-136159.35</v>
      </c>
      <c r="F203" s="1052" t="s">
        <v>963</v>
      </c>
      <c r="G203" s="1052" t="s">
        <v>3350</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3382</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3672</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3673</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3674</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3335</v>
      </c>
      <c r="C221" s="1054">
        <v>-5600</v>
      </c>
      <c r="D221" s="1054">
        <v>0</v>
      </c>
      <c r="E221" s="1054">
        <v>-5600</v>
      </c>
      <c r="F221" s="1052" t="s">
        <v>963</v>
      </c>
      <c r="G221" s="1052" t="s">
        <v>3335</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3675</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3676</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3677</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3678</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3384</v>
      </c>
      <c r="C231" s="1054">
        <v>-247.19</v>
      </c>
      <c r="D231" s="1054">
        <v>0</v>
      </c>
      <c r="E231" s="1054">
        <v>-247.19</v>
      </c>
      <c r="F231" s="1052" t="s">
        <v>963</v>
      </c>
      <c r="G231" s="1052" t="s">
        <v>3384</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3679</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3680</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3681</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3385</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3386</v>
      </c>
      <c r="C244" s="1054">
        <v>126137.85</v>
      </c>
      <c r="D244" s="1054">
        <v>0</v>
      </c>
      <c r="E244" s="1054">
        <v>126137.85</v>
      </c>
      <c r="F244" s="1052" t="s">
        <v>1110</v>
      </c>
      <c r="G244" s="1052" t="s">
        <v>3350</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3387</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3672</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3673</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3674</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3682</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3675</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3676</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3677</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3678</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3388</v>
      </c>
      <c r="C275" s="1054">
        <v>189.83</v>
      </c>
      <c r="D275" s="1054">
        <v>0</v>
      </c>
      <c r="E275" s="1054">
        <v>189.83</v>
      </c>
      <c r="F275" s="1052" t="s">
        <v>1110</v>
      </c>
      <c r="G275" s="1052" t="s">
        <v>3384</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3679</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3680</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3681</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3389</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3391</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3392</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3395</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3397</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3398</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3399</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3402</v>
      </c>
      <c r="C440" s="1054">
        <v>17649.330000000002</v>
      </c>
      <c r="D440" s="1054">
        <v>1630.49</v>
      </c>
      <c r="E440" s="1054">
        <v>19279.82</v>
      </c>
      <c r="F440" s="1052" t="s">
        <v>1154</v>
      </c>
      <c r="G440" s="1052" t="s">
        <v>3340</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3683</v>
      </c>
      <c r="B449" s="1052" t="s">
        <v>3404</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3416</v>
      </c>
      <c r="B452" s="1052" t="s">
        <v>2756</v>
      </c>
      <c r="C452" s="1054">
        <v>-22000</v>
      </c>
      <c r="D452" s="1054">
        <v>-21300</v>
      </c>
      <c r="E452" s="1054">
        <v>-43300</v>
      </c>
      <c r="F452" s="1052" t="s">
        <v>1285</v>
      </c>
      <c r="G452" s="1052" t="s">
        <v>3417</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3405</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3350</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3672</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3673</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3674</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3335</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3675</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3676</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3677</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2025-01-17T22:20:51Z</dcterms:modified>
</cp:coreProperties>
</file>